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0" yWindow="1245" windowWidth="19320" windowHeight="11940"/>
  </bookViews>
  <sheets>
    <sheet name="Feuille 1" sheetId="1" r:id="rId1"/>
    <sheet name="Attributs" sheetId="2" r:id="rId2"/>
    <sheet name="Saving Throws" sheetId="11" r:id="rId3"/>
    <sheet name="Compétences" sheetId="12" r:id="rId4"/>
    <sheet name="Races" sheetId="16" r:id="rId5"/>
    <sheet name="Ethnie" sheetId="18" r:id="rId6"/>
    <sheet name="Sorts" sheetId="15" r:id="rId7"/>
    <sheet name="Autres" sheetId="10" r:id="rId8"/>
    <sheet name="Factions" sheetId="14" r:id="rId9"/>
    <sheet name="Races_Ref" sheetId="13" r:id="rId10"/>
  </sheets>
  <definedNames>
    <definedName name="_xlnm._FilterDatabase" localSheetId="1" hidden="1">Attributs!$D$140:$T$151</definedName>
    <definedName name="_xlnm._FilterDatabase" localSheetId="0" hidden="1">'Feuille 1'!$A$1:$Z$39</definedName>
    <definedName name="_xlnm._FilterDatabase" localSheetId="9" hidden="1">Races_Ref!$A$1:$M$318</definedName>
    <definedName name="_xlnm._FilterDatabase" localSheetId="2" hidden="1">'Saving Throws'!$Q$20:$X$21</definedName>
    <definedName name="_xlnm._FilterDatabase" localSheetId="6" hidden="1">Sorts!$A$1:$K$315</definedName>
    <definedName name="Base_TAC0">'Saving Throws'!$E$95:$Y$101</definedName>
    <definedName name="Base_TAC02">'Saving Throws'!$M$104</definedName>
    <definedName name="Campagne">'Feuille 1'!$F$206</definedName>
    <definedName name="Campaign_money">Autres!$W$2:$X$34</definedName>
    <definedName name="Campaign_settings">Autres!$W$3:$W$34</definedName>
    <definedName name="CHA">Attributs!$L$3:$O$27</definedName>
    <definedName name="Class_mod">Attributs!$D$139:$S$154</definedName>
    <definedName name="Classe">'Feuille 1'!$E$3</definedName>
    <definedName name="Classe2">'Feuille 1'!$E$5</definedName>
    <definedName name="Classe3">'Feuille 1'!$E$6</definedName>
    <definedName name="Classes_list">Attributs!$D$141:$D$153</definedName>
    <definedName name="classes_qty">Attributs!$G$132</definedName>
    <definedName name="Combattant?">Attributs!$I$164</definedName>
    <definedName name="Comp_diverses_Full">Compétences!$A$1:$H$102</definedName>
    <definedName name="Comp_diverses_list">Compétences!$A$1:$A$102</definedName>
    <definedName name="Comp_martiales">Compétences!$AQ$2:$AR$141</definedName>
    <definedName name="Comp_martiales_cost">Compétences!$V$2:$W$9</definedName>
    <definedName name="Comp_martiales_list">Compétences!$AQ$2:$AQ$141</definedName>
    <definedName name="comp_select">'Feuille 1'!#REF!</definedName>
    <definedName name="comp_vers">'Feuille 1'!$AE$8</definedName>
    <definedName name="CON">Attributs!$A$3:$G$27</definedName>
    <definedName name="DEX">Attributs!$H$3:$K$27</definedName>
    <definedName name="Ethnie">'Feuille 1'!$Q$2</definedName>
    <definedName name="Ethnie_List">OFFSET(Races!$AG1,0,0,35-COUNTBLANK(Races!$AG$2:$AG$36),1)</definedName>
    <definedName name="Ethnies_total">Races!$A$1:$AF$36</definedName>
    <definedName name="Faction">'Feuille 1'!$F$210</definedName>
    <definedName name="Faction_list_complete">Factions!$A$3:$AF$91</definedName>
    <definedName name="Factions_list">OFFSET(Factions!$AG$4,0,0,88-COUNTBLANK(Factions!$AG$4:$AG$91),1)</definedName>
    <definedName name="FOR_balance">Attributs!$E$98:$G$101</definedName>
    <definedName name="FOR_bonus">Attributs!$A$61:$B$186</definedName>
    <definedName name="Force">Attributs!$A$30:$M$59</definedName>
    <definedName name="Genre">'Feuille 1'!$P$6</definedName>
    <definedName name="INT">Attributs!$N$30:$S$54</definedName>
    <definedName name="La_cellule_vide">Autres!$AK$1</definedName>
    <definedName name="level">'Feuille 1'!$R$3</definedName>
    <definedName name="levelc2">'Feuille 1'!$R$4</definedName>
    <definedName name="levelc3">'Feuille 1'!$R$5</definedName>
    <definedName name="list_test">Sorts!$O$641:$P$646,Sorts!$O$653:$P$665</definedName>
    <definedName name="liste_armures">Autres!$M$2:$M$17</definedName>
    <definedName name="lvl_sr_bar">Attributs!$L$107</definedName>
    <definedName name="lvl_sr_mag">Attributs!$L$104</definedName>
    <definedName name="lvl_sr_pal">Attributs!$L$95</definedName>
    <definedName name="lvl_sr_pr">Attributs!$L$98</definedName>
    <definedName name="lvl_sr_rod">Attributs!$L$92</definedName>
    <definedName name="Mage">Autres!$D$2:$D$10</definedName>
    <definedName name="Money">Autres!$K$74:$O$79</definedName>
    <definedName name="multi">Autres!$G$2:$G$12</definedName>
    <definedName name="Niv_priere_bonus_sag">Attributs!$D$62:$K$87</definedName>
    <definedName name="Niv_prieres">Attributs!$O$62:$V$83</definedName>
    <definedName name="Niv_prieres_pal">Attributs!$X$62:$AB$83</definedName>
    <definedName name="Niv_prieres_rod">Attributs!$AD$62:$AG$83</definedName>
    <definedName name="Niv_sorts">Attributs!$O$90:$X$112</definedName>
    <definedName name="Niv_sorts_barde">Attributs!$O$114:$U$136</definedName>
    <definedName name="NPC">'Feuille 1'!$AE$4</definedName>
    <definedName name="PFP">Autres!$R$1:$U$28</definedName>
    <definedName name="PFP_Psioniste">Autres!$U$3</definedName>
    <definedName name="PFP_psioniste_talent">Autres!$U$5</definedName>
    <definedName name="PFP_talent_natif">Autres!$U$4</definedName>
    <definedName name="_xlnm.Print_Area" localSheetId="0">'Feuille 1'!$A$1:$Z$249</definedName>
    <definedName name="profil_list">OFFSET(Autres!$J$2,0,0,30-COUNTBLANK(Autres!$J$2:$J$31),1)</definedName>
    <definedName name="profil_list_comp">Autres!$A$1:$H$31</definedName>
    <definedName name="psio_version">'Feuille 1'!$AE$7</definedName>
    <definedName name="Psionique?">Autres!$C$64</definedName>
    <definedName name="Race">'Feuille 1'!$E$2</definedName>
    <definedName name="Race_list">Races!$A$42:$A$148</definedName>
    <definedName name="Race_stats">Races!$A$40:$V$148</definedName>
    <definedName name="Race_stats_Aarakocra">Ethnie!$A$119:$V$121</definedName>
    <definedName name="Race_stats_Aasimar">Ethnie!$A$122:$V$124</definedName>
    <definedName name="Race_stats_Archon">Ethnie!$A$125:$V$130</definedName>
    <definedName name="Race_stats_Bariaure">Ethnie!$A$276:$V$278</definedName>
    <definedName name="Race_stats_Dame_cygne">Ethnie!$A$270:$V$272</definedName>
    <definedName name="Race_stats_dDragon">Ethnie!$A$185:$V$194</definedName>
    <definedName name="Race_stats_demi_elfe">Ethnie!$A$1:$V$8</definedName>
    <definedName name="Race_stats_Dragon">Ethnie!$A$131:$V$153</definedName>
    <definedName name="Race_stats_Eladrin">Ethnie!$A$154:$V$161</definedName>
    <definedName name="Race_stats_Elfe">Ethnie!$A$69:$V$104</definedName>
    <definedName name="Race_stats_Genasis">Ethnie!$A$114:$V$118</definedName>
    <definedName name="Race_stats_Gnoll">Ethnie!$A$171:$V$173</definedName>
    <definedName name="Race_stats_Gnome">Ethnie!$A$105:$V$113</definedName>
    <definedName name="Race_stats_Gobelin">Ethnie!$A$174:$V$177</definedName>
    <definedName name="Race_stats_Gremlin">Ethnie!$A$168:$V$170</definedName>
    <definedName name="Race_stats_Grommam">Ethnie!$A$279:$V$281</definedName>
    <definedName name="Race_stats_Guardinal">Ethnie!$A$178:$V$184</definedName>
    <definedName name="Race_stats_Hengeyokai">Ethnie!$A$195:$V$219</definedName>
    <definedName name="Race_stats_hobbit">Ethnie!$A$35:$V$44</definedName>
    <definedName name="Race_stats_Hobgobelin">Ethnie!$A$220:$V$222</definedName>
    <definedName name="Race_stats_Humain">Ethnie!$A$45:$V$68</definedName>
    <definedName name="Race_stats_Kender">Ethnie!$A$223:$V$225</definedName>
    <definedName name="Race_stats_Lézard">Ethnie!$A$231:$V$242</definedName>
    <definedName name="Race_stats_Locathah">Ethnie!$A$246:$V$248</definedName>
    <definedName name="Race_stats_Malenti">Ethnie!$A$243:$V$245</definedName>
    <definedName name="Race_stats_Merfolk">Ethnie!$A$249:$V$252</definedName>
    <definedName name="Race_stats_Minotaure">Ethnie!$A$253:$V$256</definedName>
    <definedName name="Race_stats_nain">Ethnie!$A$9:$V$34</definedName>
    <definedName name="Race_stats_Ogre">Ethnie!$A$257:$V$264</definedName>
    <definedName name="Race_stats_Saurial">Ethnie!$A$265:$V$269</definedName>
    <definedName name="Race_stats_sGéant">Ethnie!$A$162:$V$167</definedName>
    <definedName name="Race_stats_sLézard">Ethnie!$A$226:$V$230</definedName>
    <definedName name="Race_stats_Thri_kreen">Ethnie!$A$273:$V$275</definedName>
    <definedName name="Rang_Planescape">Factions!$H$105:$H$108</definedName>
    <definedName name="SAG">Attributs!$T$30:$X$54</definedName>
    <definedName name="Score_CHA">'Feuille 1'!$E$18</definedName>
    <definedName name="Score_CHAr">'Feuille 1'!$I$18</definedName>
    <definedName name="Score_CON">'Feuille 1'!$E$12</definedName>
    <definedName name="Score_DEX">'Feuille 1'!$E$10</definedName>
    <definedName name="Score_END">'Feuille 1'!$I$8</definedName>
    <definedName name="Score_END_bon">Attributs!$R$5</definedName>
    <definedName name="Score_EQU">'Feuille 1'!$I$11</definedName>
    <definedName name="Score_ERU">'Feuille 1'!$I$15</definedName>
    <definedName name="Score_FOR">'Feuille 1'!$E$8</definedName>
    <definedName name="Score_INT">'Feuille 1'!$E$14</definedName>
    <definedName name="Score_INTct">'Feuille 1'!$I$14</definedName>
    <definedName name="Score_INTtion">'Feuille 1'!$I$17</definedName>
    <definedName name="Score_MAG">'Feuille 1'!$I$19</definedName>
    <definedName name="Score_PRE">'Feuille 1'!$I$10</definedName>
    <definedName name="Score_PUI">'Feuille 1'!$I$9</definedName>
    <definedName name="Score_PUI_bon">Attributs!$R$6</definedName>
    <definedName name="Score_RES">'Feuille 1'!$I$12</definedName>
    <definedName name="Score_SAG">'Feuille 1'!$E$16</definedName>
    <definedName name="Score_VIG">'Feuille 1'!$I$13</definedName>
    <definedName name="Score_VOL">'Feuille 1'!$I$16</definedName>
    <definedName name="Sigil_factions">Factions!$A$105:$A$120</definedName>
    <definedName name="SR">Sorts!$A$2:$R$735</definedName>
    <definedName name="SR_list">Sorts!$A$2:$A$735</definedName>
    <definedName name="SR_mage_prêtre_list">Sorts!$A$161:$A$876</definedName>
    <definedName name="SR_mage_psionique">Sorts!$A$3:$A$559</definedName>
    <definedName name="SR_magicien">Sorts!$A$161:$A$559</definedName>
    <definedName name="SR_prêtres">Sorts!$A$561:$A$876</definedName>
    <definedName name="SR_psioniques">Sorts!$A$3:$A$158</definedName>
    <definedName name="ST_bon_nains">'Saving Throws'!$A$91:$B$116</definedName>
    <definedName name="ST_Mages">'Saving Throws'!$A$69:$F$89</definedName>
    <definedName name="ST_Pretres">'Saving Throws'!$A$2:$F$22</definedName>
    <definedName name="ST_Psi">'Saving Throws'!$G$46:$L$67</definedName>
    <definedName name="ST_Rien">'Saving Throws'!$H$69:$M$89</definedName>
    <definedName name="ST_Roub">'Saving Throws'!$A$24:$F$44</definedName>
    <definedName name="ST_War">'Saving Throws'!$A$46:$F$67</definedName>
    <definedName name="Syst_Mesure">'Feuille 1'!$AH$6</definedName>
    <definedName name="Tab_armures">Autres!$M$2:$N$18</definedName>
    <definedName name="Tab_comp_ajust_2.5">Compétences!$AJ$2:$AL$13</definedName>
    <definedName name="Tab_comp_groupe">Compétences!$Q$15:$X$18</definedName>
    <definedName name="Tab_comp_mod_score">Compétences!$AE$2:$AF$53</definedName>
    <definedName name="Tab_comp_voleur">Compétences!$N$39:$AC$54</definedName>
    <definedName name="Tab_comp_voleur_dex">Compétences!$P$58:$X$84</definedName>
    <definedName name="Tab_compétences">Compétences!$M$2:$R$9</definedName>
    <definedName name="Talent_psi_list">Sorts!$A$4:$A$158</definedName>
    <definedName name="test_SR">'Saving Throws'!$R$18</definedName>
    <definedName name="Types_classes">'Saving Throws'!$J$103:$L$103</definedName>
    <definedName name="Vade_Niveau">'Saving Throws'!$R$27</definedName>
    <definedName name="Vade_retro">'Saving Throws'!$H$31:$X$43</definedName>
    <definedName name="Voleur_armure_type">Compétences!$S$39:$AB$39</definedName>
  </definedNames>
  <calcPr calcId="124519"/>
</workbook>
</file>

<file path=xl/calcChain.xml><?xml version="1.0" encoding="utf-8"?>
<calcChain xmlns="http://schemas.openxmlformats.org/spreadsheetml/2006/main">
  <c r="F206" i="1"/>
  <c r="AG4" i="14" s="1"/>
  <c r="J31" i="10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  <c r="J4" i="16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AE4"/>
  <c r="AG4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I137"/>
  <c r="I127"/>
  <c r="I124"/>
  <c r="I113"/>
  <c r="I110"/>
  <c r="I108"/>
  <c r="I99"/>
  <c r="I97"/>
  <c r="I96"/>
  <c r="I89"/>
  <c r="I87"/>
  <c r="I83"/>
  <c r="I82"/>
  <c r="I73"/>
  <c r="I68"/>
  <c r="I66"/>
  <c r="I56"/>
  <c r="I43"/>
  <c r="I65"/>
  <c r="I64"/>
  <c r="I58"/>
  <c r="I80"/>
  <c r="I74"/>
  <c r="I72"/>
  <c r="I76"/>
  <c r="I57"/>
  <c r="AE5"/>
  <c r="I46"/>
  <c r="O38" i="1"/>
  <c r="O44" i="10"/>
  <c r="P44" s="1"/>
  <c r="N44"/>
  <c r="AD12" i="1"/>
  <c r="T152" i="2"/>
  <c r="T144"/>
  <c r="T148"/>
  <c r="T142"/>
  <c r="T143"/>
  <c r="T145"/>
  <c r="T146"/>
  <c r="T147"/>
  <c r="T150"/>
  <c r="U51" i="1" s="1"/>
  <c r="T151" i="2"/>
  <c r="T149"/>
  <c r="T153"/>
  <c r="T154"/>
  <c r="T141"/>
  <c r="R54" i="1"/>
  <c r="S54"/>
  <c r="T54"/>
  <c r="R55"/>
  <c r="S55"/>
  <c r="T55"/>
  <c r="R56"/>
  <c r="S56"/>
  <c r="T56"/>
  <c r="R57"/>
  <c r="S57"/>
  <c r="T57"/>
  <c r="R58"/>
  <c r="S58"/>
  <c r="T58"/>
  <c r="R59"/>
  <c r="S59"/>
  <c r="T59"/>
  <c r="R60"/>
  <c r="S60"/>
  <c r="T60"/>
  <c r="R61"/>
  <c r="S61"/>
  <c r="T61"/>
  <c r="R62"/>
  <c r="S62"/>
  <c r="T62"/>
  <c r="R63"/>
  <c r="S63"/>
  <c r="T63"/>
  <c r="R64"/>
  <c r="S64"/>
  <c r="T64"/>
  <c r="R65"/>
  <c r="S65"/>
  <c r="T65"/>
  <c r="R53"/>
  <c r="T53"/>
  <c r="S53"/>
  <c r="J78"/>
  <c r="W78"/>
  <c r="J79"/>
  <c r="W79"/>
  <c r="J80"/>
  <c r="W80"/>
  <c r="I19"/>
  <c r="I18"/>
  <c r="Y49" i="2"/>
  <c r="Y50" s="1"/>
  <c r="Y51" s="1"/>
  <c r="Y52" s="1"/>
  <c r="Y53" s="1"/>
  <c r="Y54" s="1"/>
  <c r="I17" i="1"/>
  <c r="I16"/>
  <c r="I15"/>
  <c r="I14"/>
  <c r="W15" s="1"/>
  <c r="H163" i="2"/>
  <c r="I163" s="1"/>
  <c r="H162"/>
  <c r="I162" s="1"/>
  <c r="H161"/>
  <c r="I161" s="1"/>
  <c r="I13" i="1"/>
  <c r="Y13" s="1"/>
  <c r="I12"/>
  <c r="W13" s="1"/>
  <c r="I10"/>
  <c r="I11"/>
  <c r="A46" i="2"/>
  <c r="A45"/>
  <c r="A44"/>
  <c r="A43"/>
  <c r="A30"/>
  <c r="A31"/>
  <c r="A32"/>
  <c r="A33"/>
  <c r="A34"/>
  <c r="A35"/>
  <c r="A36"/>
  <c r="A37"/>
  <c r="A38"/>
  <c r="A39"/>
  <c r="A40"/>
  <c r="A41"/>
  <c r="A42"/>
  <c r="A53"/>
  <c r="A54"/>
  <c r="A55"/>
  <c r="A56"/>
  <c r="A57"/>
  <c r="A58"/>
  <c r="A59"/>
  <c r="I8" i="1"/>
  <c r="I9"/>
  <c r="Y9" s="1"/>
  <c r="W2" i="10"/>
  <c r="O79"/>
  <c r="O78"/>
  <c r="O77"/>
  <c r="O76"/>
  <c r="O75"/>
  <c r="S6" i="1"/>
  <c r="C62" i="10"/>
  <c r="C61"/>
  <c r="C60"/>
  <c r="C59"/>
  <c r="C55"/>
  <c r="C54"/>
  <c r="C56"/>
  <c r="D686" i="15"/>
  <c r="D676"/>
  <c r="D674"/>
  <c r="D673"/>
  <c r="D667"/>
  <c r="D651"/>
  <c r="D653"/>
  <c r="D659"/>
  <c r="D658"/>
  <c r="C30"/>
  <c r="D637"/>
  <c r="D628"/>
  <c r="D616"/>
  <c r="D615"/>
  <c r="AB63" i="12"/>
  <c r="AC62"/>
  <c r="AD62" s="1"/>
  <c r="AE62" s="1"/>
  <c r="AC65"/>
  <c r="AD65" s="1"/>
  <c r="AE65" s="1"/>
  <c r="AA8"/>
  <c r="AA9"/>
  <c r="AA10"/>
  <c r="AA7"/>
  <c r="AB7" s="1"/>
  <c r="AB8"/>
  <c r="AB9"/>
  <c r="AB10"/>
  <c r="AA4"/>
  <c r="AB4" s="1"/>
  <c r="AA5"/>
  <c r="AB5" s="1"/>
  <c r="AA6"/>
  <c r="AB6" s="1"/>
  <c r="AA3"/>
  <c r="AB3" s="1"/>
  <c r="Z8"/>
  <c r="Z9"/>
  <c r="Z10"/>
  <c r="Z7"/>
  <c r="Z4"/>
  <c r="Z5"/>
  <c r="Z6"/>
  <c r="Z3"/>
  <c r="M46" i="10"/>
  <c r="O46" s="1"/>
  <c r="M45"/>
  <c r="O45" s="1"/>
  <c r="L46"/>
  <c r="L45"/>
  <c r="K32" i="1"/>
  <c r="M48" i="10"/>
  <c r="O48" s="1"/>
  <c r="L48"/>
  <c r="M56"/>
  <c r="N56" s="1"/>
  <c r="M54"/>
  <c r="N54" s="1"/>
  <c r="M52"/>
  <c r="N52" s="1"/>
  <c r="M50"/>
  <c r="O50" s="1"/>
  <c r="M55"/>
  <c r="N55" s="1"/>
  <c r="M53"/>
  <c r="O53" s="1"/>
  <c r="P53" s="1"/>
  <c r="M51"/>
  <c r="M49"/>
  <c r="L55"/>
  <c r="L53"/>
  <c r="L51"/>
  <c r="L56"/>
  <c r="L54"/>
  <c r="L52"/>
  <c r="L50"/>
  <c r="L49"/>
  <c r="N46" i="1"/>
  <c r="N45"/>
  <c r="A43"/>
  <c r="A42"/>
  <c r="N44"/>
  <c r="U48" i="2"/>
  <c r="U49"/>
  <c r="U50"/>
  <c r="U51"/>
  <c r="U52"/>
  <c r="U53"/>
  <c r="U54"/>
  <c r="U47"/>
  <c r="U46"/>
  <c r="U45"/>
  <c r="U44"/>
  <c r="U43"/>
  <c r="U42"/>
  <c r="U41"/>
  <c r="U40"/>
  <c r="U39"/>
  <c r="U38"/>
  <c r="U37"/>
  <c r="U36"/>
  <c r="U35"/>
  <c r="U34"/>
  <c r="U33"/>
  <c r="U32"/>
  <c r="U31"/>
  <c r="U30"/>
  <c r="A41" i="1"/>
  <c r="I15" i="11"/>
  <c r="S15" i="1" l="1"/>
  <c r="P15"/>
  <c r="I164" i="2"/>
  <c r="K13" i="1" s="1"/>
  <c r="S13"/>
  <c r="O13"/>
  <c r="N9"/>
  <c r="W9"/>
  <c r="K9"/>
  <c r="Q165"/>
  <c r="Q167"/>
  <c r="Q169"/>
  <c r="Q166"/>
  <c r="Q168"/>
  <c r="C57" i="10"/>
  <c r="M7" i="1"/>
  <c r="C63" i="10"/>
  <c r="C64" s="1"/>
  <c r="U5" i="1" s="1"/>
  <c r="N46" i="10"/>
  <c r="P46" s="1"/>
  <c r="Q46" s="1"/>
  <c r="O49"/>
  <c r="O51"/>
  <c r="P51" s="1"/>
  <c r="N50"/>
  <c r="AB11" i="12"/>
  <c r="O52" i="10"/>
  <c r="P52" s="1"/>
  <c r="O56"/>
  <c r="P56" s="1"/>
  <c r="N49"/>
  <c r="O54"/>
  <c r="P54" s="1"/>
  <c r="N51"/>
  <c r="N53"/>
  <c r="O55"/>
  <c r="N45"/>
  <c r="P45" s="1"/>
  <c r="N48"/>
  <c r="P48" s="1"/>
  <c r="E59" i="2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T9" i="1" s="1"/>
  <c r="E39" i="2"/>
  <c r="E38"/>
  <c r="E37"/>
  <c r="E36"/>
  <c r="E35"/>
  <c r="E34"/>
  <c r="E33"/>
  <c r="E32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Q9" i="1" s="1"/>
  <c r="D38" i="2"/>
  <c r="D37"/>
  <c r="D36"/>
  <c r="D35"/>
  <c r="D34"/>
  <c r="D33"/>
  <c r="D32"/>
  <c r="E31"/>
  <c r="D31"/>
  <c r="E30"/>
  <c r="D30"/>
  <c r="L103" i="11"/>
  <c r="L104" s="1"/>
  <c r="K103"/>
  <c r="K104" s="1"/>
  <c r="J103"/>
  <c r="X24" i="1"/>
  <c r="K25"/>
  <c r="A41" i="14"/>
  <c r="K19" i="11"/>
  <c r="K18"/>
  <c r="K17"/>
  <c r="K16"/>
  <c r="K15"/>
  <c r="D607" i="15"/>
  <c r="D600"/>
  <c r="D603"/>
  <c r="D602"/>
  <c r="D598"/>
  <c r="D590"/>
  <c r="D588"/>
  <c r="D587"/>
  <c r="A2" i="10"/>
  <c r="K132" i="15"/>
  <c r="K97"/>
  <c r="S35" i="10"/>
  <c r="S34"/>
  <c r="S33"/>
  <c r="H131" i="2"/>
  <c r="G131"/>
  <c r="F131"/>
  <c r="B152" i="15"/>
  <c r="B151"/>
  <c r="B130"/>
  <c r="B125"/>
  <c r="B97"/>
  <c r="B94"/>
  <c r="B63"/>
  <c r="B60"/>
  <c r="B52"/>
  <c r="B38"/>
  <c r="B33"/>
  <c r="B31"/>
  <c r="B24"/>
  <c r="B23"/>
  <c r="B19"/>
  <c r="B16"/>
  <c r="B10"/>
  <c r="B8"/>
  <c r="R5"/>
  <c r="R6"/>
  <c r="R8"/>
  <c r="R9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4"/>
  <c r="R35"/>
  <c r="R36"/>
  <c r="R37"/>
  <c r="R38"/>
  <c r="R40"/>
  <c r="R41"/>
  <c r="R42"/>
  <c r="R44"/>
  <c r="R45"/>
  <c r="R46"/>
  <c r="R47"/>
  <c r="R48"/>
  <c r="R49"/>
  <c r="R50"/>
  <c r="R52"/>
  <c r="R54"/>
  <c r="R55"/>
  <c r="R56"/>
  <c r="R57"/>
  <c r="R58"/>
  <c r="R59"/>
  <c r="R60"/>
  <c r="R61"/>
  <c r="R62"/>
  <c r="R63"/>
  <c r="R66"/>
  <c r="R67"/>
  <c r="R68"/>
  <c r="R69"/>
  <c r="R70"/>
  <c r="R71"/>
  <c r="R73"/>
  <c r="R74"/>
  <c r="R75"/>
  <c r="R76"/>
  <c r="R78"/>
  <c r="R79"/>
  <c r="R81"/>
  <c r="R82"/>
  <c r="R84"/>
  <c r="R85"/>
  <c r="R86"/>
  <c r="R87"/>
  <c r="R88"/>
  <c r="R89"/>
  <c r="R90"/>
  <c r="R91"/>
  <c r="R92"/>
  <c r="R98"/>
  <c r="R99"/>
  <c r="R105"/>
  <c r="R106"/>
  <c r="R107"/>
  <c r="R108"/>
  <c r="R110"/>
  <c r="R111"/>
  <c r="R113"/>
  <c r="R114"/>
  <c r="R115"/>
  <c r="R116"/>
  <c r="R118"/>
  <c r="R119"/>
  <c r="R120"/>
  <c r="R121"/>
  <c r="R122"/>
  <c r="R123"/>
  <c r="R124"/>
  <c r="R125"/>
  <c r="R127"/>
  <c r="R129"/>
  <c r="R130"/>
  <c r="R131"/>
  <c r="R133"/>
  <c r="R134"/>
  <c r="R135"/>
  <c r="R136"/>
  <c r="R137"/>
  <c r="R138"/>
  <c r="R139"/>
  <c r="R140"/>
  <c r="R141"/>
  <c r="R142"/>
  <c r="R144"/>
  <c r="R150"/>
  <c r="R151"/>
  <c r="R152"/>
  <c r="R153"/>
  <c r="R154"/>
  <c r="R155"/>
  <c r="R156"/>
  <c r="R4"/>
  <c r="C4"/>
  <c r="C7"/>
  <c r="B132"/>
  <c r="C28"/>
  <c r="C29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81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5"/>
  <c r="C6"/>
  <c r="K80"/>
  <c r="K16"/>
  <c r="K145"/>
  <c r="K131"/>
  <c r="K129"/>
  <c r="K127"/>
  <c r="B127"/>
  <c r="K124"/>
  <c r="K117"/>
  <c r="K115"/>
  <c r="K114"/>
  <c r="B112"/>
  <c r="K113"/>
  <c r="K111"/>
  <c r="K107"/>
  <c r="K102"/>
  <c r="K101"/>
  <c r="B92"/>
  <c r="K92"/>
  <c r="K82"/>
  <c r="K74"/>
  <c r="K73"/>
  <c r="K68"/>
  <c r="B68"/>
  <c r="K46"/>
  <c r="K52"/>
  <c r="K42"/>
  <c r="K110"/>
  <c r="K150"/>
  <c r="K88"/>
  <c r="K144"/>
  <c r="K121"/>
  <c r="K79"/>
  <c r="K71"/>
  <c r="K43"/>
  <c r="K34"/>
  <c r="K30"/>
  <c r="K28"/>
  <c r="K25"/>
  <c r="K22"/>
  <c r="K11"/>
  <c r="K152"/>
  <c r="K134"/>
  <c r="K112"/>
  <c r="K100"/>
  <c r="K96"/>
  <c r="K69"/>
  <c r="K65"/>
  <c r="K8"/>
  <c r="K157"/>
  <c r="K57"/>
  <c r="K19"/>
  <c r="K12"/>
  <c r="I21" i="11"/>
  <c r="I23"/>
  <c r="I24"/>
  <c r="I22"/>
  <c r="I25"/>
  <c r="Q45" i="10" l="1"/>
  <c r="P60" s="1"/>
  <c r="Q60" s="1"/>
  <c r="O37" i="1" s="1"/>
  <c r="U3"/>
  <c r="U4"/>
  <c r="J104" i="11"/>
  <c r="M104" s="1"/>
  <c r="P22" i="1" s="1"/>
  <c r="O22" s="1"/>
  <c r="N22" s="1"/>
  <c r="M22" s="1"/>
  <c r="L22" s="1"/>
  <c r="K22" s="1"/>
  <c r="J22" s="1"/>
  <c r="I22" s="1"/>
  <c r="H22" s="1"/>
  <c r="G22" s="1"/>
  <c r="F22" s="1"/>
  <c r="P50" i="10"/>
  <c r="P49"/>
  <c r="P55"/>
  <c r="U3"/>
  <c r="G132" i="2"/>
  <c r="P59" i="10" l="1"/>
  <c r="Q59" s="1"/>
  <c r="O36" i="1" s="1"/>
  <c r="Q22"/>
  <c r="R22" s="1"/>
  <c r="S22" s="1"/>
  <c r="T22" s="1"/>
  <c r="U22" s="1"/>
  <c r="V22" s="1"/>
  <c r="W22" s="1"/>
  <c r="X22" s="1"/>
  <c r="Y22" s="1"/>
  <c r="Z22" s="1"/>
  <c r="J68" l="1"/>
  <c r="J69"/>
  <c r="J71"/>
  <c r="J72"/>
  <c r="J73"/>
  <c r="J74"/>
  <c r="J75"/>
  <c r="J76"/>
  <c r="J77"/>
  <c r="W69"/>
  <c r="W70"/>
  <c r="W71"/>
  <c r="W72"/>
  <c r="W73"/>
  <c r="W74"/>
  <c r="W75"/>
  <c r="W76"/>
  <c r="W77"/>
  <c r="AE53" i="12"/>
  <c r="AE52"/>
  <c r="AE51"/>
  <c r="AE50"/>
  <c r="AE49"/>
  <c r="AE48"/>
  <c r="AE47"/>
  <c r="AE46"/>
  <c r="AE45"/>
  <c r="AE44"/>
  <c r="AE43"/>
  <c r="AE42"/>
  <c r="AE41"/>
  <c r="AE40"/>
  <c r="AE39"/>
  <c r="AE38"/>
  <c r="AE37"/>
  <c r="AE36"/>
  <c r="AE35"/>
  <c r="AE34"/>
  <c r="AE33"/>
  <c r="AE32"/>
  <c r="AE31"/>
  <c r="AE30"/>
  <c r="AE29"/>
  <c r="AE28"/>
  <c r="Z23"/>
  <c r="Z24"/>
  <c r="Z25"/>
  <c r="Z26"/>
  <c r="Z27"/>
  <c r="Z28"/>
  <c r="Z29"/>
  <c r="Z30"/>
  <c r="Z31"/>
  <c r="Z32"/>
  <c r="Z33"/>
  <c r="Z34"/>
  <c r="Z22"/>
  <c r="S23"/>
  <c r="S24"/>
  <c r="S25"/>
  <c r="S26"/>
  <c r="S27"/>
  <c r="S28"/>
  <c r="S29"/>
  <c r="S30"/>
  <c r="S31"/>
  <c r="S32"/>
  <c r="S33"/>
  <c r="S34"/>
  <c r="S22"/>
  <c r="T23"/>
  <c r="Y23" s="1"/>
  <c r="T24"/>
  <c r="Y24" s="1"/>
  <c r="T25"/>
  <c r="Y25" s="1"/>
  <c r="T26"/>
  <c r="Y26" s="1"/>
  <c r="T27"/>
  <c r="Y27" s="1"/>
  <c r="T28"/>
  <c r="Y28" s="1"/>
  <c r="T29"/>
  <c r="Y29" s="1"/>
  <c r="T30"/>
  <c r="Y30" s="1"/>
  <c r="T31"/>
  <c r="Y31" s="1"/>
  <c r="T32"/>
  <c r="T33"/>
  <c r="T34"/>
  <c r="T22"/>
  <c r="M23"/>
  <c r="M24"/>
  <c r="M25"/>
  <c r="M26"/>
  <c r="M27"/>
  <c r="M28"/>
  <c r="M29"/>
  <c r="M30"/>
  <c r="M31"/>
  <c r="R31" s="1"/>
  <c r="M32"/>
  <c r="M33"/>
  <c r="M34"/>
  <c r="M22"/>
  <c r="P22" s="1"/>
  <c r="R26" i="11"/>
  <c r="I17"/>
  <c r="I18"/>
  <c r="I16"/>
  <c r="I19"/>
  <c r="I6" l="1"/>
  <c r="K158" i="15"/>
  <c r="K153"/>
  <c r="K142"/>
  <c r="K133"/>
  <c r="K128"/>
  <c r="K125"/>
  <c r="K122"/>
  <c r="K94"/>
  <c r="K91"/>
  <c r="K89"/>
  <c r="K87"/>
  <c r="K84"/>
  <c r="K83"/>
  <c r="K81"/>
  <c r="K70"/>
  <c r="K66"/>
  <c r="K56"/>
  <c r="K51"/>
  <c r="K29"/>
  <c r="K23"/>
  <c r="K18"/>
  <c r="K15"/>
  <c r="K10"/>
  <c r="K4"/>
  <c r="K67"/>
  <c r="K63"/>
  <c r="K32"/>
  <c r="K20"/>
  <c r="K55"/>
  <c r="K47"/>
  <c r="K50"/>
  <c r="K31"/>
  <c r="K21"/>
  <c r="K13"/>
  <c r="K9"/>
  <c r="K126"/>
  <c r="K58"/>
  <c r="K140"/>
  <c r="K136"/>
  <c r="K130"/>
  <c r="K109"/>
  <c r="K139"/>
  <c r="K40"/>
  <c r="K75"/>
  <c r="K120"/>
  <c r="K38"/>
  <c r="K116"/>
  <c r="K104"/>
  <c r="K95"/>
  <c r="K93"/>
  <c r="K77"/>
  <c r="K72"/>
  <c r="K59"/>
  <c r="K53"/>
  <c r="K143"/>
  <c r="K103"/>
  <c r="A103"/>
  <c r="K64"/>
  <c r="K33"/>
  <c r="K149"/>
  <c r="K123"/>
  <c r="K118"/>
  <c r="K106"/>
  <c r="D62"/>
  <c r="K62"/>
  <c r="K37"/>
  <c r="D37"/>
  <c r="K148"/>
  <c r="K147"/>
  <c r="K39"/>
  <c r="K119"/>
  <c r="K135"/>
  <c r="K26"/>
  <c r="K76"/>
  <c r="K44"/>
  <c r="K24"/>
  <c r="K17"/>
  <c r="K7"/>
  <c r="K108"/>
  <c r="K90"/>
  <c r="K86"/>
  <c r="K5"/>
  <c r="K105"/>
  <c r="K99"/>
  <c r="K49"/>
  <c r="K48"/>
  <c r="K45"/>
  <c r="K27"/>
  <c r="K14"/>
  <c r="K6"/>
  <c r="K146"/>
  <c r="K85"/>
  <c r="K61"/>
  <c r="K54"/>
  <c r="K156"/>
  <c r="K155"/>
  <c r="K151"/>
  <c r="K141"/>
  <c r="K138"/>
  <c r="K137"/>
  <c r="K78"/>
  <c r="K60"/>
  <c r="K41"/>
  <c r="K154"/>
  <c r="K98"/>
  <c r="K36"/>
  <c r="K35"/>
  <c r="C80"/>
  <c r="D580"/>
  <c r="D569"/>
  <c r="D566"/>
  <c r="O65" i="1"/>
  <c r="O64"/>
  <c r="O59"/>
  <c r="O57"/>
  <c r="A21" i="10"/>
  <c r="B21"/>
  <c r="C21"/>
  <c r="D21"/>
  <c r="E21"/>
  <c r="F21"/>
  <c r="G21"/>
  <c r="A22"/>
  <c r="B22"/>
  <c r="C22"/>
  <c r="D22"/>
  <c r="E22"/>
  <c r="F22"/>
  <c r="G22"/>
  <c r="A23"/>
  <c r="B23"/>
  <c r="C23"/>
  <c r="D23"/>
  <c r="E23"/>
  <c r="F23"/>
  <c r="G23"/>
  <c r="A24"/>
  <c r="B24"/>
  <c r="C24"/>
  <c r="D24"/>
  <c r="E24"/>
  <c r="F24"/>
  <c r="G24"/>
  <c r="A25"/>
  <c r="B25"/>
  <c r="C25"/>
  <c r="D25"/>
  <c r="E25"/>
  <c r="F25"/>
  <c r="G25"/>
  <c r="A26"/>
  <c r="B26"/>
  <c r="C26"/>
  <c r="D26"/>
  <c r="E26"/>
  <c r="F26"/>
  <c r="G26"/>
  <c r="A27"/>
  <c r="B27"/>
  <c r="C27"/>
  <c r="D27"/>
  <c r="E27"/>
  <c r="F27"/>
  <c r="G27"/>
  <c r="A28"/>
  <c r="B28"/>
  <c r="C28"/>
  <c r="D28"/>
  <c r="E28"/>
  <c r="F28"/>
  <c r="G28"/>
  <c r="A29"/>
  <c r="B29"/>
  <c r="C29"/>
  <c r="D29"/>
  <c r="E29"/>
  <c r="F29"/>
  <c r="G29"/>
  <c r="A30"/>
  <c r="B30"/>
  <c r="C30"/>
  <c r="D30"/>
  <c r="E30"/>
  <c r="F30"/>
  <c r="G30"/>
  <c r="A31"/>
  <c r="B31"/>
  <c r="C31"/>
  <c r="D31"/>
  <c r="E31"/>
  <c r="F31"/>
  <c r="G31"/>
  <c r="H23"/>
  <c r="H24"/>
  <c r="H25"/>
  <c r="H26"/>
  <c r="H27"/>
  <c r="H28"/>
  <c r="H29"/>
  <c r="H30"/>
  <c r="H31"/>
  <c r="H22"/>
  <c r="H21"/>
  <c r="B20"/>
  <c r="A20"/>
  <c r="C20"/>
  <c r="D20"/>
  <c r="H20"/>
  <c r="G20"/>
  <c r="G19"/>
  <c r="G18"/>
  <c r="G17"/>
  <c r="G16"/>
  <c r="G15"/>
  <c r="G14"/>
  <c r="G13"/>
  <c r="B2"/>
  <c r="H19"/>
  <c r="H18"/>
  <c r="H17"/>
  <c r="H16"/>
  <c r="A19"/>
  <c r="A18"/>
  <c r="A17"/>
  <c r="A16"/>
  <c r="B19"/>
  <c r="B18"/>
  <c r="B17"/>
  <c r="B16"/>
  <c r="B15"/>
  <c r="B14"/>
  <c r="B13"/>
  <c r="B12"/>
  <c r="B11"/>
  <c r="B10"/>
  <c r="B9"/>
  <c r="B8"/>
  <c r="B7"/>
  <c r="B6"/>
  <c r="B5"/>
  <c r="B4"/>
  <c r="B3"/>
  <c r="D19"/>
  <c r="D18"/>
  <c r="D17"/>
  <c r="D16"/>
  <c r="D15"/>
  <c r="D14"/>
  <c r="D13"/>
  <c r="D12"/>
  <c r="D11"/>
  <c r="C19"/>
  <c r="C18"/>
  <c r="C17"/>
  <c r="D435" i="15"/>
  <c r="D396"/>
  <c r="D248"/>
  <c r="D195"/>
  <c r="D175"/>
  <c r="D258"/>
  <c r="D469"/>
  <c r="D464"/>
  <c r="D412"/>
  <c r="D256"/>
  <c r="D457"/>
  <c r="D298"/>
  <c r="D295"/>
  <c r="D278"/>
  <c r="D260"/>
  <c r="D229"/>
  <c r="D228"/>
  <c r="D226"/>
  <c r="D223"/>
  <c r="D470"/>
  <c r="D277"/>
  <c r="D224"/>
  <c r="D208"/>
  <c r="D188"/>
  <c r="D450"/>
  <c r="D393"/>
  <c r="D376"/>
  <c r="D343"/>
  <c r="D341"/>
  <c r="D299"/>
  <c r="D276"/>
  <c r="D242"/>
  <c r="D233"/>
  <c r="D183"/>
  <c r="D461"/>
  <c r="D453"/>
  <c r="D405"/>
  <c r="D320"/>
  <c r="D292"/>
  <c r="D204"/>
  <c r="D189"/>
  <c r="D308"/>
  <c r="D287"/>
  <c r="D172"/>
  <c r="D463"/>
  <c r="D452"/>
  <c r="D423"/>
  <c r="D409"/>
  <c r="D342"/>
  <c r="D336"/>
  <c r="D321"/>
  <c r="D304"/>
  <c r="D169"/>
  <c r="D182"/>
  <c r="D194"/>
  <c r="D241"/>
  <c r="D245"/>
  <c r="D301"/>
  <c r="F4"/>
  <c r="D5"/>
  <c r="F5"/>
  <c r="F6"/>
  <c r="F157"/>
  <c r="F156"/>
  <c r="D156"/>
  <c r="F155"/>
  <c r="F154"/>
  <c r="F153"/>
  <c r="D152"/>
  <c r="D151"/>
  <c r="F150"/>
  <c r="D150"/>
  <c r="F149"/>
  <c r="F148"/>
  <c r="F147"/>
  <c r="F146"/>
  <c r="F145"/>
  <c r="F144"/>
  <c r="F143"/>
  <c r="F141"/>
  <c r="D141"/>
  <c r="F140"/>
  <c r="D140"/>
  <c r="D139"/>
  <c r="F138"/>
  <c r="D138"/>
  <c r="F137"/>
  <c r="F136"/>
  <c r="D136"/>
  <c r="F135"/>
  <c r="D135"/>
  <c r="F133"/>
  <c r="D133"/>
  <c r="F132"/>
  <c r="D132"/>
  <c r="F131"/>
  <c r="D130"/>
  <c r="F129"/>
  <c r="F128"/>
  <c r="D128"/>
  <c r="F125"/>
  <c r="D125"/>
  <c r="F122"/>
  <c r="F121"/>
  <c r="D120"/>
  <c r="F119"/>
  <c r="D119"/>
  <c r="F118"/>
  <c r="D117"/>
  <c r="F116"/>
  <c r="D116"/>
  <c r="F115"/>
  <c r="F114"/>
  <c r="D114"/>
  <c r="F113"/>
  <c r="D113"/>
  <c r="F112"/>
  <c r="F111"/>
  <c r="D111"/>
  <c r="F110"/>
  <c r="D110"/>
  <c r="F109"/>
  <c r="D109"/>
  <c r="D108"/>
  <c r="F103"/>
  <c r="F99"/>
  <c r="D99"/>
  <c r="D98"/>
  <c r="D97"/>
  <c r="F96"/>
  <c r="F95"/>
  <c r="D94"/>
  <c r="D92"/>
  <c r="F91"/>
  <c r="D91"/>
  <c r="D90"/>
  <c r="F89"/>
  <c r="F88"/>
  <c r="D88"/>
  <c r="D87"/>
  <c r="F86"/>
  <c r="D86"/>
  <c r="F85"/>
  <c r="F84"/>
  <c r="F83"/>
  <c r="D83"/>
  <c r="F82"/>
  <c r="F81"/>
  <c r="D81"/>
  <c r="F80"/>
  <c r="D80"/>
  <c r="F79"/>
  <c r="F78"/>
  <c r="D78"/>
  <c r="F77"/>
  <c r="F76"/>
  <c r="D76"/>
  <c r="F75"/>
  <c r="D75"/>
  <c r="F74"/>
  <c r="F73"/>
  <c r="F72"/>
  <c r="F71"/>
  <c r="F70"/>
  <c r="D70"/>
  <c r="F68"/>
  <c r="F67"/>
  <c r="F66"/>
  <c r="F64"/>
  <c r="D63"/>
  <c r="F61"/>
  <c r="F60"/>
  <c r="D60"/>
  <c r="F59"/>
  <c r="F58"/>
  <c r="F57"/>
  <c r="D57"/>
  <c r="F56"/>
  <c r="F55"/>
  <c r="F54"/>
  <c r="F53"/>
  <c r="D53"/>
  <c r="F51"/>
  <c r="F50"/>
  <c r="F48"/>
  <c r="F47"/>
  <c r="F46"/>
  <c r="D46"/>
  <c r="F45"/>
  <c r="F44"/>
  <c r="D44"/>
  <c r="F43"/>
  <c r="F42"/>
  <c r="D41"/>
  <c r="F40"/>
  <c r="D40"/>
  <c r="F36"/>
  <c r="F35"/>
  <c r="F34"/>
  <c r="D32"/>
  <c r="D31"/>
  <c r="F30"/>
  <c r="D30"/>
  <c r="F29"/>
  <c r="D29"/>
  <c r="F28"/>
  <c r="D28"/>
  <c r="F27"/>
  <c r="D27"/>
  <c r="F26"/>
  <c r="F25"/>
  <c r="F24"/>
  <c r="D24"/>
  <c r="D23"/>
  <c r="F22"/>
  <c r="F21"/>
  <c r="F20"/>
  <c r="D20"/>
  <c r="F19"/>
  <c r="F18"/>
  <c r="D18"/>
  <c r="F17"/>
  <c r="D17"/>
  <c r="F16"/>
  <c r="D16"/>
  <c r="F13"/>
  <c r="F12"/>
  <c r="D12"/>
  <c r="F11"/>
  <c r="D10"/>
  <c r="F9"/>
  <c r="F7"/>
  <c r="AA8" i="14"/>
  <c r="W9"/>
  <c r="W10"/>
  <c r="W11"/>
  <c r="W12"/>
  <c r="W13"/>
  <c r="W14"/>
  <c r="W15"/>
  <c r="W16"/>
  <c r="W17"/>
  <c r="V15"/>
  <c r="V16"/>
  <c r="V17"/>
  <c r="D12"/>
  <c r="A42"/>
  <c r="B41"/>
  <c r="B42"/>
  <c r="C42"/>
  <c r="D42"/>
  <c r="E42"/>
  <c r="F42"/>
  <c r="G42"/>
  <c r="H42"/>
  <c r="A43"/>
  <c r="B43"/>
  <c r="C43"/>
  <c r="D43"/>
  <c r="E43"/>
  <c r="F43"/>
  <c r="G43"/>
  <c r="H43"/>
  <c r="A44"/>
  <c r="B44"/>
  <c r="C44"/>
  <c r="D44"/>
  <c r="E44"/>
  <c r="F44"/>
  <c r="G44"/>
  <c r="H44"/>
  <c r="A45"/>
  <c r="B45"/>
  <c r="C45"/>
  <c r="D45"/>
  <c r="E45"/>
  <c r="F45"/>
  <c r="G45"/>
  <c r="H45"/>
  <c r="A46"/>
  <c r="B46"/>
  <c r="C46"/>
  <c r="D46"/>
  <c r="E46"/>
  <c r="F46"/>
  <c r="G46"/>
  <c r="H46"/>
  <c r="A47"/>
  <c r="B47"/>
  <c r="C47"/>
  <c r="D47"/>
  <c r="E47"/>
  <c r="F47"/>
  <c r="G47"/>
  <c r="H47"/>
  <c r="A48"/>
  <c r="B48"/>
  <c r="C48"/>
  <c r="D48"/>
  <c r="E48"/>
  <c r="F48"/>
  <c r="G48"/>
  <c r="H48"/>
  <c r="A49"/>
  <c r="B49"/>
  <c r="C49"/>
  <c r="D49"/>
  <c r="E49"/>
  <c r="F49"/>
  <c r="G49"/>
  <c r="H49"/>
  <c r="A50"/>
  <c r="B50"/>
  <c r="C50"/>
  <c r="D50"/>
  <c r="E50"/>
  <c r="F50"/>
  <c r="G50"/>
  <c r="H50"/>
  <c r="A51"/>
  <c r="B51"/>
  <c r="C51"/>
  <c r="D51"/>
  <c r="E51"/>
  <c r="F51"/>
  <c r="G51"/>
  <c r="H51"/>
  <c r="A52"/>
  <c r="B52"/>
  <c r="C52"/>
  <c r="D52"/>
  <c r="E52"/>
  <c r="F52"/>
  <c r="G52"/>
  <c r="H52"/>
  <c r="A53"/>
  <c r="B53"/>
  <c r="C53"/>
  <c r="D53"/>
  <c r="E53"/>
  <c r="F53"/>
  <c r="G53"/>
  <c r="H53"/>
  <c r="A54"/>
  <c r="B54"/>
  <c r="C54"/>
  <c r="D54"/>
  <c r="E54"/>
  <c r="F54"/>
  <c r="G54"/>
  <c r="H54"/>
  <c r="A55"/>
  <c r="B55"/>
  <c r="C55"/>
  <c r="D55"/>
  <c r="E55"/>
  <c r="F55"/>
  <c r="G55"/>
  <c r="H55"/>
  <c r="A56"/>
  <c r="B56"/>
  <c r="C56"/>
  <c r="D56"/>
  <c r="E56"/>
  <c r="F56"/>
  <c r="G56"/>
  <c r="H56"/>
  <c r="A57"/>
  <c r="B57"/>
  <c r="C57"/>
  <c r="D57"/>
  <c r="E57"/>
  <c r="F57"/>
  <c r="G57"/>
  <c r="H57"/>
  <c r="A58"/>
  <c r="B58"/>
  <c r="C58"/>
  <c r="D58"/>
  <c r="E58"/>
  <c r="F58"/>
  <c r="G58"/>
  <c r="H58"/>
  <c r="A59"/>
  <c r="B59"/>
  <c r="C59"/>
  <c r="D59"/>
  <c r="E59"/>
  <c r="F59"/>
  <c r="G59"/>
  <c r="H59"/>
  <c r="A60"/>
  <c r="B60"/>
  <c r="C60"/>
  <c r="D60"/>
  <c r="E60"/>
  <c r="F60"/>
  <c r="G60"/>
  <c r="H60"/>
  <c r="A61"/>
  <c r="B61"/>
  <c r="C61"/>
  <c r="D61"/>
  <c r="E61"/>
  <c r="F61"/>
  <c r="G61"/>
  <c r="H61"/>
  <c r="A62"/>
  <c r="B62"/>
  <c r="C62"/>
  <c r="D62"/>
  <c r="E62"/>
  <c r="F62"/>
  <c r="G62"/>
  <c r="H62"/>
  <c r="A63"/>
  <c r="B63"/>
  <c r="C63"/>
  <c r="D63"/>
  <c r="E63"/>
  <c r="F63"/>
  <c r="G63"/>
  <c r="H63"/>
  <c r="A64"/>
  <c r="B64"/>
  <c r="C64"/>
  <c r="D64"/>
  <c r="E64"/>
  <c r="F64"/>
  <c r="G64"/>
  <c r="H64"/>
  <c r="A65"/>
  <c r="B65"/>
  <c r="C65"/>
  <c r="D65"/>
  <c r="E65"/>
  <c r="F65"/>
  <c r="G65"/>
  <c r="H65"/>
  <c r="A66"/>
  <c r="B66"/>
  <c r="C66"/>
  <c r="D66"/>
  <c r="E66"/>
  <c r="F66"/>
  <c r="G66"/>
  <c r="H66"/>
  <c r="A67"/>
  <c r="B67"/>
  <c r="C67"/>
  <c r="D67"/>
  <c r="E67"/>
  <c r="F67"/>
  <c r="G67"/>
  <c r="H67"/>
  <c r="A68"/>
  <c r="B68"/>
  <c r="C68"/>
  <c r="D68"/>
  <c r="E68"/>
  <c r="F68"/>
  <c r="G68"/>
  <c r="H68"/>
  <c r="A69"/>
  <c r="B69"/>
  <c r="C69"/>
  <c r="D69"/>
  <c r="E69"/>
  <c r="F69"/>
  <c r="G69"/>
  <c r="H69"/>
  <c r="A70"/>
  <c r="B70"/>
  <c r="C70"/>
  <c r="D70"/>
  <c r="E70"/>
  <c r="F70"/>
  <c r="G70"/>
  <c r="H70"/>
  <c r="A71"/>
  <c r="B71"/>
  <c r="C71"/>
  <c r="D71"/>
  <c r="E71"/>
  <c r="F71"/>
  <c r="G71"/>
  <c r="H71"/>
  <c r="A72"/>
  <c r="B72"/>
  <c r="C72"/>
  <c r="D72"/>
  <c r="E72"/>
  <c r="F72"/>
  <c r="G72"/>
  <c r="H72"/>
  <c r="A73"/>
  <c r="B73"/>
  <c r="C73"/>
  <c r="D73"/>
  <c r="E73"/>
  <c r="F73"/>
  <c r="G73"/>
  <c r="H73"/>
  <c r="A74"/>
  <c r="B74"/>
  <c r="C74"/>
  <c r="D74"/>
  <c r="E74"/>
  <c r="F74"/>
  <c r="G74"/>
  <c r="H74"/>
  <c r="A75"/>
  <c r="B75"/>
  <c r="C75"/>
  <c r="D75"/>
  <c r="E75"/>
  <c r="F75"/>
  <c r="G75"/>
  <c r="H75"/>
  <c r="A76"/>
  <c r="B76"/>
  <c r="C76"/>
  <c r="D76"/>
  <c r="E76"/>
  <c r="F76"/>
  <c r="G76"/>
  <c r="H76"/>
  <c r="A77"/>
  <c r="B77"/>
  <c r="C77"/>
  <c r="D77"/>
  <c r="E77"/>
  <c r="F77"/>
  <c r="G77"/>
  <c r="H77"/>
  <c r="A78"/>
  <c r="B78"/>
  <c r="C78"/>
  <c r="D78"/>
  <c r="E78"/>
  <c r="F78"/>
  <c r="G78"/>
  <c r="H78"/>
  <c r="A79"/>
  <c r="B79"/>
  <c r="C79"/>
  <c r="D79"/>
  <c r="E79"/>
  <c r="F79"/>
  <c r="G79"/>
  <c r="H79"/>
  <c r="A80"/>
  <c r="B80"/>
  <c r="C80"/>
  <c r="D80"/>
  <c r="E80"/>
  <c r="F80"/>
  <c r="G80"/>
  <c r="H80"/>
  <c r="A81"/>
  <c r="B81"/>
  <c r="C81"/>
  <c r="D81"/>
  <c r="E81"/>
  <c r="F81"/>
  <c r="G81"/>
  <c r="H81"/>
  <c r="A82"/>
  <c r="B82"/>
  <c r="C82"/>
  <c r="D82"/>
  <c r="E82"/>
  <c r="F82"/>
  <c r="G82"/>
  <c r="H82"/>
  <c r="A83"/>
  <c r="B83"/>
  <c r="C83"/>
  <c r="D83"/>
  <c r="E83"/>
  <c r="F83"/>
  <c r="G83"/>
  <c r="H83"/>
  <c r="A84"/>
  <c r="B84"/>
  <c r="C84"/>
  <c r="D84"/>
  <c r="E84"/>
  <c r="F84"/>
  <c r="G84"/>
  <c r="H84"/>
  <c r="A85"/>
  <c r="B85"/>
  <c r="C85"/>
  <c r="D85"/>
  <c r="E85"/>
  <c r="F85"/>
  <c r="G85"/>
  <c r="H85"/>
  <c r="A86"/>
  <c r="B86"/>
  <c r="C86"/>
  <c r="D86"/>
  <c r="E86"/>
  <c r="F86"/>
  <c r="G86"/>
  <c r="H86"/>
  <c r="A87"/>
  <c r="B87"/>
  <c r="C87"/>
  <c r="D87"/>
  <c r="E87"/>
  <c r="F87"/>
  <c r="G87"/>
  <c r="H87"/>
  <c r="A88"/>
  <c r="B88"/>
  <c r="C88"/>
  <c r="D88"/>
  <c r="E88"/>
  <c r="F88"/>
  <c r="G88"/>
  <c r="H88"/>
  <c r="A89"/>
  <c r="B89"/>
  <c r="C89"/>
  <c r="D89"/>
  <c r="E89"/>
  <c r="F89"/>
  <c r="G89"/>
  <c r="H89"/>
  <c r="A90"/>
  <c r="B90"/>
  <c r="C90"/>
  <c r="D90"/>
  <c r="E90"/>
  <c r="F90"/>
  <c r="G90"/>
  <c r="H90"/>
  <c r="A91"/>
  <c r="B91"/>
  <c r="C91"/>
  <c r="D91"/>
  <c r="E91"/>
  <c r="F91"/>
  <c r="G91"/>
  <c r="H91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AE42"/>
  <c r="AF42"/>
  <c r="AG42" s="1"/>
  <c r="AE43"/>
  <c r="AF43"/>
  <c r="AG43" s="1"/>
  <c r="AE44"/>
  <c r="AF44"/>
  <c r="AG44" s="1"/>
  <c r="AE45"/>
  <c r="AF45"/>
  <c r="AG45" s="1"/>
  <c r="AE46"/>
  <c r="AF46"/>
  <c r="AG46" s="1"/>
  <c r="AE47"/>
  <c r="AF47"/>
  <c r="AG47" s="1"/>
  <c r="AE48"/>
  <c r="AF48"/>
  <c r="AG48" s="1"/>
  <c r="AE49"/>
  <c r="AF49"/>
  <c r="AG49" s="1"/>
  <c r="AE50"/>
  <c r="AF50"/>
  <c r="AG50" s="1"/>
  <c r="AE51"/>
  <c r="AF51"/>
  <c r="AG51" s="1"/>
  <c r="AE52"/>
  <c r="AF52"/>
  <c r="AG52" s="1"/>
  <c r="AE53"/>
  <c r="AF53"/>
  <c r="AG53" s="1"/>
  <c r="AE54"/>
  <c r="AF54"/>
  <c r="AG54" s="1"/>
  <c r="AE55"/>
  <c r="AF55"/>
  <c r="AG55" s="1"/>
  <c r="AE56"/>
  <c r="AF56"/>
  <c r="AG56" s="1"/>
  <c r="AE57"/>
  <c r="AF57"/>
  <c r="AG57" s="1"/>
  <c r="AE58"/>
  <c r="AF58"/>
  <c r="AG58" s="1"/>
  <c r="AE59"/>
  <c r="AF59"/>
  <c r="AG59" s="1"/>
  <c r="AE60"/>
  <c r="AF60"/>
  <c r="AG60" s="1"/>
  <c r="AE61"/>
  <c r="AF61"/>
  <c r="AG61" s="1"/>
  <c r="AE62"/>
  <c r="AF62"/>
  <c r="AG62" s="1"/>
  <c r="AE63"/>
  <c r="AF63"/>
  <c r="AG63" s="1"/>
  <c r="AE64"/>
  <c r="AF64"/>
  <c r="AG64" s="1"/>
  <c r="AE65"/>
  <c r="AF65"/>
  <c r="AG65" s="1"/>
  <c r="AE66"/>
  <c r="AF66"/>
  <c r="AG66" s="1"/>
  <c r="AE67"/>
  <c r="AF67"/>
  <c r="AG67" s="1"/>
  <c r="AE68"/>
  <c r="AF68"/>
  <c r="AG68" s="1"/>
  <c r="AE69"/>
  <c r="AF69"/>
  <c r="AG69" s="1"/>
  <c r="AE70"/>
  <c r="AF70"/>
  <c r="AG70" s="1"/>
  <c r="AE71"/>
  <c r="AF71"/>
  <c r="AG71" s="1"/>
  <c r="AE72"/>
  <c r="AF72"/>
  <c r="AG72" s="1"/>
  <c r="AE73"/>
  <c r="AF73"/>
  <c r="AG73" s="1"/>
  <c r="AE74"/>
  <c r="AF74"/>
  <c r="AG74" s="1"/>
  <c r="AE75"/>
  <c r="AF75"/>
  <c r="AG75" s="1"/>
  <c r="AE76"/>
  <c r="AF76"/>
  <c r="AG76" s="1"/>
  <c r="AE77"/>
  <c r="AF77"/>
  <c r="AG77" s="1"/>
  <c r="AE78"/>
  <c r="AF78"/>
  <c r="AG78" s="1"/>
  <c r="AE79"/>
  <c r="AF79"/>
  <c r="AG79" s="1"/>
  <c r="AE80"/>
  <c r="AF80"/>
  <c r="AG80" s="1"/>
  <c r="AE81"/>
  <c r="AF81"/>
  <c r="AE82"/>
  <c r="AF82"/>
  <c r="AE83"/>
  <c r="AF83"/>
  <c r="AE84"/>
  <c r="AF84"/>
  <c r="AE85"/>
  <c r="AF85"/>
  <c r="AE86"/>
  <c r="AF86"/>
  <c r="AE87"/>
  <c r="AF87"/>
  <c r="AG87" s="1"/>
  <c r="AE88"/>
  <c r="AF88"/>
  <c r="AG88" s="1"/>
  <c r="AE89"/>
  <c r="AF89"/>
  <c r="AE90"/>
  <c r="AF90"/>
  <c r="AE91"/>
  <c r="AF91"/>
  <c r="AG91" s="1"/>
  <c r="X42"/>
  <c r="Y42"/>
  <c r="AA42"/>
  <c r="AB42"/>
  <c r="AC42"/>
  <c r="AD42"/>
  <c r="X43"/>
  <c r="Y43"/>
  <c r="AA43"/>
  <c r="AB43"/>
  <c r="AC43"/>
  <c r="AD43"/>
  <c r="X44"/>
  <c r="Y44"/>
  <c r="Z44"/>
  <c r="AA44"/>
  <c r="AB44"/>
  <c r="AC44"/>
  <c r="AD44"/>
  <c r="X45"/>
  <c r="Y45"/>
  <c r="Z45"/>
  <c r="AA45"/>
  <c r="AB45"/>
  <c r="AC45"/>
  <c r="AD45"/>
  <c r="X46"/>
  <c r="Y46"/>
  <c r="Z46"/>
  <c r="AA46"/>
  <c r="AB46"/>
  <c r="AC46"/>
  <c r="AD46"/>
  <c r="X47"/>
  <c r="Y47"/>
  <c r="Z47"/>
  <c r="AA47"/>
  <c r="AB47"/>
  <c r="AC47"/>
  <c r="AD47"/>
  <c r="X48"/>
  <c r="Y48"/>
  <c r="Z48"/>
  <c r="AA48"/>
  <c r="AB48"/>
  <c r="AC48"/>
  <c r="AD48"/>
  <c r="X49"/>
  <c r="Y49"/>
  <c r="Z49"/>
  <c r="AA49"/>
  <c r="AB49"/>
  <c r="AC49"/>
  <c r="AD49"/>
  <c r="X50"/>
  <c r="Y50"/>
  <c r="Z50"/>
  <c r="AA50"/>
  <c r="AB50"/>
  <c r="AC50"/>
  <c r="AD50"/>
  <c r="X51"/>
  <c r="Y51"/>
  <c r="Z51"/>
  <c r="AA51"/>
  <c r="AB51"/>
  <c r="AC51"/>
  <c r="AD51"/>
  <c r="X52"/>
  <c r="Y52"/>
  <c r="Z52"/>
  <c r="AA52"/>
  <c r="AB52"/>
  <c r="AC52"/>
  <c r="AD52"/>
  <c r="X53"/>
  <c r="Y53"/>
  <c r="Z53"/>
  <c r="AA53"/>
  <c r="AB53"/>
  <c r="AC53"/>
  <c r="AD53"/>
  <c r="X54"/>
  <c r="Y54"/>
  <c r="Z54"/>
  <c r="AA54"/>
  <c r="AB54"/>
  <c r="AC54"/>
  <c r="AD54"/>
  <c r="X55"/>
  <c r="Y55"/>
  <c r="Z55"/>
  <c r="AA55"/>
  <c r="AB55"/>
  <c r="AC55"/>
  <c r="AD55"/>
  <c r="X56"/>
  <c r="Y56"/>
  <c r="Z56"/>
  <c r="AA56"/>
  <c r="AB56"/>
  <c r="AC56"/>
  <c r="AD56"/>
  <c r="X57"/>
  <c r="Y57"/>
  <c r="Z57"/>
  <c r="AA57"/>
  <c r="AB57"/>
  <c r="AC57"/>
  <c r="AD57"/>
  <c r="X58"/>
  <c r="Y58"/>
  <c r="Z58"/>
  <c r="AA58"/>
  <c r="AB58"/>
  <c r="AC58"/>
  <c r="AD58"/>
  <c r="X59"/>
  <c r="Y59"/>
  <c r="Z59"/>
  <c r="AA59"/>
  <c r="AB59"/>
  <c r="AC59"/>
  <c r="AD59"/>
  <c r="X60"/>
  <c r="Y60"/>
  <c r="Z60"/>
  <c r="AA60"/>
  <c r="AB60"/>
  <c r="AC60"/>
  <c r="AD60"/>
  <c r="X61"/>
  <c r="Y61"/>
  <c r="Z61"/>
  <c r="AA61"/>
  <c r="AB61"/>
  <c r="AC61"/>
  <c r="AD61"/>
  <c r="X62"/>
  <c r="Y62"/>
  <c r="Z62"/>
  <c r="AA62"/>
  <c r="AB62"/>
  <c r="AC62"/>
  <c r="AD62"/>
  <c r="X63"/>
  <c r="Y63"/>
  <c r="Z63"/>
  <c r="AA63"/>
  <c r="AB63"/>
  <c r="AC63"/>
  <c r="AD63"/>
  <c r="X64"/>
  <c r="Y64"/>
  <c r="Z64"/>
  <c r="AA64"/>
  <c r="AB64"/>
  <c r="AC64"/>
  <c r="AD64"/>
  <c r="X65"/>
  <c r="Y65"/>
  <c r="Z65"/>
  <c r="AA65"/>
  <c r="AB65"/>
  <c r="AC65"/>
  <c r="AD65"/>
  <c r="X66"/>
  <c r="Y66"/>
  <c r="Z66"/>
  <c r="AA66"/>
  <c r="AB66"/>
  <c r="AC66"/>
  <c r="AD66"/>
  <c r="X67"/>
  <c r="Y67"/>
  <c r="Z67"/>
  <c r="AA67"/>
  <c r="AB67"/>
  <c r="AC67"/>
  <c r="AD67"/>
  <c r="X68"/>
  <c r="Y68"/>
  <c r="Z68"/>
  <c r="AA68"/>
  <c r="AB68"/>
  <c r="AC68"/>
  <c r="AD68"/>
  <c r="X69"/>
  <c r="Y69"/>
  <c r="Z69"/>
  <c r="AA69"/>
  <c r="AB69"/>
  <c r="AC69"/>
  <c r="AD69"/>
  <c r="X70"/>
  <c r="Y70"/>
  <c r="Z70"/>
  <c r="AA70"/>
  <c r="AB70"/>
  <c r="AC70"/>
  <c r="AD70"/>
  <c r="X71"/>
  <c r="Y71"/>
  <c r="Z71"/>
  <c r="AA71"/>
  <c r="AB71"/>
  <c r="AC71"/>
  <c r="AD71"/>
  <c r="X72"/>
  <c r="Y72"/>
  <c r="Z72"/>
  <c r="AA72"/>
  <c r="AB72"/>
  <c r="AC72"/>
  <c r="AD72"/>
  <c r="X73"/>
  <c r="Y73"/>
  <c r="Z73"/>
  <c r="AA73"/>
  <c r="AB73"/>
  <c r="AC73"/>
  <c r="AD73"/>
  <c r="X74"/>
  <c r="Y74"/>
  <c r="Z74"/>
  <c r="AA74"/>
  <c r="AB74"/>
  <c r="AC74"/>
  <c r="AD74"/>
  <c r="X75"/>
  <c r="Y75"/>
  <c r="Z75"/>
  <c r="AA75"/>
  <c r="AB75"/>
  <c r="AC75"/>
  <c r="AD75"/>
  <c r="X76"/>
  <c r="Y76"/>
  <c r="Z76"/>
  <c r="AA76"/>
  <c r="AB76"/>
  <c r="AC76"/>
  <c r="AD76"/>
  <c r="X77"/>
  <c r="Y77"/>
  <c r="Z77"/>
  <c r="AA77"/>
  <c r="AB77"/>
  <c r="AC77"/>
  <c r="AD77"/>
  <c r="X78"/>
  <c r="Y78"/>
  <c r="Z78"/>
  <c r="AA78"/>
  <c r="AB78"/>
  <c r="AC78"/>
  <c r="AD78"/>
  <c r="X79"/>
  <c r="Y79"/>
  <c r="Z79"/>
  <c r="AA79"/>
  <c r="AB79"/>
  <c r="AC79"/>
  <c r="AD79"/>
  <c r="X80"/>
  <c r="Y80"/>
  <c r="Z80"/>
  <c r="AA80"/>
  <c r="AB80"/>
  <c r="AC80"/>
  <c r="AD80"/>
  <c r="X81"/>
  <c r="Y81"/>
  <c r="Z81"/>
  <c r="AA81"/>
  <c r="AB81"/>
  <c r="AC81"/>
  <c r="AD81"/>
  <c r="X82"/>
  <c r="Y82"/>
  <c r="Z82"/>
  <c r="AA82"/>
  <c r="AB82"/>
  <c r="AC82"/>
  <c r="AD82"/>
  <c r="X83"/>
  <c r="Y83"/>
  <c r="Z83"/>
  <c r="AA83"/>
  <c r="AB83"/>
  <c r="AC83"/>
  <c r="AD83"/>
  <c r="X84"/>
  <c r="Y84"/>
  <c r="Z84"/>
  <c r="AA84"/>
  <c r="AB84"/>
  <c r="AC84"/>
  <c r="AD84"/>
  <c r="X85"/>
  <c r="Y85"/>
  <c r="Z85"/>
  <c r="AA85"/>
  <c r="AB85"/>
  <c r="AC85"/>
  <c r="AD85"/>
  <c r="X86"/>
  <c r="Y86"/>
  <c r="Z86"/>
  <c r="AA86"/>
  <c r="AB86"/>
  <c r="AC86"/>
  <c r="AD86"/>
  <c r="X87"/>
  <c r="Y87"/>
  <c r="Z87"/>
  <c r="AA87"/>
  <c r="AB87"/>
  <c r="AC87"/>
  <c r="AD87"/>
  <c r="X88"/>
  <c r="Y88"/>
  <c r="Z88"/>
  <c r="AA88"/>
  <c r="AB88"/>
  <c r="AC88"/>
  <c r="AD88"/>
  <c r="X89"/>
  <c r="Y89"/>
  <c r="Z89"/>
  <c r="AA89"/>
  <c r="AB89"/>
  <c r="AC89"/>
  <c r="AD89"/>
  <c r="X90"/>
  <c r="Y90"/>
  <c r="Z90"/>
  <c r="AA90"/>
  <c r="AB90"/>
  <c r="AC90"/>
  <c r="AD90"/>
  <c r="X91"/>
  <c r="Y91"/>
  <c r="Z91"/>
  <c r="AA91"/>
  <c r="AB91"/>
  <c r="AC91"/>
  <c r="AD91"/>
  <c r="L42"/>
  <c r="M42"/>
  <c r="N42"/>
  <c r="O42"/>
  <c r="P42"/>
  <c r="R42"/>
  <c r="S42"/>
  <c r="T42"/>
  <c r="U42"/>
  <c r="V42"/>
  <c r="W42"/>
  <c r="L43"/>
  <c r="M43"/>
  <c r="N43"/>
  <c r="O43"/>
  <c r="P43"/>
  <c r="R43"/>
  <c r="S43"/>
  <c r="T43"/>
  <c r="U43"/>
  <c r="V43"/>
  <c r="W43"/>
  <c r="L44"/>
  <c r="M44"/>
  <c r="N44"/>
  <c r="O44"/>
  <c r="P44"/>
  <c r="R44"/>
  <c r="S44"/>
  <c r="T44"/>
  <c r="U44"/>
  <c r="V44"/>
  <c r="W44"/>
  <c r="L45"/>
  <c r="M45"/>
  <c r="N45"/>
  <c r="O45"/>
  <c r="P45"/>
  <c r="R45"/>
  <c r="S45"/>
  <c r="T45"/>
  <c r="U45"/>
  <c r="V45"/>
  <c r="W45"/>
  <c r="L46"/>
  <c r="M46"/>
  <c r="N46"/>
  <c r="O46"/>
  <c r="P46"/>
  <c r="R46"/>
  <c r="S46"/>
  <c r="T46"/>
  <c r="U46"/>
  <c r="V46"/>
  <c r="W46"/>
  <c r="L47"/>
  <c r="M47"/>
  <c r="N47"/>
  <c r="O47"/>
  <c r="P47"/>
  <c r="R47"/>
  <c r="S47"/>
  <c r="T47"/>
  <c r="U47"/>
  <c r="V47"/>
  <c r="W47"/>
  <c r="L48"/>
  <c r="M48"/>
  <c r="N48"/>
  <c r="O48"/>
  <c r="P48"/>
  <c r="R48"/>
  <c r="S48"/>
  <c r="T48"/>
  <c r="U48"/>
  <c r="V48"/>
  <c r="W48"/>
  <c r="L49"/>
  <c r="M49"/>
  <c r="N49"/>
  <c r="O49"/>
  <c r="P49"/>
  <c r="R49"/>
  <c r="S49"/>
  <c r="T49"/>
  <c r="U49"/>
  <c r="V49"/>
  <c r="W49"/>
  <c r="L50"/>
  <c r="M50"/>
  <c r="N50"/>
  <c r="O50"/>
  <c r="P50"/>
  <c r="R50"/>
  <c r="S50"/>
  <c r="T50"/>
  <c r="U50"/>
  <c r="V50"/>
  <c r="W50"/>
  <c r="L51"/>
  <c r="M51"/>
  <c r="N51"/>
  <c r="O51"/>
  <c r="P51"/>
  <c r="R51"/>
  <c r="S51"/>
  <c r="T51"/>
  <c r="U51"/>
  <c r="V51"/>
  <c r="W51"/>
  <c r="L52"/>
  <c r="M52"/>
  <c r="N52"/>
  <c r="O52"/>
  <c r="P52"/>
  <c r="R52"/>
  <c r="S52"/>
  <c r="T52"/>
  <c r="U52"/>
  <c r="V52"/>
  <c r="W52"/>
  <c r="L53"/>
  <c r="M53"/>
  <c r="N53"/>
  <c r="O53"/>
  <c r="P53"/>
  <c r="R53"/>
  <c r="S53"/>
  <c r="T53"/>
  <c r="U53"/>
  <c r="V53"/>
  <c r="W53"/>
  <c r="L54"/>
  <c r="M54"/>
  <c r="N54"/>
  <c r="O54"/>
  <c r="P54"/>
  <c r="R54"/>
  <c r="S54"/>
  <c r="T54"/>
  <c r="U54"/>
  <c r="V54"/>
  <c r="W54"/>
  <c r="L55"/>
  <c r="M55"/>
  <c r="N55"/>
  <c r="O55"/>
  <c r="P55"/>
  <c r="R55"/>
  <c r="S55"/>
  <c r="T55"/>
  <c r="U55"/>
  <c r="V55"/>
  <c r="W55"/>
  <c r="L56"/>
  <c r="M56"/>
  <c r="N56"/>
  <c r="O56"/>
  <c r="P56"/>
  <c r="Q56"/>
  <c r="R56"/>
  <c r="S56"/>
  <c r="T56"/>
  <c r="U56"/>
  <c r="V56"/>
  <c r="W56"/>
  <c r="L57"/>
  <c r="M57"/>
  <c r="N57"/>
  <c r="O57"/>
  <c r="P57"/>
  <c r="Q57"/>
  <c r="R57"/>
  <c r="S57"/>
  <c r="T57"/>
  <c r="U57"/>
  <c r="V57"/>
  <c r="W57"/>
  <c r="L58"/>
  <c r="M58"/>
  <c r="N58"/>
  <c r="O58"/>
  <c r="P58"/>
  <c r="Q58"/>
  <c r="R58"/>
  <c r="S58"/>
  <c r="T58"/>
  <c r="U58"/>
  <c r="V58"/>
  <c r="W58"/>
  <c r="L59"/>
  <c r="M59"/>
  <c r="N59"/>
  <c r="O59"/>
  <c r="P59"/>
  <c r="Q59"/>
  <c r="R59"/>
  <c r="S59"/>
  <c r="T59"/>
  <c r="U59"/>
  <c r="V59"/>
  <c r="W59"/>
  <c r="L60"/>
  <c r="M60"/>
  <c r="N60"/>
  <c r="O60"/>
  <c r="P60"/>
  <c r="Q60"/>
  <c r="R60"/>
  <c r="S60"/>
  <c r="T60"/>
  <c r="U60"/>
  <c r="V60"/>
  <c r="W60"/>
  <c r="L61"/>
  <c r="M61"/>
  <c r="N61"/>
  <c r="O61"/>
  <c r="P61"/>
  <c r="Q61"/>
  <c r="R61"/>
  <c r="S61"/>
  <c r="T61"/>
  <c r="U61"/>
  <c r="V61"/>
  <c r="W61"/>
  <c r="L62"/>
  <c r="M62"/>
  <c r="N62"/>
  <c r="O62"/>
  <c r="P62"/>
  <c r="Q62"/>
  <c r="R62"/>
  <c r="S62"/>
  <c r="T62"/>
  <c r="U62"/>
  <c r="V62"/>
  <c r="W62"/>
  <c r="L63"/>
  <c r="M63"/>
  <c r="N63"/>
  <c r="O63"/>
  <c r="P63"/>
  <c r="Q63"/>
  <c r="R63"/>
  <c r="S63"/>
  <c r="T63"/>
  <c r="U63"/>
  <c r="V63"/>
  <c r="W63"/>
  <c r="L64"/>
  <c r="M64"/>
  <c r="N64"/>
  <c r="O64"/>
  <c r="P64"/>
  <c r="Q64"/>
  <c r="R64"/>
  <c r="S64"/>
  <c r="T64"/>
  <c r="U64"/>
  <c r="V64"/>
  <c r="W64"/>
  <c r="L65"/>
  <c r="M65"/>
  <c r="N65"/>
  <c r="O65"/>
  <c r="P65"/>
  <c r="Q65"/>
  <c r="R65"/>
  <c r="S65"/>
  <c r="T65"/>
  <c r="U65"/>
  <c r="V65"/>
  <c r="W65"/>
  <c r="L66"/>
  <c r="M66"/>
  <c r="N66"/>
  <c r="O66"/>
  <c r="P66"/>
  <c r="Q66"/>
  <c r="R66"/>
  <c r="S66"/>
  <c r="T66"/>
  <c r="U66"/>
  <c r="V66"/>
  <c r="W66"/>
  <c r="L67"/>
  <c r="M67"/>
  <c r="N67"/>
  <c r="O67"/>
  <c r="P67"/>
  <c r="Q67"/>
  <c r="R67"/>
  <c r="S67"/>
  <c r="T67"/>
  <c r="U67"/>
  <c r="V67"/>
  <c r="W67"/>
  <c r="L68"/>
  <c r="M68"/>
  <c r="N68"/>
  <c r="O68"/>
  <c r="P68"/>
  <c r="Q68"/>
  <c r="R68"/>
  <c r="S68"/>
  <c r="T68"/>
  <c r="U68"/>
  <c r="V68"/>
  <c r="W68"/>
  <c r="L69"/>
  <c r="M69"/>
  <c r="N69"/>
  <c r="O69"/>
  <c r="P69"/>
  <c r="Q69"/>
  <c r="R69"/>
  <c r="S69"/>
  <c r="T69"/>
  <c r="U69"/>
  <c r="V69"/>
  <c r="W69"/>
  <c r="L70"/>
  <c r="M70"/>
  <c r="N70"/>
  <c r="O70"/>
  <c r="P70"/>
  <c r="Q70"/>
  <c r="R70"/>
  <c r="S70"/>
  <c r="T70"/>
  <c r="U70"/>
  <c r="V70"/>
  <c r="W70"/>
  <c r="L71"/>
  <c r="M71"/>
  <c r="N71"/>
  <c r="O71"/>
  <c r="P71"/>
  <c r="Q71"/>
  <c r="R71"/>
  <c r="S71"/>
  <c r="T71"/>
  <c r="U71"/>
  <c r="V71"/>
  <c r="W71"/>
  <c r="L72"/>
  <c r="M72"/>
  <c r="N72"/>
  <c r="O72"/>
  <c r="P72"/>
  <c r="Q72"/>
  <c r="R72"/>
  <c r="S72"/>
  <c r="T72"/>
  <c r="U72"/>
  <c r="V72"/>
  <c r="W72"/>
  <c r="L73"/>
  <c r="M73"/>
  <c r="N73"/>
  <c r="O73"/>
  <c r="P73"/>
  <c r="Q73"/>
  <c r="R73"/>
  <c r="S73"/>
  <c r="T73"/>
  <c r="U73"/>
  <c r="V73"/>
  <c r="W73"/>
  <c r="L74"/>
  <c r="M74"/>
  <c r="N74"/>
  <c r="O74"/>
  <c r="P74"/>
  <c r="Q74"/>
  <c r="R74"/>
  <c r="S74"/>
  <c r="T74"/>
  <c r="U74"/>
  <c r="V74"/>
  <c r="W74"/>
  <c r="L75"/>
  <c r="M75"/>
  <c r="N75"/>
  <c r="O75"/>
  <c r="P75"/>
  <c r="Q75"/>
  <c r="R75"/>
  <c r="S75"/>
  <c r="T75"/>
  <c r="U75"/>
  <c r="V75"/>
  <c r="W75"/>
  <c r="L76"/>
  <c r="M76"/>
  <c r="N76"/>
  <c r="O76"/>
  <c r="P76"/>
  <c r="Q76"/>
  <c r="R76"/>
  <c r="S76"/>
  <c r="T76"/>
  <c r="U76"/>
  <c r="V76"/>
  <c r="W76"/>
  <c r="L77"/>
  <c r="M77"/>
  <c r="N77"/>
  <c r="O77"/>
  <c r="P77"/>
  <c r="Q77"/>
  <c r="R77"/>
  <c r="S77"/>
  <c r="T77"/>
  <c r="U77"/>
  <c r="V77"/>
  <c r="W77"/>
  <c r="L78"/>
  <c r="M78"/>
  <c r="N78"/>
  <c r="O78"/>
  <c r="P78"/>
  <c r="Q78"/>
  <c r="R78"/>
  <c r="S78"/>
  <c r="T78"/>
  <c r="U78"/>
  <c r="V78"/>
  <c r="W78"/>
  <c r="L79"/>
  <c r="M79"/>
  <c r="N79"/>
  <c r="O79"/>
  <c r="P79"/>
  <c r="Q79"/>
  <c r="R79"/>
  <c r="S79"/>
  <c r="T79"/>
  <c r="U79"/>
  <c r="V79"/>
  <c r="W79"/>
  <c r="L80"/>
  <c r="M80"/>
  <c r="N80"/>
  <c r="O80"/>
  <c r="P80"/>
  <c r="Q80"/>
  <c r="R80"/>
  <c r="S80"/>
  <c r="T80"/>
  <c r="U80"/>
  <c r="V80"/>
  <c r="W80"/>
  <c r="L81"/>
  <c r="M81"/>
  <c r="N81"/>
  <c r="O81"/>
  <c r="P81"/>
  <c r="Q81"/>
  <c r="R81"/>
  <c r="S81"/>
  <c r="T81"/>
  <c r="U81"/>
  <c r="V81"/>
  <c r="W81"/>
  <c r="L82"/>
  <c r="M82"/>
  <c r="N82"/>
  <c r="O82"/>
  <c r="P82"/>
  <c r="Q82"/>
  <c r="R82"/>
  <c r="S82"/>
  <c r="T82"/>
  <c r="U82"/>
  <c r="V82"/>
  <c r="W82"/>
  <c r="L83"/>
  <c r="M83"/>
  <c r="N83"/>
  <c r="O83"/>
  <c r="P83"/>
  <c r="Q83"/>
  <c r="R83"/>
  <c r="S83"/>
  <c r="T83"/>
  <c r="U83"/>
  <c r="V83"/>
  <c r="W83"/>
  <c r="L84"/>
  <c r="M84"/>
  <c r="N84"/>
  <c r="O84"/>
  <c r="P84"/>
  <c r="Q84"/>
  <c r="R84"/>
  <c r="S84"/>
  <c r="T84"/>
  <c r="U84"/>
  <c r="V84"/>
  <c r="W84"/>
  <c r="L85"/>
  <c r="M85"/>
  <c r="N85"/>
  <c r="O85"/>
  <c r="P85"/>
  <c r="Q85"/>
  <c r="R85"/>
  <c r="S85"/>
  <c r="T85"/>
  <c r="U85"/>
  <c r="V85"/>
  <c r="W85"/>
  <c r="L86"/>
  <c r="M86"/>
  <c r="N86"/>
  <c r="O86"/>
  <c r="P86"/>
  <c r="Q86"/>
  <c r="R86"/>
  <c r="S86"/>
  <c r="T86"/>
  <c r="U86"/>
  <c r="V86"/>
  <c r="W86"/>
  <c r="L87"/>
  <c r="M87"/>
  <c r="N87"/>
  <c r="O87"/>
  <c r="P87"/>
  <c r="Q87"/>
  <c r="R87"/>
  <c r="S87"/>
  <c r="T87"/>
  <c r="U87"/>
  <c r="V87"/>
  <c r="W87"/>
  <c r="L88"/>
  <c r="M88"/>
  <c r="N88"/>
  <c r="O88"/>
  <c r="P88"/>
  <c r="Q88"/>
  <c r="R88"/>
  <c r="S88"/>
  <c r="T88"/>
  <c r="U88"/>
  <c r="V88"/>
  <c r="W88"/>
  <c r="L89"/>
  <c r="M89"/>
  <c r="N89"/>
  <c r="O89"/>
  <c r="P89"/>
  <c r="Q89"/>
  <c r="R89"/>
  <c r="S89"/>
  <c r="T89"/>
  <c r="U89"/>
  <c r="V89"/>
  <c r="W89"/>
  <c r="L90"/>
  <c r="M90"/>
  <c r="N90"/>
  <c r="O90"/>
  <c r="P90"/>
  <c r="Q90"/>
  <c r="R90"/>
  <c r="S90"/>
  <c r="T90"/>
  <c r="U90"/>
  <c r="V90"/>
  <c r="W90"/>
  <c r="L91"/>
  <c r="M91"/>
  <c r="N91"/>
  <c r="O91"/>
  <c r="P91"/>
  <c r="Q91"/>
  <c r="R91"/>
  <c r="S91"/>
  <c r="T91"/>
  <c r="U91"/>
  <c r="V91"/>
  <c r="W91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42"/>
  <c r="K41"/>
  <c r="I108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I28"/>
  <c r="G30"/>
  <c r="I19"/>
  <c r="L19"/>
  <c r="N19"/>
  <c r="O19"/>
  <c r="P19"/>
  <c r="R19"/>
  <c r="T19"/>
  <c r="U19"/>
  <c r="V19"/>
  <c r="W19"/>
  <c r="X19"/>
  <c r="Y19"/>
  <c r="AA19"/>
  <c r="AC19"/>
  <c r="AD19"/>
  <c r="AF19"/>
  <c r="AG19" s="1"/>
  <c r="I20"/>
  <c r="L20"/>
  <c r="N20"/>
  <c r="O20"/>
  <c r="P20"/>
  <c r="R20"/>
  <c r="T20"/>
  <c r="U20"/>
  <c r="V20"/>
  <c r="W20"/>
  <c r="X20"/>
  <c r="Y20"/>
  <c r="AA20"/>
  <c r="AC20"/>
  <c r="AD20"/>
  <c r="AF20"/>
  <c r="AG20" s="1"/>
  <c r="I21"/>
  <c r="L21"/>
  <c r="N21"/>
  <c r="O21"/>
  <c r="P21"/>
  <c r="R21"/>
  <c r="T21"/>
  <c r="U21"/>
  <c r="V21"/>
  <c r="W21"/>
  <c r="X21"/>
  <c r="Y21"/>
  <c r="AA21"/>
  <c r="AB21"/>
  <c r="AC21"/>
  <c r="AD21"/>
  <c r="AF21"/>
  <c r="AG21" s="1"/>
  <c r="I22"/>
  <c r="L22"/>
  <c r="N22"/>
  <c r="O22"/>
  <c r="P22"/>
  <c r="R22"/>
  <c r="T22"/>
  <c r="U22"/>
  <c r="V22"/>
  <c r="W22"/>
  <c r="X22"/>
  <c r="Y22"/>
  <c r="AA22"/>
  <c r="AB22"/>
  <c r="AC22"/>
  <c r="AD22"/>
  <c r="AF22"/>
  <c r="AG22" s="1"/>
  <c r="I23"/>
  <c r="L23"/>
  <c r="M23"/>
  <c r="N23"/>
  <c r="O23"/>
  <c r="P23"/>
  <c r="R23"/>
  <c r="T23"/>
  <c r="U23"/>
  <c r="V23"/>
  <c r="W23"/>
  <c r="X23"/>
  <c r="Y23"/>
  <c r="AA23"/>
  <c r="AB23"/>
  <c r="AC23"/>
  <c r="AD23"/>
  <c r="AF23"/>
  <c r="AG23" s="1"/>
  <c r="I24"/>
  <c r="L24"/>
  <c r="M24"/>
  <c r="N24"/>
  <c r="O24"/>
  <c r="P24"/>
  <c r="R24"/>
  <c r="T24"/>
  <c r="U24"/>
  <c r="V24"/>
  <c r="W24"/>
  <c r="X24"/>
  <c r="Y24"/>
  <c r="AA24"/>
  <c r="AB24"/>
  <c r="AC24"/>
  <c r="AD24"/>
  <c r="AF24"/>
  <c r="AG24" s="1"/>
  <c r="I25"/>
  <c r="L25"/>
  <c r="M25"/>
  <c r="N25"/>
  <c r="O25"/>
  <c r="P25"/>
  <c r="R25"/>
  <c r="T25"/>
  <c r="U25"/>
  <c r="V25"/>
  <c r="W25"/>
  <c r="X25"/>
  <c r="Y25"/>
  <c r="AA25"/>
  <c r="AB25"/>
  <c r="AC25"/>
  <c r="AD25"/>
  <c r="AF25"/>
  <c r="AG25" s="1"/>
  <c r="I26"/>
  <c r="L26"/>
  <c r="M26"/>
  <c r="N26"/>
  <c r="O26"/>
  <c r="P26"/>
  <c r="R26"/>
  <c r="T26"/>
  <c r="U26"/>
  <c r="V26"/>
  <c r="W26"/>
  <c r="X26"/>
  <c r="Y26"/>
  <c r="AA26"/>
  <c r="AB26"/>
  <c r="AC26"/>
  <c r="AD26"/>
  <c r="AF26"/>
  <c r="AG26" s="1"/>
  <c r="I27"/>
  <c r="L27"/>
  <c r="M27"/>
  <c r="N27"/>
  <c r="O27"/>
  <c r="P27"/>
  <c r="R27"/>
  <c r="T27"/>
  <c r="U27"/>
  <c r="V27"/>
  <c r="W27"/>
  <c r="X27"/>
  <c r="Y27"/>
  <c r="AA27"/>
  <c r="AB27"/>
  <c r="AC27"/>
  <c r="AD27"/>
  <c r="AF27"/>
  <c r="AG27" s="1"/>
  <c r="L28"/>
  <c r="M28"/>
  <c r="N28"/>
  <c r="O28"/>
  <c r="P28"/>
  <c r="R28"/>
  <c r="S28"/>
  <c r="T28"/>
  <c r="U28"/>
  <c r="V28"/>
  <c r="W28"/>
  <c r="X28"/>
  <c r="Y28"/>
  <c r="AA28"/>
  <c r="AB28"/>
  <c r="AC28"/>
  <c r="AD28"/>
  <c r="AF28"/>
  <c r="AG28" s="1"/>
  <c r="I29"/>
  <c r="L29"/>
  <c r="M29"/>
  <c r="N29"/>
  <c r="O29"/>
  <c r="P29"/>
  <c r="R29"/>
  <c r="S29"/>
  <c r="T29"/>
  <c r="U29"/>
  <c r="V29"/>
  <c r="W29"/>
  <c r="X29"/>
  <c r="Y29"/>
  <c r="AA29"/>
  <c r="AB29"/>
  <c r="AC29"/>
  <c r="AD29"/>
  <c r="AF29"/>
  <c r="AG29" s="1"/>
  <c r="I30"/>
  <c r="K30"/>
  <c r="L30"/>
  <c r="M30"/>
  <c r="N30"/>
  <c r="O30"/>
  <c r="P30"/>
  <c r="R30"/>
  <c r="S30"/>
  <c r="T30"/>
  <c r="U30"/>
  <c r="V30"/>
  <c r="W30"/>
  <c r="X30"/>
  <c r="Y30"/>
  <c r="AA30"/>
  <c r="AB30"/>
  <c r="AC30"/>
  <c r="AD30"/>
  <c r="AF30"/>
  <c r="AG30" s="1"/>
  <c r="I31"/>
  <c r="K31"/>
  <c r="L31"/>
  <c r="M31"/>
  <c r="N31"/>
  <c r="O31"/>
  <c r="P31"/>
  <c r="R31"/>
  <c r="S31"/>
  <c r="T31"/>
  <c r="U31"/>
  <c r="V31"/>
  <c r="W31"/>
  <c r="X31"/>
  <c r="Y31"/>
  <c r="AA31"/>
  <c r="AB31"/>
  <c r="AC31"/>
  <c r="AD31"/>
  <c r="AF31"/>
  <c r="AG31" s="1"/>
  <c r="I32"/>
  <c r="K32"/>
  <c r="L32"/>
  <c r="M32"/>
  <c r="N32"/>
  <c r="O32"/>
  <c r="P32"/>
  <c r="R32"/>
  <c r="S32"/>
  <c r="T32"/>
  <c r="U32"/>
  <c r="V32"/>
  <c r="W32"/>
  <c r="X32"/>
  <c r="Y32"/>
  <c r="AA32"/>
  <c r="AB32"/>
  <c r="AC32"/>
  <c r="AD32"/>
  <c r="AF32"/>
  <c r="AG32" s="1"/>
  <c r="I33"/>
  <c r="K33"/>
  <c r="L33"/>
  <c r="M33"/>
  <c r="N33"/>
  <c r="O33"/>
  <c r="P33"/>
  <c r="R33"/>
  <c r="S33"/>
  <c r="T33"/>
  <c r="U33"/>
  <c r="V33"/>
  <c r="W33"/>
  <c r="X33"/>
  <c r="Y33"/>
  <c r="AA33"/>
  <c r="AB33"/>
  <c r="AC33"/>
  <c r="AD33"/>
  <c r="AF33"/>
  <c r="AG33" s="1"/>
  <c r="I34"/>
  <c r="K34"/>
  <c r="L34"/>
  <c r="M34"/>
  <c r="N34"/>
  <c r="O34"/>
  <c r="P34"/>
  <c r="R34"/>
  <c r="S34"/>
  <c r="T34"/>
  <c r="U34"/>
  <c r="V34"/>
  <c r="W34"/>
  <c r="X34"/>
  <c r="Y34"/>
  <c r="AA34"/>
  <c r="AB34"/>
  <c r="AC34"/>
  <c r="AD34"/>
  <c r="AF34"/>
  <c r="AG34" s="1"/>
  <c r="I35"/>
  <c r="K35"/>
  <c r="L35"/>
  <c r="M35"/>
  <c r="N35"/>
  <c r="O35"/>
  <c r="P35"/>
  <c r="R35"/>
  <c r="S35"/>
  <c r="T35"/>
  <c r="U35"/>
  <c r="V35"/>
  <c r="W35"/>
  <c r="X35"/>
  <c r="Y35"/>
  <c r="AA35"/>
  <c r="AB35"/>
  <c r="AC35"/>
  <c r="AD35"/>
  <c r="AF35"/>
  <c r="AG35" s="1"/>
  <c r="I36"/>
  <c r="K36"/>
  <c r="L36"/>
  <c r="M36"/>
  <c r="N36"/>
  <c r="O36"/>
  <c r="P36"/>
  <c r="R36"/>
  <c r="S36"/>
  <c r="T36"/>
  <c r="U36"/>
  <c r="V36"/>
  <c r="W36"/>
  <c r="X36"/>
  <c r="Y36"/>
  <c r="AA36"/>
  <c r="AB36"/>
  <c r="AC36"/>
  <c r="AD36"/>
  <c r="AF36"/>
  <c r="AG36" s="1"/>
  <c r="I37"/>
  <c r="K37"/>
  <c r="L37"/>
  <c r="M37"/>
  <c r="N37"/>
  <c r="O37"/>
  <c r="P37"/>
  <c r="R37"/>
  <c r="S37"/>
  <c r="T37"/>
  <c r="U37"/>
  <c r="V37"/>
  <c r="W37"/>
  <c r="X37"/>
  <c r="Y37"/>
  <c r="AA37"/>
  <c r="AB37"/>
  <c r="AC37"/>
  <c r="AD37"/>
  <c r="AF37"/>
  <c r="AG37" s="1"/>
  <c r="I38"/>
  <c r="K38"/>
  <c r="L38"/>
  <c r="M38"/>
  <c r="N38"/>
  <c r="O38"/>
  <c r="P38"/>
  <c r="R38"/>
  <c r="S38"/>
  <c r="T38"/>
  <c r="U38"/>
  <c r="V38"/>
  <c r="W38"/>
  <c r="X38"/>
  <c r="Y38"/>
  <c r="AA38"/>
  <c r="AB38"/>
  <c r="AC38"/>
  <c r="AD38"/>
  <c r="AF38"/>
  <c r="AG38" s="1"/>
  <c r="I39"/>
  <c r="K39"/>
  <c r="L39"/>
  <c r="M39"/>
  <c r="N39"/>
  <c r="O39"/>
  <c r="P39"/>
  <c r="R39"/>
  <c r="S39"/>
  <c r="T39"/>
  <c r="U39"/>
  <c r="V39"/>
  <c r="W39"/>
  <c r="X39"/>
  <c r="Y39"/>
  <c r="AA39"/>
  <c r="AB39"/>
  <c r="AC39"/>
  <c r="AD39"/>
  <c r="AF39"/>
  <c r="AG39" s="1"/>
  <c r="I40"/>
  <c r="K40"/>
  <c r="L40"/>
  <c r="M40"/>
  <c r="N40"/>
  <c r="O40"/>
  <c r="P40"/>
  <c r="R40"/>
  <c r="S40"/>
  <c r="T40"/>
  <c r="U40"/>
  <c r="V40"/>
  <c r="W40"/>
  <c r="X40"/>
  <c r="Y40"/>
  <c r="AA40"/>
  <c r="AB40"/>
  <c r="AC40"/>
  <c r="AD40"/>
  <c r="AF40"/>
  <c r="AG40" s="1"/>
  <c r="I41"/>
  <c r="L41"/>
  <c r="M41"/>
  <c r="N41"/>
  <c r="O41"/>
  <c r="P41"/>
  <c r="R41"/>
  <c r="S41"/>
  <c r="T41"/>
  <c r="U41"/>
  <c r="V41"/>
  <c r="W41"/>
  <c r="X41"/>
  <c r="Y41"/>
  <c r="AA41"/>
  <c r="AB41"/>
  <c r="AC41"/>
  <c r="AD41"/>
  <c r="AF41"/>
  <c r="AG41" s="1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G41"/>
  <c r="G40"/>
  <c r="G39"/>
  <c r="G38"/>
  <c r="G37"/>
  <c r="G36"/>
  <c r="G35"/>
  <c r="G34"/>
  <c r="G33"/>
  <c r="G32"/>
  <c r="G31"/>
  <c r="C19"/>
  <c r="D19"/>
  <c r="E19"/>
  <c r="F19"/>
  <c r="C20"/>
  <c r="D20"/>
  <c r="E20"/>
  <c r="F20"/>
  <c r="C21"/>
  <c r="D21"/>
  <c r="E21"/>
  <c r="F21"/>
  <c r="C22"/>
  <c r="D22"/>
  <c r="E22"/>
  <c r="F22"/>
  <c r="C23"/>
  <c r="D23"/>
  <c r="E23"/>
  <c r="F23"/>
  <c r="C24"/>
  <c r="D24"/>
  <c r="E24"/>
  <c r="F24"/>
  <c r="C25"/>
  <c r="D25"/>
  <c r="E25"/>
  <c r="F25"/>
  <c r="C26"/>
  <c r="D26"/>
  <c r="E26"/>
  <c r="F26"/>
  <c r="C27"/>
  <c r="D27"/>
  <c r="E27"/>
  <c r="F27"/>
  <c r="C28"/>
  <c r="D28"/>
  <c r="E28"/>
  <c r="F28"/>
  <c r="C29"/>
  <c r="D29"/>
  <c r="E29"/>
  <c r="F29"/>
  <c r="C30"/>
  <c r="D30"/>
  <c r="E30"/>
  <c r="F30"/>
  <c r="C31"/>
  <c r="D31"/>
  <c r="E31"/>
  <c r="F31"/>
  <c r="C32"/>
  <c r="D32"/>
  <c r="E32"/>
  <c r="F32"/>
  <c r="C33"/>
  <c r="D33"/>
  <c r="E33"/>
  <c r="F33"/>
  <c r="C34"/>
  <c r="D34"/>
  <c r="E34"/>
  <c r="F34"/>
  <c r="C35"/>
  <c r="D35"/>
  <c r="E35"/>
  <c r="F35"/>
  <c r="C36"/>
  <c r="D36"/>
  <c r="E36"/>
  <c r="F36"/>
  <c r="C37"/>
  <c r="D37"/>
  <c r="E37"/>
  <c r="F37"/>
  <c r="C38"/>
  <c r="D38"/>
  <c r="E38"/>
  <c r="F38"/>
  <c r="C39"/>
  <c r="D39"/>
  <c r="E39"/>
  <c r="F39"/>
  <c r="C40"/>
  <c r="D40"/>
  <c r="E40"/>
  <c r="F40"/>
  <c r="C41"/>
  <c r="D41"/>
  <c r="E41"/>
  <c r="F41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H142" i="2"/>
  <c r="I142"/>
  <c r="H143"/>
  <c r="I143"/>
  <c r="H145"/>
  <c r="I145"/>
  <c r="H146"/>
  <c r="I146"/>
  <c r="H147"/>
  <c r="I147"/>
  <c r="H150"/>
  <c r="I150"/>
  <c r="H151"/>
  <c r="I151"/>
  <c r="H149"/>
  <c r="I149"/>
  <c r="I141"/>
  <c r="H141"/>
  <c r="G142"/>
  <c r="G143"/>
  <c r="G145"/>
  <c r="G146"/>
  <c r="G147"/>
  <c r="G150"/>
  <c r="G151"/>
  <c r="G149"/>
  <c r="G141"/>
  <c r="J12" i="11"/>
  <c r="I12"/>
  <c r="H12"/>
  <c r="C4" i="14"/>
  <c r="E4"/>
  <c r="F4"/>
  <c r="H4"/>
  <c r="L4"/>
  <c r="N4"/>
  <c r="O4"/>
  <c r="P4"/>
  <c r="R4"/>
  <c r="Y4"/>
  <c r="AA4"/>
  <c r="AC4"/>
  <c r="AD4"/>
  <c r="AF4" s="1"/>
  <c r="C5"/>
  <c r="E5"/>
  <c r="F5"/>
  <c r="H5"/>
  <c r="L5"/>
  <c r="N5"/>
  <c r="O5"/>
  <c r="P5"/>
  <c r="R5"/>
  <c r="Y5"/>
  <c r="AA5"/>
  <c r="AC5"/>
  <c r="AD5"/>
  <c r="AF5" s="1"/>
  <c r="C6"/>
  <c r="D6"/>
  <c r="E6"/>
  <c r="F6"/>
  <c r="H6"/>
  <c r="L6"/>
  <c r="N6"/>
  <c r="O6"/>
  <c r="P6"/>
  <c r="R6"/>
  <c r="Y6"/>
  <c r="AA6"/>
  <c r="AC6"/>
  <c r="AD6"/>
  <c r="AF6" s="1"/>
  <c r="C7"/>
  <c r="D7"/>
  <c r="E7"/>
  <c r="F7"/>
  <c r="H7"/>
  <c r="L7"/>
  <c r="N7"/>
  <c r="O7"/>
  <c r="P7"/>
  <c r="R7"/>
  <c r="Y7"/>
  <c r="AA7"/>
  <c r="AC7"/>
  <c r="AD7"/>
  <c r="AF7" s="1"/>
  <c r="C8"/>
  <c r="D8"/>
  <c r="E8"/>
  <c r="F8"/>
  <c r="H8"/>
  <c r="L8"/>
  <c r="N8"/>
  <c r="O8"/>
  <c r="P8"/>
  <c r="R8"/>
  <c r="Y8"/>
  <c r="AC8"/>
  <c r="AD8"/>
  <c r="AF8" s="1"/>
  <c r="AG8" s="1"/>
  <c r="C9"/>
  <c r="D9"/>
  <c r="E9"/>
  <c r="F9"/>
  <c r="H9"/>
  <c r="I9"/>
  <c r="L9"/>
  <c r="N9"/>
  <c r="O9"/>
  <c r="P9"/>
  <c r="R9"/>
  <c r="Y9"/>
  <c r="AA9"/>
  <c r="AC9"/>
  <c r="AD9"/>
  <c r="AF9" s="1"/>
  <c r="AG9" s="1"/>
  <c r="C10"/>
  <c r="D10"/>
  <c r="E10"/>
  <c r="F10"/>
  <c r="H10"/>
  <c r="I10"/>
  <c r="L10"/>
  <c r="N10"/>
  <c r="O10"/>
  <c r="P10"/>
  <c r="R10"/>
  <c r="Y10"/>
  <c r="AA10"/>
  <c r="AC10"/>
  <c r="AD10"/>
  <c r="AF10" s="1"/>
  <c r="AG10" s="1"/>
  <c r="C11"/>
  <c r="D11"/>
  <c r="E11"/>
  <c r="F11"/>
  <c r="H11"/>
  <c r="I11"/>
  <c r="L11"/>
  <c r="N11"/>
  <c r="O11"/>
  <c r="P11"/>
  <c r="R11"/>
  <c r="Y11"/>
  <c r="AA11"/>
  <c r="AC11"/>
  <c r="AD11"/>
  <c r="AF11" s="1"/>
  <c r="AG11" s="1"/>
  <c r="C12"/>
  <c r="E12"/>
  <c r="F12"/>
  <c r="H12"/>
  <c r="I12"/>
  <c r="L12"/>
  <c r="N12"/>
  <c r="O12"/>
  <c r="P12"/>
  <c r="R12"/>
  <c r="U12"/>
  <c r="X12"/>
  <c r="Y12"/>
  <c r="AA12"/>
  <c r="AC12"/>
  <c r="AD12"/>
  <c r="AF12" s="1"/>
  <c r="AG12" s="1"/>
  <c r="C13"/>
  <c r="D13"/>
  <c r="E13"/>
  <c r="F13"/>
  <c r="H13"/>
  <c r="I13"/>
  <c r="L13"/>
  <c r="N13"/>
  <c r="O13"/>
  <c r="P13"/>
  <c r="R13"/>
  <c r="U13"/>
  <c r="X13"/>
  <c r="Y13"/>
  <c r="AA13"/>
  <c r="AC13"/>
  <c r="AD13"/>
  <c r="AF13" s="1"/>
  <c r="AG13" s="1"/>
  <c r="C14"/>
  <c r="D14"/>
  <c r="E14"/>
  <c r="F14"/>
  <c r="H14"/>
  <c r="I14"/>
  <c r="L14"/>
  <c r="N14"/>
  <c r="O14"/>
  <c r="P14"/>
  <c r="R14"/>
  <c r="T14"/>
  <c r="U14"/>
  <c r="X14"/>
  <c r="Y14"/>
  <c r="AA14"/>
  <c r="AC14"/>
  <c r="AD14"/>
  <c r="AF14" s="1"/>
  <c r="AG14" s="1"/>
  <c r="C15"/>
  <c r="D15"/>
  <c r="E15"/>
  <c r="F15"/>
  <c r="H15"/>
  <c r="I15"/>
  <c r="L15"/>
  <c r="N15"/>
  <c r="O15"/>
  <c r="P15"/>
  <c r="R15"/>
  <c r="T15"/>
  <c r="U15"/>
  <c r="X15"/>
  <c r="Y15"/>
  <c r="AA15"/>
  <c r="AC15"/>
  <c r="AD15"/>
  <c r="AF15" s="1"/>
  <c r="AG15" s="1"/>
  <c r="C16"/>
  <c r="D16"/>
  <c r="E16"/>
  <c r="F16"/>
  <c r="H16"/>
  <c r="I16"/>
  <c r="L16"/>
  <c r="N16"/>
  <c r="O16"/>
  <c r="P16"/>
  <c r="R16"/>
  <c r="T16"/>
  <c r="U16"/>
  <c r="X16"/>
  <c r="Y16"/>
  <c r="AA16"/>
  <c r="AC16"/>
  <c r="AD16"/>
  <c r="AF16" s="1"/>
  <c r="AG16" s="1"/>
  <c r="C17"/>
  <c r="D17"/>
  <c r="E17"/>
  <c r="F17"/>
  <c r="H17"/>
  <c r="I17"/>
  <c r="L17"/>
  <c r="N17"/>
  <c r="O17"/>
  <c r="P17"/>
  <c r="R17"/>
  <c r="T17"/>
  <c r="U17"/>
  <c r="X17"/>
  <c r="Y17"/>
  <c r="AA17"/>
  <c r="AC17"/>
  <c r="AD17"/>
  <c r="AF17" s="1"/>
  <c r="AG17" s="1"/>
  <c r="C18"/>
  <c r="D18"/>
  <c r="E18"/>
  <c r="F18"/>
  <c r="H18"/>
  <c r="I18"/>
  <c r="L18"/>
  <c r="N18"/>
  <c r="O18"/>
  <c r="P18"/>
  <c r="R18"/>
  <c r="T18"/>
  <c r="U18"/>
  <c r="V18"/>
  <c r="W18"/>
  <c r="X18"/>
  <c r="Y18"/>
  <c r="AA18"/>
  <c r="AC18"/>
  <c r="AD18"/>
  <c r="AF18" s="1"/>
  <c r="AG18" s="1"/>
  <c r="B19"/>
  <c r="B18"/>
  <c r="B17"/>
  <c r="B16"/>
  <c r="B15"/>
  <c r="B14"/>
  <c r="B13"/>
  <c r="B12"/>
  <c r="V137" i="16"/>
  <c r="U137"/>
  <c r="T137"/>
  <c r="S137"/>
  <c r="R137"/>
  <c r="Q137"/>
  <c r="P137"/>
  <c r="O137"/>
  <c r="N137"/>
  <c r="M137"/>
  <c r="L137"/>
  <c r="K137"/>
  <c r="J137"/>
  <c r="V127"/>
  <c r="U127"/>
  <c r="T127"/>
  <c r="S127"/>
  <c r="R127"/>
  <c r="Q127"/>
  <c r="P127"/>
  <c r="O127"/>
  <c r="N127"/>
  <c r="M127"/>
  <c r="L127"/>
  <c r="K127"/>
  <c r="J127"/>
  <c r="V124"/>
  <c r="U124"/>
  <c r="T124"/>
  <c r="S124"/>
  <c r="R124"/>
  <c r="Q124"/>
  <c r="P124"/>
  <c r="O124"/>
  <c r="N124"/>
  <c r="M124"/>
  <c r="L124"/>
  <c r="K124"/>
  <c r="J124"/>
  <c r="V113"/>
  <c r="U113"/>
  <c r="T113"/>
  <c r="S113"/>
  <c r="R113"/>
  <c r="Q113"/>
  <c r="P113"/>
  <c r="O113"/>
  <c r="N113"/>
  <c r="M113"/>
  <c r="L113"/>
  <c r="K113"/>
  <c r="J113"/>
  <c r="V110"/>
  <c r="U110"/>
  <c r="T110"/>
  <c r="S110"/>
  <c r="R110"/>
  <c r="Q110"/>
  <c r="P110"/>
  <c r="O110"/>
  <c r="N110"/>
  <c r="M110"/>
  <c r="L110"/>
  <c r="K110"/>
  <c r="J110"/>
  <c r="V108"/>
  <c r="U108"/>
  <c r="T108"/>
  <c r="S108"/>
  <c r="R108"/>
  <c r="Q108"/>
  <c r="P108"/>
  <c r="O108"/>
  <c r="N108"/>
  <c r="M108"/>
  <c r="L108"/>
  <c r="K108"/>
  <c r="J108"/>
  <c r="V103"/>
  <c r="U103"/>
  <c r="T103"/>
  <c r="S103"/>
  <c r="R103"/>
  <c r="Q103"/>
  <c r="P103"/>
  <c r="O103"/>
  <c r="N103"/>
  <c r="M103"/>
  <c r="L103"/>
  <c r="K103"/>
  <c r="J103"/>
  <c r="V102"/>
  <c r="U102"/>
  <c r="T102"/>
  <c r="S102"/>
  <c r="R102"/>
  <c r="Q102"/>
  <c r="P102"/>
  <c r="O102"/>
  <c r="N102"/>
  <c r="M102"/>
  <c r="L102"/>
  <c r="K102"/>
  <c r="J102"/>
  <c r="V99"/>
  <c r="U99"/>
  <c r="T99"/>
  <c r="S99"/>
  <c r="R99"/>
  <c r="Q99"/>
  <c r="P99"/>
  <c r="O99"/>
  <c r="N99"/>
  <c r="M99"/>
  <c r="L99"/>
  <c r="K99"/>
  <c r="J99"/>
  <c r="V97"/>
  <c r="U97"/>
  <c r="T97"/>
  <c r="S97"/>
  <c r="R97"/>
  <c r="Q97"/>
  <c r="P97"/>
  <c r="O97"/>
  <c r="N97"/>
  <c r="M97"/>
  <c r="L97"/>
  <c r="K97"/>
  <c r="J97"/>
  <c r="V96"/>
  <c r="U96"/>
  <c r="T96"/>
  <c r="S96"/>
  <c r="R96"/>
  <c r="Q96"/>
  <c r="P96"/>
  <c r="O96"/>
  <c r="N96"/>
  <c r="M96"/>
  <c r="L96"/>
  <c r="K96"/>
  <c r="J96"/>
  <c r="V89"/>
  <c r="U89"/>
  <c r="T89"/>
  <c r="S89"/>
  <c r="R89"/>
  <c r="Q89"/>
  <c r="P89"/>
  <c r="O89"/>
  <c r="N89"/>
  <c r="M89"/>
  <c r="L89"/>
  <c r="K89"/>
  <c r="J89"/>
  <c r="V87"/>
  <c r="U87"/>
  <c r="T87"/>
  <c r="S87"/>
  <c r="R87"/>
  <c r="Q87"/>
  <c r="P87"/>
  <c r="O87"/>
  <c r="N87"/>
  <c r="M87"/>
  <c r="L87"/>
  <c r="K87"/>
  <c r="J87"/>
  <c r="V86"/>
  <c r="U86"/>
  <c r="T86"/>
  <c r="S86"/>
  <c r="R86"/>
  <c r="Q86"/>
  <c r="P86"/>
  <c r="O86"/>
  <c r="N86"/>
  <c r="M86"/>
  <c r="L86"/>
  <c r="K86"/>
  <c r="J86"/>
  <c r="V83"/>
  <c r="U83"/>
  <c r="T83"/>
  <c r="S83"/>
  <c r="R83"/>
  <c r="Q83"/>
  <c r="P83"/>
  <c r="O83"/>
  <c r="N83"/>
  <c r="M83"/>
  <c r="L83"/>
  <c r="K83"/>
  <c r="J83"/>
  <c r="V82"/>
  <c r="U82"/>
  <c r="T82"/>
  <c r="S82"/>
  <c r="R82"/>
  <c r="Q82"/>
  <c r="P82"/>
  <c r="O82"/>
  <c r="N82"/>
  <c r="M82"/>
  <c r="L82"/>
  <c r="K82"/>
  <c r="J82"/>
  <c r="V80"/>
  <c r="U80"/>
  <c r="T80"/>
  <c r="S80"/>
  <c r="R80"/>
  <c r="Q80"/>
  <c r="P80"/>
  <c r="O80"/>
  <c r="N80"/>
  <c r="M80"/>
  <c r="L80"/>
  <c r="K80"/>
  <c r="J80"/>
  <c r="V76"/>
  <c r="U76"/>
  <c r="T76"/>
  <c r="S76"/>
  <c r="R76"/>
  <c r="Q76"/>
  <c r="P76"/>
  <c r="O76"/>
  <c r="N76"/>
  <c r="M76"/>
  <c r="L76"/>
  <c r="K76"/>
  <c r="J76"/>
  <c r="V74"/>
  <c r="U74"/>
  <c r="T74"/>
  <c r="S74"/>
  <c r="R74"/>
  <c r="Q74"/>
  <c r="P74"/>
  <c r="O74"/>
  <c r="N74"/>
  <c r="M74"/>
  <c r="L74"/>
  <c r="K74"/>
  <c r="J74"/>
  <c r="V73"/>
  <c r="U73"/>
  <c r="T73"/>
  <c r="S73"/>
  <c r="R73"/>
  <c r="Q73"/>
  <c r="P73"/>
  <c r="O73"/>
  <c r="N73"/>
  <c r="M73"/>
  <c r="L73"/>
  <c r="K73"/>
  <c r="J73"/>
  <c r="V72"/>
  <c r="U72"/>
  <c r="T72"/>
  <c r="S72"/>
  <c r="R72"/>
  <c r="Q72"/>
  <c r="P72"/>
  <c r="O72"/>
  <c r="N72"/>
  <c r="M72"/>
  <c r="L72"/>
  <c r="K72"/>
  <c r="J72"/>
  <c r="V66"/>
  <c r="U66"/>
  <c r="T66"/>
  <c r="S66"/>
  <c r="R66"/>
  <c r="Q66"/>
  <c r="P66"/>
  <c r="O66"/>
  <c r="N66"/>
  <c r="M66"/>
  <c r="L66"/>
  <c r="K66"/>
  <c r="J66"/>
  <c r="V65"/>
  <c r="U65"/>
  <c r="T65"/>
  <c r="S65"/>
  <c r="R65"/>
  <c r="Q65"/>
  <c r="P65"/>
  <c r="O65"/>
  <c r="N65"/>
  <c r="M65"/>
  <c r="L65"/>
  <c r="K65"/>
  <c r="J65"/>
  <c r="V64"/>
  <c r="U64"/>
  <c r="T64"/>
  <c r="S64"/>
  <c r="R64"/>
  <c r="Q64"/>
  <c r="P64"/>
  <c r="O64"/>
  <c r="N64"/>
  <c r="M64"/>
  <c r="L64"/>
  <c r="K64"/>
  <c r="J64"/>
  <c r="V58"/>
  <c r="U58"/>
  <c r="T58"/>
  <c r="S58"/>
  <c r="R58"/>
  <c r="Q58"/>
  <c r="P58"/>
  <c r="O58"/>
  <c r="N58"/>
  <c r="M58"/>
  <c r="L58"/>
  <c r="K58"/>
  <c r="J58"/>
  <c r="V57"/>
  <c r="U57"/>
  <c r="T57"/>
  <c r="S57"/>
  <c r="R57"/>
  <c r="Q57"/>
  <c r="P57"/>
  <c r="O57"/>
  <c r="N57"/>
  <c r="M57"/>
  <c r="L57"/>
  <c r="K57"/>
  <c r="J57"/>
  <c r="V56"/>
  <c r="U56"/>
  <c r="T56"/>
  <c r="S56"/>
  <c r="R56"/>
  <c r="Q56"/>
  <c r="P56"/>
  <c r="O56"/>
  <c r="N56"/>
  <c r="M56"/>
  <c r="L56"/>
  <c r="K56"/>
  <c r="J56"/>
  <c r="V46"/>
  <c r="U46"/>
  <c r="T46"/>
  <c r="S46"/>
  <c r="R46"/>
  <c r="Q46"/>
  <c r="P46"/>
  <c r="O46"/>
  <c r="N46"/>
  <c r="M46"/>
  <c r="L46"/>
  <c r="K46"/>
  <c r="J46"/>
  <c r="V43"/>
  <c r="U43"/>
  <c r="T43"/>
  <c r="S43"/>
  <c r="R43"/>
  <c r="Q43"/>
  <c r="P43"/>
  <c r="O43"/>
  <c r="N43"/>
  <c r="M43"/>
  <c r="L43"/>
  <c r="K43"/>
  <c r="J43"/>
  <c r="V42"/>
  <c r="U42"/>
  <c r="T42"/>
  <c r="S42"/>
  <c r="R42"/>
  <c r="Q42"/>
  <c r="P42"/>
  <c r="O42"/>
  <c r="N42"/>
  <c r="L42"/>
  <c r="M42"/>
  <c r="K42"/>
  <c r="J42"/>
  <c r="E42"/>
  <c r="A2"/>
  <c r="H2"/>
  <c r="AG2"/>
  <c r="A3"/>
  <c r="H3"/>
  <c r="AG3"/>
  <c r="A4"/>
  <c r="H4"/>
  <c r="I4"/>
  <c r="O4"/>
  <c r="P4"/>
  <c r="U4"/>
  <c r="V4"/>
  <c r="Y4"/>
  <c r="Z4"/>
  <c r="AF4"/>
  <c r="A5"/>
  <c r="H5"/>
  <c r="I5"/>
  <c r="O5"/>
  <c r="P5"/>
  <c r="Q5"/>
  <c r="U5"/>
  <c r="V5"/>
  <c r="Y5"/>
  <c r="Z5"/>
  <c r="AA5"/>
  <c r="AB5"/>
  <c r="AF5"/>
  <c r="A6"/>
  <c r="H6"/>
  <c r="I6"/>
  <c r="O6"/>
  <c r="P6"/>
  <c r="Q6"/>
  <c r="U6"/>
  <c r="V6"/>
  <c r="W6"/>
  <c r="Y6"/>
  <c r="Z6"/>
  <c r="AA6"/>
  <c r="AB6"/>
  <c r="AD6"/>
  <c r="AE6"/>
  <c r="AF6"/>
  <c r="A7"/>
  <c r="H7"/>
  <c r="I7"/>
  <c r="K7"/>
  <c r="N7"/>
  <c r="O7"/>
  <c r="P7"/>
  <c r="Q7"/>
  <c r="U7"/>
  <c r="V7"/>
  <c r="W7"/>
  <c r="Y7"/>
  <c r="Z7"/>
  <c r="AA7"/>
  <c r="AB7"/>
  <c r="AD7"/>
  <c r="AE7"/>
  <c r="AF7"/>
  <c r="A8"/>
  <c r="H8"/>
  <c r="I8"/>
  <c r="K8"/>
  <c r="N8"/>
  <c r="O8"/>
  <c r="P8"/>
  <c r="Q8"/>
  <c r="R8"/>
  <c r="U8"/>
  <c r="V8"/>
  <c r="W8"/>
  <c r="Y8"/>
  <c r="Z8"/>
  <c r="AA8"/>
  <c r="AB8"/>
  <c r="AD8"/>
  <c r="AE8"/>
  <c r="AF8"/>
  <c r="A9"/>
  <c r="B9"/>
  <c r="H9"/>
  <c r="I9"/>
  <c r="K9"/>
  <c r="M9"/>
  <c r="N9"/>
  <c r="O9"/>
  <c r="P9"/>
  <c r="Q9"/>
  <c r="R9"/>
  <c r="U9"/>
  <c r="V9"/>
  <c r="W9"/>
  <c r="Y9"/>
  <c r="Z9"/>
  <c r="AA9"/>
  <c r="AB9"/>
  <c r="AD9"/>
  <c r="AE9"/>
  <c r="AF9"/>
  <c r="A10"/>
  <c r="B10"/>
  <c r="D10"/>
  <c r="H10"/>
  <c r="I10"/>
  <c r="K10"/>
  <c r="M10"/>
  <c r="N10"/>
  <c r="O10"/>
  <c r="P10"/>
  <c r="Q10"/>
  <c r="R10"/>
  <c r="U10"/>
  <c r="V10"/>
  <c r="W10"/>
  <c r="Y10"/>
  <c r="Z10"/>
  <c r="AA10"/>
  <c r="AB10"/>
  <c r="AC10"/>
  <c r="AD10"/>
  <c r="AE10"/>
  <c r="AF10"/>
  <c r="A11"/>
  <c r="B11"/>
  <c r="D11"/>
  <c r="G11"/>
  <c r="H11"/>
  <c r="I11"/>
  <c r="K11"/>
  <c r="M11"/>
  <c r="N11"/>
  <c r="O11"/>
  <c r="P11"/>
  <c r="Q11"/>
  <c r="R11"/>
  <c r="S11"/>
  <c r="U11"/>
  <c r="V11"/>
  <c r="W11"/>
  <c r="Y11"/>
  <c r="Z11"/>
  <c r="AA11"/>
  <c r="AB11"/>
  <c r="AC11"/>
  <c r="AD11"/>
  <c r="AE11"/>
  <c r="AF11"/>
  <c r="A12"/>
  <c r="B12"/>
  <c r="D12"/>
  <c r="G12"/>
  <c r="H12"/>
  <c r="I12"/>
  <c r="K12"/>
  <c r="M12"/>
  <c r="N12"/>
  <c r="O12"/>
  <c r="P12"/>
  <c r="Q12"/>
  <c r="R12"/>
  <c r="S12"/>
  <c r="U12"/>
  <c r="V12"/>
  <c r="W12"/>
  <c r="Y12"/>
  <c r="Z12"/>
  <c r="AA12"/>
  <c r="AB12"/>
  <c r="AC12"/>
  <c r="AD12"/>
  <c r="AE12"/>
  <c r="AF12"/>
  <c r="A13"/>
  <c r="B13"/>
  <c r="D13"/>
  <c r="G13"/>
  <c r="H13"/>
  <c r="I13"/>
  <c r="K13"/>
  <c r="M13"/>
  <c r="N13"/>
  <c r="O13"/>
  <c r="P13"/>
  <c r="Q13"/>
  <c r="R13"/>
  <c r="S13"/>
  <c r="U13"/>
  <c r="V13"/>
  <c r="W13"/>
  <c r="X13"/>
  <c r="Y13"/>
  <c r="Z13"/>
  <c r="AA13"/>
  <c r="AB13"/>
  <c r="AC13"/>
  <c r="AD13"/>
  <c r="AE13"/>
  <c r="AF13"/>
  <c r="A14"/>
  <c r="B14"/>
  <c r="D14"/>
  <c r="G14"/>
  <c r="H14"/>
  <c r="I14"/>
  <c r="K14"/>
  <c r="M14"/>
  <c r="N14"/>
  <c r="O14"/>
  <c r="P14"/>
  <c r="Q14"/>
  <c r="R14"/>
  <c r="S14"/>
  <c r="U14"/>
  <c r="V14"/>
  <c r="W14"/>
  <c r="X14"/>
  <c r="Y14"/>
  <c r="Z14"/>
  <c r="AA14"/>
  <c r="AB14"/>
  <c r="AC14"/>
  <c r="AD14"/>
  <c r="AE14"/>
  <c r="AF14"/>
  <c r="A15"/>
  <c r="B15"/>
  <c r="D15"/>
  <c r="G15"/>
  <c r="H15"/>
  <c r="I15"/>
  <c r="K15"/>
  <c r="M15"/>
  <c r="N15"/>
  <c r="O15"/>
  <c r="P15"/>
  <c r="Q15"/>
  <c r="R15"/>
  <c r="S15"/>
  <c r="U15"/>
  <c r="V15"/>
  <c r="W15"/>
  <c r="X15"/>
  <c r="Y15"/>
  <c r="Z15"/>
  <c r="AA15"/>
  <c r="AB15"/>
  <c r="AC15"/>
  <c r="AD15"/>
  <c r="AE15"/>
  <c r="AF15"/>
  <c r="A16"/>
  <c r="B16"/>
  <c r="D16"/>
  <c r="G16"/>
  <c r="H16"/>
  <c r="I16"/>
  <c r="K16"/>
  <c r="M16"/>
  <c r="N16"/>
  <c r="O16"/>
  <c r="P16"/>
  <c r="Q16"/>
  <c r="R16"/>
  <c r="S16"/>
  <c r="U16"/>
  <c r="V16"/>
  <c r="W16"/>
  <c r="X16"/>
  <c r="Y16"/>
  <c r="Z16"/>
  <c r="AA16"/>
  <c r="AB16"/>
  <c r="AC16"/>
  <c r="AD16"/>
  <c r="AE16"/>
  <c r="AF16"/>
  <c r="A17"/>
  <c r="B17"/>
  <c r="D17"/>
  <c r="G17"/>
  <c r="H17"/>
  <c r="I17"/>
  <c r="K17"/>
  <c r="M17"/>
  <c r="N17"/>
  <c r="O17"/>
  <c r="P17"/>
  <c r="Q17"/>
  <c r="R17"/>
  <c r="S17"/>
  <c r="U17"/>
  <c r="V17"/>
  <c r="W17"/>
  <c r="X17"/>
  <c r="Y17"/>
  <c r="Z17"/>
  <c r="AA17"/>
  <c r="AB17"/>
  <c r="AC17"/>
  <c r="AD17"/>
  <c r="AE17"/>
  <c r="AF17"/>
  <c r="A18"/>
  <c r="B18"/>
  <c r="D18"/>
  <c r="G18"/>
  <c r="H18"/>
  <c r="I18"/>
  <c r="K18"/>
  <c r="M18"/>
  <c r="N18"/>
  <c r="O18"/>
  <c r="P18"/>
  <c r="Q18"/>
  <c r="R18"/>
  <c r="S18"/>
  <c r="U18"/>
  <c r="V18"/>
  <c r="W18"/>
  <c r="X18"/>
  <c r="Y18"/>
  <c r="Z18"/>
  <c r="AA18"/>
  <c r="AB18"/>
  <c r="AC18"/>
  <c r="AD18"/>
  <c r="AE18"/>
  <c r="AF18"/>
  <c r="A19"/>
  <c r="B19"/>
  <c r="D19"/>
  <c r="G19"/>
  <c r="H19"/>
  <c r="I19"/>
  <c r="K19"/>
  <c r="M19"/>
  <c r="N19"/>
  <c r="O19"/>
  <c r="P19"/>
  <c r="Q19"/>
  <c r="R19"/>
  <c r="S19"/>
  <c r="U19"/>
  <c r="V19"/>
  <c r="W19"/>
  <c r="X19"/>
  <c r="Y19"/>
  <c r="Z19"/>
  <c r="AA19"/>
  <c r="AB19"/>
  <c r="AC19"/>
  <c r="AD19"/>
  <c r="AE19"/>
  <c r="AF19"/>
  <c r="A20"/>
  <c r="B20"/>
  <c r="D20"/>
  <c r="G20"/>
  <c r="H20"/>
  <c r="I20"/>
  <c r="K20"/>
  <c r="M20"/>
  <c r="N20"/>
  <c r="O20"/>
  <c r="P20"/>
  <c r="Q20"/>
  <c r="R20"/>
  <c r="S20"/>
  <c r="U20"/>
  <c r="V20"/>
  <c r="W20"/>
  <c r="X20"/>
  <c r="Y20"/>
  <c r="Z20"/>
  <c r="AA20"/>
  <c r="AB20"/>
  <c r="AC20"/>
  <c r="AD20"/>
  <c r="AE20"/>
  <c r="AF20"/>
  <c r="A21"/>
  <c r="B21"/>
  <c r="D21"/>
  <c r="G21"/>
  <c r="H21"/>
  <c r="I21"/>
  <c r="K21"/>
  <c r="M21"/>
  <c r="N21"/>
  <c r="O21"/>
  <c r="P21"/>
  <c r="Q21"/>
  <c r="R21"/>
  <c r="S21"/>
  <c r="U21"/>
  <c r="V21"/>
  <c r="W21"/>
  <c r="X21"/>
  <c r="Y21"/>
  <c r="Z21"/>
  <c r="AA21"/>
  <c r="AB21"/>
  <c r="AC21"/>
  <c r="AD21"/>
  <c r="AE21"/>
  <c r="AF21"/>
  <c r="A22"/>
  <c r="B22"/>
  <c r="D22"/>
  <c r="G22"/>
  <c r="H22"/>
  <c r="I22"/>
  <c r="K22"/>
  <c r="M22"/>
  <c r="N22"/>
  <c r="O22"/>
  <c r="P22"/>
  <c r="Q22"/>
  <c r="R22"/>
  <c r="S22"/>
  <c r="U22"/>
  <c r="V22"/>
  <c r="W22"/>
  <c r="X22"/>
  <c r="Y22"/>
  <c r="Z22"/>
  <c r="AA22"/>
  <c r="AB22"/>
  <c r="AC22"/>
  <c r="AD22"/>
  <c r="AE22"/>
  <c r="AF22"/>
  <c r="A23"/>
  <c r="B23"/>
  <c r="D23"/>
  <c r="G23"/>
  <c r="H23"/>
  <c r="I23"/>
  <c r="K23"/>
  <c r="M23"/>
  <c r="N23"/>
  <c r="O23"/>
  <c r="P23"/>
  <c r="Q23"/>
  <c r="R23"/>
  <c r="S23"/>
  <c r="U23"/>
  <c r="V23"/>
  <c r="W23"/>
  <c r="X23"/>
  <c r="Y23"/>
  <c r="Z23"/>
  <c r="AA23"/>
  <c r="AB23"/>
  <c r="AC23"/>
  <c r="AD23"/>
  <c r="AE23"/>
  <c r="AF23"/>
  <c r="A24"/>
  <c r="B24"/>
  <c r="D24"/>
  <c r="G24"/>
  <c r="H24"/>
  <c r="I24"/>
  <c r="K24"/>
  <c r="L24"/>
  <c r="M24"/>
  <c r="N24"/>
  <c r="O24"/>
  <c r="P24"/>
  <c r="Q24"/>
  <c r="R24"/>
  <c r="S24"/>
  <c r="U24"/>
  <c r="V24"/>
  <c r="W24"/>
  <c r="X24"/>
  <c r="Y24"/>
  <c r="Z24"/>
  <c r="AA24"/>
  <c r="AB24"/>
  <c r="AC24"/>
  <c r="AD24"/>
  <c r="AE24"/>
  <c r="AF24"/>
  <c r="A25"/>
  <c r="B25"/>
  <c r="D25"/>
  <c r="E25"/>
  <c r="G25"/>
  <c r="H25"/>
  <c r="I25"/>
  <c r="K25"/>
  <c r="L25"/>
  <c r="M25"/>
  <c r="N25"/>
  <c r="O25"/>
  <c r="P25"/>
  <c r="Q25"/>
  <c r="R25"/>
  <c r="S25"/>
  <c r="U25"/>
  <c r="V25"/>
  <c r="W25"/>
  <c r="X25"/>
  <c r="Y25"/>
  <c r="Z25"/>
  <c r="AA25"/>
  <c r="AB25"/>
  <c r="AC25"/>
  <c r="AD25"/>
  <c r="AE25"/>
  <c r="AF25"/>
  <c r="A26"/>
  <c r="B26"/>
  <c r="D26"/>
  <c r="E26"/>
  <c r="G26"/>
  <c r="H26"/>
  <c r="I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27"/>
  <c r="B27"/>
  <c r="C27"/>
  <c r="D27"/>
  <c r="E27"/>
  <c r="G27"/>
  <c r="H27"/>
  <c r="I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28"/>
  <c r="B28"/>
  <c r="C28"/>
  <c r="D28"/>
  <c r="E28"/>
  <c r="G28"/>
  <c r="H28"/>
  <c r="I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29"/>
  <c r="B29"/>
  <c r="C29"/>
  <c r="D29"/>
  <c r="E29"/>
  <c r="G29"/>
  <c r="H29"/>
  <c r="I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30"/>
  <c r="B30"/>
  <c r="C30"/>
  <c r="D30"/>
  <c r="E30"/>
  <c r="G30"/>
  <c r="H30"/>
  <c r="I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31"/>
  <c r="B31"/>
  <c r="C31"/>
  <c r="D31"/>
  <c r="E31"/>
  <c r="G31"/>
  <c r="H31"/>
  <c r="I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32"/>
  <c r="B32"/>
  <c r="C32"/>
  <c r="D32"/>
  <c r="E32"/>
  <c r="G32"/>
  <c r="H32"/>
  <c r="I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33"/>
  <c r="B33"/>
  <c r="C33"/>
  <c r="D33"/>
  <c r="E33"/>
  <c r="G33"/>
  <c r="H33"/>
  <c r="I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34"/>
  <c r="B34"/>
  <c r="C34"/>
  <c r="D34"/>
  <c r="E34"/>
  <c r="G34"/>
  <c r="H34"/>
  <c r="I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35"/>
  <c r="B35"/>
  <c r="C35"/>
  <c r="D35"/>
  <c r="E35"/>
  <c r="G35"/>
  <c r="H35"/>
  <c r="I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36"/>
  <c r="B36"/>
  <c r="C36"/>
  <c r="D36"/>
  <c r="E36"/>
  <c r="G36"/>
  <c r="H36"/>
  <c r="I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41"/>
  <c r="H87"/>
  <c r="G87"/>
  <c r="F87"/>
  <c r="E87"/>
  <c r="D87"/>
  <c r="C87"/>
  <c r="H56"/>
  <c r="G56"/>
  <c r="F56"/>
  <c r="E56"/>
  <c r="D56"/>
  <c r="C56"/>
  <c r="A118" i="18"/>
  <c r="A117"/>
  <c r="A116"/>
  <c r="A115"/>
  <c r="U68" i="16" s="1"/>
  <c r="H79"/>
  <c r="G79"/>
  <c r="F79"/>
  <c r="E79"/>
  <c r="D79"/>
  <c r="C79"/>
  <c r="H127"/>
  <c r="G127"/>
  <c r="F127"/>
  <c r="E127"/>
  <c r="D127"/>
  <c r="C127"/>
  <c r="H137"/>
  <c r="G137"/>
  <c r="F137"/>
  <c r="E137"/>
  <c r="D137"/>
  <c r="C137"/>
  <c r="H124"/>
  <c r="G124"/>
  <c r="F124"/>
  <c r="E124"/>
  <c r="D124"/>
  <c r="C124"/>
  <c r="H110"/>
  <c r="G110"/>
  <c r="F110"/>
  <c r="E110"/>
  <c r="D110"/>
  <c r="C110"/>
  <c r="H103"/>
  <c r="G103"/>
  <c r="F103"/>
  <c r="E103"/>
  <c r="D103"/>
  <c r="C103"/>
  <c r="H102"/>
  <c r="G102"/>
  <c r="F102"/>
  <c r="E102"/>
  <c r="D102"/>
  <c r="C102"/>
  <c r="H97"/>
  <c r="G97"/>
  <c r="F97"/>
  <c r="E97"/>
  <c r="D97"/>
  <c r="C97"/>
  <c r="H99"/>
  <c r="G99"/>
  <c r="F99"/>
  <c r="E99"/>
  <c r="D99"/>
  <c r="C99"/>
  <c r="H96"/>
  <c r="G96"/>
  <c r="F96"/>
  <c r="E96"/>
  <c r="D96"/>
  <c r="C96"/>
  <c r="H86"/>
  <c r="G86"/>
  <c r="F86"/>
  <c r="E86"/>
  <c r="D86"/>
  <c r="C86"/>
  <c r="H89"/>
  <c r="G89"/>
  <c r="F89"/>
  <c r="E89"/>
  <c r="D89"/>
  <c r="C89"/>
  <c r="H57"/>
  <c r="G57"/>
  <c r="F57"/>
  <c r="E57"/>
  <c r="D57"/>
  <c r="C57"/>
  <c r="H83"/>
  <c r="G83"/>
  <c r="F83"/>
  <c r="E83"/>
  <c r="D83"/>
  <c r="C83"/>
  <c r="H82"/>
  <c r="G82"/>
  <c r="F82"/>
  <c r="E82"/>
  <c r="D82"/>
  <c r="C82"/>
  <c r="H80"/>
  <c r="G80"/>
  <c r="F80"/>
  <c r="E80"/>
  <c r="D80"/>
  <c r="C80"/>
  <c r="H76"/>
  <c r="G76"/>
  <c r="F76"/>
  <c r="E76"/>
  <c r="D76"/>
  <c r="C76"/>
  <c r="H74"/>
  <c r="G74"/>
  <c r="F74"/>
  <c r="E74"/>
  <c r="D74"/>
  <c r="C74"/>
  <c r="H72"/>
  <c r="G72"/>
  <c r="F72"/>
  <c r="E72"/>
  <c r="D72"/>
  <c r="C72"/>
  <c r="H65"/>
  <c r="G65"/>
  <c r="F65"/>
  <c r="E65"/>
  <c r="D65"/>
  <c r="C65"/>
  <c r="H64"/>
  <c r="G64"/>
  <c r="F64"/>
  <c r="E64"/>
  <c r="D64"/>
  <c r="C64"/>
  <c r="H46"/>
  <c r="G46"/>
  <c r="F46"/>
  <c r="E46"/>
  <c r="D46"/>
  <c r="C46"/>
  <c r="H43"/>
  <c r="G43"/>
  <c r="F43"/>
  <c r="E43"/>
  <c r="D43"/>
  <c r="C43"/>
  <c r="H42"/>
  <c r="G42"/>
  <c r="F42"/>
  <c r="D42"/>
  <c r="C42"/>
  <c r="H73"/>
  <c r="G73"/>
  <c r="F73"/>
  <c r="E73"/>
  <c r="D73"/>
  <c r="C73"/>
  <c r="H68"/>
  <c r="G68"/>
  <c r="F68"/>
  <c r="E68"/>
  <c r="D68"/>
  <c r="C68"/>
  <c r="H113"/>
  <c r="G113"/>
  <c r="F113"/>
  <c r="E113"/>
  <c r="D113"/>
  <c r="C113"/>
  <c r="H108"/>
  <c r="G108"/>
  <c r="F108"/>
  <c r="E108"/>
  <c r="D108"/>
  <c r="C108"/>
  <c r="H58"/>
  <c r="G58"/>
  <c r="F58"/>
  <c r="E58"/>
  <c r="D58"/>
  <c r="C58"/>
  <c r="H66"/>
  <c r="G66"/>
  <c r="F66"/>
  <c r="E66"/>
  <c r="D66"/>
  <c r="C66"/>
  <c r="W47" i="12"/>
  <c r="W46"/>
  <c r="W45"/>
  <c r="W44"/>
  <c r="W43"/>
  <c r="W42"/>
  <c r="W41"/>
  <c r="R17" i="11"/>
  <c r="R16"/>
  <c r="R15"/>
  <c r="T149" i="1" l="1"/>
  <c r="L149"/>
  <c r="A149"/>
  <c r="P147"/>
  <c r="H147"/>
  <c r="T145"/>
  <c r="L145"/>
  <c r="A145"/>
  <c r="P143"/>
  <c r="H143"/>
  <c r="T141"/>
  <c r="L141"/>
  <c r="A141"/>
  <c r="P139"/>
  <c r="H139"/>
  <c r="T137"/>
  <c r="L137"/>
  <c r="A137"/>
  <c r="P135"/>
  <c r="H135"/>
  <c r="T133"/>
  <c r="L133"/>
  <c r="A133"/>
  <c r="P131"/>
  <c r="H131"/>
  <c r="T129"/>
  <c r="L129"/>
  <c r="A129"/>
  <c r="P127"/>
  <c r="H127"/>
  <c r="T125"/>
  <c r="L125"/>
  <c r="A125"/>
  <c r="P123"/>
  <c r="H123"/>
  <c r="T121"/>
  <c r="L121"/>
  <c r="A121"/>
  <c r="P119"/>
  <c r="H119"/>
  <c r="T117"/>
  <c r="L117"/>
  <c r="A117"/>
  <c r="P115"/>
  <c r="H115"/>
  <c r="T113"/>
  <c r="L113"/>
  <c r="A113"/>
  <c r="P111"/>
  <c r="H111"/>
  <c r="T109"/>
  <c r="L109"/>
  <c r="A109"/>
  <c r="P107"/>
  <c r="H107"/>
  <c r="W149"/>
  <c r="P149"/>
  <c r="H149"/>
  <c r="W147"/>
  <c r="L147"/>
  <c r="W145"/>
  <c r="P145"/>
  <c r="H145"/>
  <c r="W143"/>
  <c r="L143"/>
  <c r="W141"/>
  <c r="P141"/>
  <c r="H141"/>
  <c r="W139"/>
  <c r="L139"/>
  <c r="W137"/>
  <c r="P137"/>
  <c r="H137"/>
  <c r="W135"/>
  <c r="L135"/>
  <c r="W133"/>
  <c r="P133"/>
  <c r="H133"/>
  <c r="W131"/>
  <c r="L131"/>
  <c r="W129"/>
  <c r="P129"/>
  <c r="H129"/>
  <c r="W127"/>
  <c r="L127"/>
  <c r="W125"/>
  <c r="P125"/>
  <c r="H125"/>
  <c r="W123"/>
  <c r="L123"/>
  <c r="W121"/>
  <c r="P121"/>
  <c r="H121"/>
  <c r="W119"/>
  <c r="L119"/>
  <c r="W117"/>
  <c r="P117"/>
  <c r="H117"/>
  <c r="W115"/>
  <c r="L115"/>
  <c r="W113"/>
  <c r="P113"/>
  <c r="H113"/>
  <c r="W111"/>
  <c r="L111"/>
  <c r="W109"/>
  <c r="P109"/>
  <c r="H109"/>
  <c r="W107"/>
  <c r="L107"/>
  <c r="S16" i="11"/>
  <c r="S17"/>
  <c r="S18"/>
  <c r="T15" s="1"/>
  <c r="W21"/>
  <c r="U21"/>
  <c r="V21"/>
  <c r="S21"/>
  <c r="R21"/>
  <c r="Q21"/>
  <c r="X21"/>
  <c r="T21"/>
  <c r="U4" i="10"/>
  <c r="U5" s="1"/>
  <c r="H105" i="1"/>
  <c r="J68" i="16"/>
  <c r="L68"/>
  <c r="N68"/>
  <c r="P68"/>
  <c r="R68"/>
  <c r="T68"/>
  <c r="V68"/>
  <c r="K68"/>
  <c r="M68"/>
  <c r="O68"/>
  <c r="Q68"/>
  <c r="S68"/>
  <c r="W3" i="1"/>
  <c r="W103"/>
  <c r="L105"/>
  <c r="T105"/>
  <c r="M53"/>
  <c r="M57"/>
  <c r="M59"/>
  <c r="M62"/>
  <c r="M61"/>
  <c r="M64"/>
  <c r="M54"/>
  <c r="M58"/>
  <c r="M60"/>
  <c r="M63"/>
  <c r="M65"/>
  <c r="W105"/>
  <c r="P103"/>
  <c r="A105"/>
  <c r="P105"/>
  <c r="L103"/>
  <c r="H103"/>
  <c r="I10" i="11"/>
  <c r="I9"/>
  <c r="I8"/>
  <c r="I7"/>
  <c r="M56" i="1"/>
  <c r="M55"/>
  <c r="K147" i="2"/>
  <c r="Q145"/>
  <c r="P99" i="1" s="1"/>
  <c r="L142" i="2"/>
  <c r="AG6" i="14"/>
  <c r="AG90"/>
  <c r="AG89"/>
  <c r="AG86"/>
  <c r="AG85"/>
  <c r="AG84"/>
  <c r="AG83"/>
  <c r="AG82"/>
  <c r="AG81"/>
  <c r="AG7"/>
  <c r="AG5"/>
  <c r="K151" i="2"/>
  <c r="P146"/>
  <c r="R98" i="1" s="1"/>
  <c r="L143" i="2"/>
  <c r="K142"/>
  <c r="M142"/>
  <c r="K143"/>
  <c r="J145"/>
  <c r="L145"/>
  <c r="N145"/>
  <c r="P145"/>
  <c r="P98" i="1" s="1"/>
  <c r="R145" i="2"/>
  <c r="P100" i="1" s="1"/>
  <c r="K146" i="2"/>
  <c r="R93" i="1" s="1"/>
  <c r="M146" i="2"/>
  <c r="R95" i="1" s="1"/>
  <c r="O146" i="2"/>
  <c r="R97" i="1" s="1"/>
  <c r="P147" i="2"/>
  <c r="N147"/>
  <c r="L147"/>
  <c r="J147"/>
  <c r="N151"/>
  <c r="L151"/>
  <c r="J151"/>
  <c r="J142"/>
  <c r="J143"/>
  <c r="K145"/>
  <c r="P93" i="1" s="1"/>
  <c r="M145" i="2"/>
  <c r="O145"/>
  <c r="J146"/>
  <c r="L146"/>
  <c r="R94" i="1" s="1"/>
  <c r="N146" i="2"/>
  <c r="R96" i="1" s="1"/>
  <c r="O147" i="2"/>
  <c r="M147"/>
  <c r="O151"/>
  <c r="M151"/>
  <c r="R18" i="11"/>
  <c r="B180" i="2"/>
  <c r="B181"/>
  <c r="B182"/>
  <c r="B183"/>
  <c r="B184"/>
  <c r="B185"/>
  <c r="B186"/>
  <c r="A186"/>
  <c r="A185"/>
  <c r="A184"/>
  <c r="A183"/>
  <c r="A182"/>
  <c r="A181"/>
  <c r="A180"/>
  <c r="A62"/>
  <c r="A63"/>
  <c r="A64"/>
  <c r="A65"/>
  <c r="A66"/>
  <c r="A67"/>
  <c r="A68"/>
  <c r="A69"/>
  <c r="A70"/>
  <c r="A71"/>
  <c r="A72"/>
  <c r="A73"/>
  <c r="A74"/>
  <c r="A75"/>
  <c r="A76"/>
  <c r="A77"/>
  <c r="A78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A79"/>
  <c r="A47"/>
  <c r="X40" i="11"/>
  <c r="W39"/>
  <c r="V39"/>
  <c r="U38"/>
  <c r="T38"/>
  <c r="S37"/>
  <c r="X41"/>
  <c r="W40"/>
  <c r="V40"/>
  <c r="U39"/>
  <c r="T39"/>
  <c r="S38"/>
  <c r="R37"/>
  <c r="X39"/>
  <c r="W38"/>
  <c r="V38"/>
  <c r="U37"/>
  <c r="T37"/>
  <c r="X43"/>
  <c r="X42"/>
  <c r="W43"/>
  <c r="W42"/>
  <c r="W41"/>
  <c r="V43"/>
  <c r="V42"/>
  <c r="V41"/>
  <c r="U43"/>
  <c r="U42"/>
  <c r="U41"/>
  <c r="U40"/>
  <c r="T43"/>
  <c r="T42"/>
  <c r="T41"/>
  <c r="T40"/>
  <c r="S43"/>
  <c r="S42"/>
  <c r="S41"/>
  <c r="S40"/>
  <c r="S39"/>
  <c r="R42"/>
  <c r="R41"/>
  <c r="R40"/>
  <c r="R39"/>
  <c r="R38"/>
  <c r="Q41"/>
  <c r="Q40"/>
  <c r="Q39"/>
  <c r="Q38"/>
  <c r="Q37"/>
  <c r="P40"/>
  <c r="P39"/>
  <c r="P38"/>
  <c r="P37"/>
  <c r="P36"/>
  <c r="O39"/>
  <c r="O38"/>
  <c r="O37"/>
  <c r="O36"/>
  <c r="O35"/>
  <c r="N38"/>
  <c r="N37"/>
  <c r="N36"/>
  <c r="N35"/>
  <c r="N34"/>
  <c r="M37"/>
  <c r="M36"/>
  <c r="M35"/>
  <c r="M34"/>
  <c r="M33"/>
  <c r="M32"/>
  <c r="L36"/>
  <c r="L35"/>
  <c r="L34"/>
  <c r="L33"/>
  <c r="L32"/>
  <c r="K35"/>
  <c r="K34"/>
  <c r="K33"/>
  <c r="K32"/>
  <c r="K31"/>
  <c r="S36"/>
  <c r="R36"/>
  <c r="Q36"/>
  <c r="R35"/>
  <c r="Q35"/>
  <c r="P35"/>
  <c r="Q34"/>
  <c r="P34"/>
  <c r="O34"/>
  <c r="P33"/>
  <c r="O33"/>
  <c r="N33"/>
  <c r="O32"/>
  <c r="N32"/>
  <c r="N31"/>
  <c r="M31"/>
  <c r="L31"/>
  <c r="X32"/>
  <c r="X33"/>
  <c r="X34"/>
  <c r="X35"/>
  <c r="X36"/>
  <c r="X37"/>
  <c r="W32"/>
  <c r="W33"/>
  <c r="W34"/>
  <c r="W35"/>
  <c r="W36"/>
  <c r="V32"/>
  <c r="V33"/>
  <c r="V34"/>
  <c r="V35"/>
  <c r="V36"/>
  <c r="U32"/>
  <c r="U33"/>
  <c r="U34"/>
  <c r="U35"/>
  <c r="T32"/>
  <c r="T33"/>
  <c r="T34"/>
  <c r="T35"/>
  <c r="S32"/>
  <c r="S33"/>
  <c r="S34"/>
  <c r="R32"/>
  <c r="R33"/>
  <c r="Q32"/>
  <c r="Q31"/>
  <c r="R31"/>
  <c r="S31"/>
  <c r="T31"/>
  <c r="U31"/>
  <c r="V31"/>
  <c r="W31"/>
  <c r="X31"/>
  <c r="P31"/>
  <c r="X38"/>
  <c r="W37"/>
  <c r="V37"/>
  <c r="U36"/>
  <c r="T36"/>
  <c r="S35"/>
  <c r="R34"/>
  <c r="Q33"/>
  <c r="P32"/>
  <c r="O31"/>
  <c r="H1"/>
  <c r="O61" i="1"/>
  <c r="O62"/>
  <c r="O63"/>
  <c r="K62"/>
  <c r="X62" s="1"/>
  <c r="K63"/>
  <c r="K64"/>
  <c r="X64" s="1"/>
  <c r="K65"/>
  <c r="X65" s="1"/>
  <c r="K61"/>
  <c r="AK13" i="12"/>
  <c r="AK12"/>
  <c r="AK10"/>
  <c r="AK8"/>
  <c r="AK7"/>
  <c r="AK6"/>
  <c r="K11" i="1"/>
  <c r="O56"/>
  <c r="O55"/>
  <c r="O54"/>
  <c r="O53"/>
  <c r="O60"/>
  <c r="K60"/>
  <c r="K59"/>
  <c r="O58"/>
  <c r="K58"/>
  <c r="X58" s="1"/>
  <c r="K57"/>
  <c r="K56"/>
  <c r="K55"/>
  <c r="K54"/>
  <c r="K53"/>
  <c r="G51"/>
  <c r="S26" i="11"/>
  <c r="Q26"/>
  <c r="W102" i="1" l="1"/>
  <c r="W146"/>
  <c r="W142"/>
  <c r="W138"/>
  <c r="W134"/>
  <c r="W130"/>
  <c r="W126"/>
  <c r="W122"/>
  <c r="W118"/>
  <c r="W114"/>
  <c r="W110"/>
  <c r="W106"/>
  <c r="A148"/>
  <c r="L146"/>
  <c r="A144"/>
  <c r="L142"/>
  <c r="A140"/>
  <c r="L138"/>
  <c r="A136"/>
  <c r="L134"/>
  <c r="A132"/>
  <c r="L130"/>
  <c r="A128"/>
  <c r="L126"/>
  <c r="A124"/>
  <c r="L122"/>
  <c r="A120"/>
  <c r="L118"/>
  <c r="A116"/>
  <c r="L114"/>
  <c r="A112"/>
  <c r="L110"/>
  <c r="A108"/>
  <c r="L106"/>
  <c r="A146"/>
  <c r="A142"/>
  <c r="A138"/>
  <c r="A134"/>
  <c r="A130"/>
  <c r="A126"/>
  <c r="A122"/>
  <c r="A118"/>
  <c r="A114"/>
  <c r="A110"/>
  <c r="A106"/>
  <c r="L102"/>
  <c r="X59"/>
  <c r="X61"/>
  <c r="X57"/>
  <c r="X63"/>
  <c r="X60"/>
  <c r="X54"/>
  <c r="X56"/>
  <c r="X53"/>
  <c r="X55"/>
  <c r="AK9" i="12"/>
  <c r="H57" s="1"/>
  <c r="K15" i="1"/>
  <c r="M15"/>
  <c r="AK5" i="12"/>
  <c r="H13" s="1"/>
  <c r="Q11" i="1"/>
  <c r="V11"/>
  <c r="L47" i="10" s="1"/>
  <c r="O47" s="1"/>
  <c r="AK4" i="12"/>
  <c r="H7" s="1"/>
  <c r="P95" i="1"/>
  <c r="P96"/>
  <c r="P92"/>
  <c r="P97"/>
  <c r="P94"/>
  <c r="H84" i="12"/>
  <c r="H12"/>
  <c r="J70" i="1"/>
  <c r="W68"/>
  <c r="AK11" i="12"/>
  <c r="R19" i="1"/>
  <c r="K19"/>
  <c r="K17"/>
  <c r="R92"/>
  <c r="U17"/>
  <c r="A104"/>
  <c r="A102"/>
  <c r="R27" i="11"/>
  <c r="Y100" i="1" s="1"/>
  <c r="AK2" i="12"/>
  <c r="H39" s="1"/>
  <c r="AK3"/>
  <c r="N17" i="1"/>
  <c r="V19"/>
  <c r="L10" i="11"/>
  <c r="K8"/>
  <c r="K9"/>
  <c r="K10"/>
  <c r="K7"/>
  <c r="K6"/>
  <c r="W17" i="1"/>
  <c r="D35" i="12"/>
  <c r="D28"/>
  <c r="W18"/>
  <c r="V18"/>
  <c r="U18"/>
  <c r="T18"/>
  <c r="S18"/>
  <c r="W17"/>
  <c r="V17"/>
  <c r="U17"/>
  <c r="T17"/>
  <c r="S17"/>
  <c r="V16"/>
  <c r="U16"/>
  <c r="W16"/>
  <c r="T16"/>
  <c r="S16"/>
  <c r="W23"/>
  <c r="P23"/>
  <c r="P33"/>
  <c r="J4" i="11"/>
  <c r="J10" s="1"/>
  <c r="G1"/>
  <c r="I1"/>
  <c r="H47" i="12" l="1"/>
  <c r="H42"/>
  <c r="H65"/>
  <c r="H29"/>
  <c r="H41"/>
  <c r="Y95" i="1"/>
  <c r="H37" i="12"/>
  <c r="H10"/>
  <c r="H51"/>
  <c r="G51" s="1"/>
  <c r="H14"/>
  <c r="H22"/>
  <c r="H8"/>
  <c r="N47" i="10"/>
  <c r="P47" s="1"/>
  <c r="H33" i="12"/>
  <c r="H6"/>
  <c r="H63"/>
  <c r="H50"/>
  <c r="H24"/>
  <c r="H30"/>
  <c r="H52"/>
  <c r="H62"/>
  <c r="H89"/>
  <c r="H71"/>
  <c r="H72"/>
  <c r="H68"/>
  <c r="H70"/>
  <c r="H53"/>
  <c r="H43"/>
  <c r="H26"/>
  <c r="H90"/>
  <c r="H75"/>
  <c r="H82"/>
  <c r="H83"/>
  <c r="H80"/>
  <c r="H85"/>
  <c r="H61"/>
  <c r="H59"/>
  <c r="H56"/>
  <c r="H44"/>
  <c r="H38"/>
  <c r="H28"/>
  <c r="H15"/>
  <c r="H20"/>
  <c r="H54"/>
  <c r="H46"/>
  <c r="H16"/>
  <c r="H34"/>
  <c r="H17"/>
  <c r="H36"/>
  <c r="G36" s="1"/>
  <c r="H3"/>
  <c r="Q22"/>
  <c r="R22" s="1"/>
  <c r="P31"/>
  <c r="Q31" s="1"/>
  <c r="P29"/>
  <c r="Q29" s="1"/>
  <c r="R29" s="1"/>
  <c r="W33"/>
  <c r="X33" s="1"/>
  <c r="Y33" s="1"/>
  <c r="W31"/>
  <c r="X31" s="1"/>
  <c r="W29"/>
  <c r="X29" s="1"/>
  <c r="W27"/>
  <c r="X27" s="1"/>
  <c r="W25"/>
  <c r="X25" s="1"/>
  <c r="P34"/>
  <c r="Q34" s="1"/>
  <c r="R34" s="1"/>
  <c r="P32"/>
  <c r="Q32" s="1"/>
  <c r="R32" s="1"/>
  <c r="P30"/>
  <c r="Q30" s="1"/>
  <c r="R30" s="1"/>
  <c r="P28"/>
  <c r="Q28" s="1"/>
  <c r="R28" s="1"/>
  <c r="W22"/>
  <c r="X22" s="1"/>
  <c r="Y22" s="1"/>
  <c r="W34"/>
  <c r="X34" s="1"/>
  <c r="Y34" s="1"/>
  <c r="W32"/>
  <c r="X32" s="1"/>
  <c r="Y32" s="1"/>
  <c r="W30"/>
  <c r="X30" s="1"/>
  <c r="W28"/>
  <c r="X28" s="1"/>
  <c r="W26"/>
  <c r="X26" s="1"/>
  <c r="W24"/>
  <c r="X24" s="1"/>
  <c r="P27"/>
  <c r="Q27" s="1"/>
  <c r="R27" s="1"/>
  <c r="P26"/>
  <c r="Q26" s="1"/>
  <c r="R26" s="1"/>
  <c r="P25"/>
  <c r="Q25" s="1"/>
  <c r="R25" s="1"/>
  <c r="P24"/>
  <c r="Q24" s="1"/>
  <c r="R24" s="1"/>
  <c r="Y99" i="1"/>
  <c r="Y97"/>
  <c r="Y93"/>
  <c r="Y91"/>
  <c r="Y89"/>
  <c r="Y98"/>
  <c r="Y96"/>
  <c r="Y94"/>
  <c r="Y92"/>
  <c r="Y90"/>
  <c r="Y88"/>
  <c r="Q23" i="12"/>
  <c r="R23" s="1"/>
  <c r="Q33"/>
  <c r="R33" s="1"/>
  <c r="X23"/>
  <c r="J7" i="11"/>
  <c r="J6"/>
  <c r="N10"/>
  <c r="P11" i="12"/>
  <c r="N11"/>
  <c r="O11"/>
  <c r="K1" i="11"/>
  <c r="J1"/>
  <c r="P58" i="10" l="1"/>
  <c r="P57"/>
  <c r="Q57" s="1"/>
  <c r="O33" i="1" s="1"/>
  <c r="Q58" i="10"/>
  <c r="W34" i="1"/>
  <c r="W37"/>
  <c r="W38"/>
  <c r="W35"/>
  <c r="W36"/>
  <c r="Y36" i="12"/>
  <c r="N10"/>
  <c r="N9" i="11"/>
  <c r="P10" i="12"/>
  <c r="K24" i="1" s="1"/>
  <c r="Q10" i="12"/>
  <c r="AE66" s="1"/>
  <c r="O10"/>
  <c r="R10"/>
  <c r="AC63" s="1"/>
  <c r="AD63" s="1"/>
  <c r="AE63" s="1"/>
  <c r="N8" i="11"/>
  <c r="N7"/>
  <c r="O34" i="1" l="1"/>
  <c r="O35"/>
  <c r="M81"/>
  <c r="L81" s="1"/>
  <c r="AC64" i="12"/>
  <c r="AD64" s="1"/>
  <c r="AE64" s="1"/>
  <c r="AE67"/>
  <c r="K66" i="1" s="1"/>
  <c r="J66" s="1"/>
  <c r="N6" i="11"/>
</calcChain>
</file>

<file path=xl/comments1.xml><?xml version="1.0" encoding="utf-8"?>
<comments xmlns="http://schemas.openxmlformats.org/spreadsheetml/2006/main">
  <authors>
    <author>Mononke</author>
  </authors>
  <commentList>
    <comment ref="A40" authorId="0">
      <text>
        <r>
          <rPr>
            <b/>
            <sz val="8"/>
            <color indexed="81"/>
            <rFont val="Tahoma"/>
            <family val="2"/>
          </rPr>
          <t>Jello:</t>
        </r>
        <r>
          <rPr>
            <sz val="8"/>
            <color indexed="81"/>
            <rFont val="Tahoma"/>
            <family val="2"/>
          </rPr>
          <t xml:space="preserve">
Les race highlightés sont celle dont je ne connais pas la traduction en français</t>
        </r>
      </text>
    </comment>
  </commentList>
</comments>
</file>

<file path=xl/comments2.xml><?xml version="1.0" encoding="utf-8"?>
<comments xmlns="http://schemas.openxmlformats.org/spreadsheetml/2006/main">
  <authors>
    <author>Mononke</author>
  </authors>
  <commentList>
    <comment ref="I1" authorId="0">
      <text>
        <r>
          <rPr>
            <b/>
            <sz val="8"/>
            <color indexed="81"/>
            <rFont val="Tahoma"/>
            <charset val="1"/>
          </rPr>
          <t>Mononke:</t>
        </r>
        <r>
          <rPr>
            <sz val="8"/>
            <color indexed="81"/>
            <rFont val="Tahoma"/>
            <charset val="1"/>
          </rPr>
          <t xml:space="preserve">
Inconnu = Encore à vérifier
Aucune = CA normale</t>
        </r>
      </text>
    </comment>
  </commentList>
</comments>
</file>

<file path=xl/sharedStrings.xml><?xml version="1.0" encoding="utf-8"?>
<sst xmlns="http://schemas.openxmlformats.org/spreadsheetml/2006/main" count="20269" uniqueCount="3998">
  <si>
    <t>-</t>
  </si>
  <si>
    <t>Hill Giant</t>
  </si>
  <si>
    <t>Stone Giant</t>
  </si>
  <si>
    <t>Frost Giant</t>
  </si>
  <si>
    <t>Fire Giant</t>
  </si>
  <si>
    <t>Cloud Giant</t>
  </si>
  <si>
    <t>Storm Giant</t>
  </si>
  <si>
    <t>Titan</t>
  </si>
  <si>
    <t>N/A</t>
  </si>
  <si>
    <t>1/1 tours</t>
  </si>
  <si>
    <t>1/6 tours</t>
  </si>
  <si>
    <t>1/5 tours</t>
  </si>
  <si>
    <t>1/4 tours</t>
  </si>
  <si>
    <t>1/3 tours</t>
  </si>
  <si>
    <t>1/2 tours</t>
  </si>
  <si>
    <t>Tous</t>
  </si>
  <si>
    <t>Nom:</t>
  </si>
  <si>
    <t>Classe:</t>
  </si>
  <si>
    <t>Race:</t>
  </si>
  <si>
    <t>Genre:</t>
  </si>
  <si>
    <t>Grandeur:</t>
  </si>
  <si>
    <t>Poids:</t>
  </si>
  <si>
    <t>Alignement:</t>
  </si>
  <si>
    <t>Cheveux:</t>
  </si>
  <si>
    <t>Probabilité de Toucher</t>
  </si>
  <si>
    <t>Ajustement aux Dégats</t>
  </si>
  <si>
    <t>Poids Autorisé</t>
  </si>
  <si>
    <t>Charge Maximale</t>
  </si>
  <si>
    <t>Tordres des barreaux/ Soulever des Herses</t>
  </si>
  <si>
    <t>Guerrier</t>
  </si>
  <si>
    <t>Brise sérure Portes Mag.</t>
  </si>
  <si>
    <t>Ajustement à la Réaction</t>
  </si>
  <si>
    <t>Ajustement aux Projectiles</t>
  </si>
  <si>
    <t>Ajustement Défensif</t>
  </si>
  <si>
    <t>Ajustement aux PV</t>
  </si>
  <si>
    <t>Choc Métabolique</t>
  </si>
  <si>
    <t>Survie à la ressurection</t>
  </si>
  <si>
    <t>Résistance au poison</t>
  </si>
  <si>
    <t>Régénération</t>
  </si>
  <si>
    <t>Niveau de Sort</t>
  </si>
  <si>
    <t>1er niv d'illusions</t>
  </si>
  <si>
    <t>2eme niv d'illusions</t>
  </si>
  <si>
    <t>3eme niv d'illusions</t>
  </si>
  <si>
    <t>4eme niv d'illusions</t>
  </si>
  <si>
    <t>5eme niv d'illusions</t>
  </si>
  <si>
    <t>6eme niv d'illusions</t>
  </si>
  <si>
    <t>7eme niv d'illusions</t>
  </si>
  <si>
    <t>Bonus de Sorts</t>
  </si>
  <si>
    <t>Jets de Sauvergardes</t>
  </si>
  <si>
    <t>PPMM:</t>
  </si>
  <si>
    <t>BBB:</t>
  </si>
  <si>
    <t>PM:</t>
  </si>
  <si>
    <t>SF:</t>
  </si>
  <si>
    <t>SR:</t>
  </si>
  <si>
    <t>Déité:</t>
  </si>
  <si>
    <t>Paladin</t>
  </si>
  <si>
    <t>Ranger</t>
  </si>
  <si>
    <t>Mage</t>
  </si>
  <si>
    <t>Ethnie:</t>
  </si>
  <si>
    <t>Nain</t>
  </si>
  <si>
    <t>Humain</t>
  </si>
  <si>
    <t>Gnome</t>
  </si>
  <si>
    <t>Peau:</t>
  </si>
  <si>
    <t>Duergar</t>
  </si>
  <si>
    <t>Voleur</t>
  </si>
  <si>
    <t>Barde</t>
  </si>
  <si>
    <t>Multi</t>
  </si>
  <si>
    <t>Druides</t>
  </si>
  <si>
    <t>Abjurateur</t>
  </si>
  <si>
    <t>Conjurateur</t>
  </si>
  <si>
    <t>Devin</t>
  </si>
  <si>
    <t>Enchanteur</t>
  </si>
  <si>
    <t>Illusionniste</t>
  </si>
  <si>
    <t>Invocateur</t>
  </si>
  <si>
    <t>Nécromancien</t>
  </si>
  <si>
    <t>Transmutateur</t>
  </si>
  <si>
    <t>Acrobate</t>
  </si>
  <si>
    <t>Aigrefin</t>
  </si>
  <si>
    <t>Assassin</t>
  </si>
  <si>
    <t>Aventurier</t>
  </si>
  <si>
    <t>Bandit</t>
  </si>
  <si>
    <t>Boucanier</t>
  </si>
  <si>
    <t>Bretteur</t>
  </si>
  <si>
    <t>Cambrioleur</t>
  </si>
  <si>
    <t>Chasseur de primes</t>
  </si>
  <si>
    <t>Eclaireur</t>
  </si>
  <si>
    <t>Espion</t>
  </si>
  <si>
    <t>Investigateur</t>
  </si>
  <si>
    <t>Mendiant</t>
  </si>
  <si>
    <t>Receleur</t>
  </si>
  <si>
    <t>Sicaire</t>
  </si>
  <si>
    <t>Taste- trappe</t>
  </si>
  <si>
    <t>Tire- laine</t>
  </si>
  <si>
    <t>Trafiquants</t>
  </si>
  <si>
    <t>Prêtres</t>
  </si>
  <si>
    <t>Roublards</t>
  </si>
  <si>
    <t>Guerriers</t>
  </si>
  <si>
    <t>Mages</t>
  </si>
  <si>
    <t>Tableau</t>
  </si>
  <si>
    <t>Nains?</t>
  </si>
  <si>
    <t>Paladin?</t>
  </si>
  <si>
    <t>Agriculture</t>
  </si>
  <si>
    <t>Allumage de Feu</t>
  </si>
  <si>
    <t>Brassage</t>
  </si>
  <si>
    <t>Chant</t>
  </si>
  <si>
    <t>Charpenterie</t>
  </si>
  <si>
    <t>Cordonnerie</t>
  </si>
  <si>
    <t>Couture/Confection</t>
  </si>
  <si>
    <t>Cuisine</t>
  </si>
  <si>
    <t>Danse</t>
  </si>
  <si>
    <t>Don Artistique</t>
  </si>
  <si>
    <t>Dressage d'Animaux</t>
  </si>
  <si>
    <t>Équitation, à Terre</t>
  </si>
  <si>
    <t>Équitation, en vol</t>
  </si>
  <si>
    <t>Étiquette</t>
  </si>
  <si>
    <t>Héraldique</t>
  </si>
  <si>
    <t>Langues,Vivantes</t>
  </si>
  <si>
    <t>Maçonnerie</t>
  </si>
  <si>
    <t>Maîtrise des animaux</t>
  </si>
  <si>
    <t>Maroquineries</t>
  </si>
  <si>
    <t>Mines</t>
  </si>
  <si>
    <t>Pêche</t>
  </si>
  <si>
    <t>Poterie</t>
  </si>
  <si>
    <t>Sens de l'orientation</t>
  </si>
  <si>
    <t>Tissage</t>
  </si>
  <si>
    <t>Utilisation des cordes</t>
  </si>
  <si>
    <t>Armurerie</t>
  </si>
  <si>
    <t>Chasse</t>
  </si>
  <si>
    <t>Conduite de chars</t>
  </si>
  <si>
    <t>Connaissance des animaux</t>
  </si>
  <si>
    <t>Course</t>
  </si>
  <si>
    <t>Endurance</t>
  </si>
  <si>
    <t>Forge d'armes</t>
  </si>
  <si>
    <t>Pistage</t>
  </si>
  <si>
    <t>Survie</t>
  </si>
  <si>
    <t>Acrobatie</t>
  </si>
  <si>
    <t>Normal</t>
  </si>
  <si>
    <t>Multi-class</t>
  </si>
  <si>
    <t>Totaux</t>
  </si>
  <si>
    <t>Contrefaçons</t>
  </si>
  <si>
    <t>Déguisement</t>
  </si>
  <si>
    <t>Estimation</t>
  </si>
  <si>
    <t>Funambulisme</t>
  </si>
  <si>
    <t>Instrument de Musique</t>
  </si>
  <si>
    <t>Jonglerie</t>
  </si>
  <si>
    <t>Lecture sur les Lèvres</t>
  </si>
  <si>
    <t>Saut</t>
  </si>
  <si>
    <t>Ventriloquie</t>
  </si>
  <si>
    <t>Soins</t>
  </si>
  <si>
    <t>Enfoncer les portes</t>
  </si>
  <si>
    <t>Druide</t>
  </si>
  <si>
    <t>Attribut</t>
  </si>
  <si>
    <t>Score de base</t>
  </si>
  <si>
    <t>Ajustement</t>
  </si>
  <si>
    <t>PFP total</t>
  </si>
  <si>
    <t>Point de Force Psionique</t>
  </si>
  <si>
    <t>Classe</t>
  </si>
  <si>
    <t>Prêtre</t>
  </si>
  <si>
    <t>Niveau 0</t>
  </si>
  <si>
    <t>Yeux:</t>
  </si>
  <si>
    <t>Âge:</t>
  </si>
  <si>
    <t>Classe 2:</t>
  </si>
  <si>
    <t>Profil:</t>
  </si>
  <si>
    <t>Classe 3:</t>
  </si>
  <si>
    <t>ST_War</t>
  </si>
  <si>
    <t>ST_Mages</t>
  </si>
  <si>
    <t>ST_Pretres</t>
  </si>
  <si>
    <t>ST_Roub</t>
  </si>
  <si>
    <t>NA</t>
  </si>
  <si>
    <t>Rôdeur</t>
  </si>
  <si>
    <t>Clerc</t>
  </si>
  <si>
    <t>Force</t>
  </si>
  <si>
    <t>Commentaire</t>
  </si>
  <si>
    <t>Dextérité</t>
  </si>
  <si>
    <t>Constitution</t>
  </si>
  <si>
    <t>Ajustement aux PV (Guerrier)</t>
  </si>
  <si>
    <t>Intelligence</t>
  </si>
  <si>
    <t>Sagesse</t>
  </si>
  <si>
    <t>Charisme</t>
  </si>
  <si>
    <t>Race</t>
  </si>
  <si>
    <t>Elfe</t>
  </si>
  <si>
    <t>Demi-Ogre</t>
  </si>
  <si>
    <t>Ethnie</t>
  </si>
  <si>
    <t>Rang</t>
  </si>
  <si>
    <t>Tableau des compétences</t>
  </si>
  <si>
    <t>Martiales</t>
  </si>
  <si>
    <t>Diverses</t>
  </si>
  <si>
    <t>Niveau</t>
  </si>
  <si>
    <t># Niveau</t>
  </si>
  <si>
    <t>Initiales</t>
  </si>
  <si>
    <t>Pénalités</t>
  </si>
  <si>
    <t>Roublard</t>
  </si>
  <si>
    <t>Psioniste</t>
  </si>
  <si>
    <t>ST_Psi</t>
  </si>
  <si>
    <t>INT</t>
  </si>
  <si>
    <t>SAG</t>
  </si>
  <si>
    <t>CHA</t>
  </si>
  <si>
    <t>FOR</t>
  </si>
  <si>
    <t>DEX</t>
  </si>
  <si>
    <t>CON</t>
  </si>
  <si>
    <t>GÉNÉRAL</t>
  </si>
  <si>
    <t>GUERRIER</t>
  </si>
  <si>
    <t>ROUBLARD</t>
  </si>
  <si>
    <t>MAGICIEN</t>
  </si>
  <si>
    <t>CLERICAL</t>
  </si>
  <si>
    <t>Compétence</t>
  </si>
  <si>
    <t>Compétences Diverses:</t>
  </si>
  <si>
    <t>Compétence de voleur</t>
  </si>
  <si>
    <t>Objets</t>
  </si>
  <si>
    <t>Poid</t>
  </si>
  <si>
    <t>Quantité</t>
  </si>
  <si>
    <t>Connaissance des sorts (clerical)</t>
  </si>
  <si>
    <t>Astrologie (clerical)</t>
  </si>
  <si>
    <t>Herboristerie (clerical)</t>
  </si>
  <si>
    <t>Histoire Ancienne (clerical)</t>
  </si>
  <si>
    <t>Instrument de Musique (clerical)</t>
  </si>
  <si>
    <t>Langue, Ancienne (clerical)</t>
  </si>
  <si>
    <t>Lecture/Écriture (clerical)</t>
  </si>
  <si>
    <t>Navigation (clerical)</t>
  </si>
  <si>
    <t>Religion (clerical)</t>
  </si>
  <si>
    <t>Coût</t>
  </si>
  <si>
    <t>De classe</t>
  </si>
  <si>
    <t>Général</t>
  </si>
  <si>
    <t>Magicien</t>
  </si>
  <si>
    <t>Clerical</t>
  </si>
  <si>
    <t>Psionique</t>
  </si>
  <si>
    <t>Classe 1:</t>
  </si>
  <si>
    <t>Groupe</t>
  </si>
  <si>
    <t>Rien</t>
  </si>
  <si>
    <t>Taille de Gemmes (Roublard)</t>
  </si>
  <si>
    <t>Jeu (Roublard)</t>
  </si>
  <si>
    <t>Histoire Ancienne (Roublard)</t>
  </si>
  <si>
    <t>Histoire Local (Roublard)</t>
  </si>
  <si>
    <t>Histoire Local (clerical)</t>
  </si>
  <si>
    <t>Combat Aveugle (Roublard)</t>
  </si>
  <si>
    <t>Combat à l'aveugle (Guerrier)</t>
  </si>
  <si>
    <t>Jeu (Guerrier)</t>
  </si>
  <si>
    <t>Navigation (Guerrier)</t>
  </si>
  <si>
    <t>Météorologie</t>
  </si>
  <si>
    <t>Vole à la tire</t>
  </si>
  <si>
    <t>Crochetage de serrures</t>
  </si>
  <si>
    <t>Trouver/Désa. Des Pièges</t>
  </si>
  <si>
    <t>Mouvement Silencieux</t>
  </si>
  <si>
    <t>Se cacher dans l'ombre</t>
  </si>
  <si>
    <t>Detecter des Bruits</t>
  </si>
  <si>
    <t>Grimper</t>
  </si>
  <si>
    <t>Langues Inconnues</t>
  </si>
  <si>
    <t>Base</t>
  </si>
  <si>
    <t>Armure</t>
  </si>
  <si>
    <t>Total</t>
  </si>
  <si>
    <t>Aj. Perso</t>
  </si>
  <si>
    <t>Pas d'armure</t>
  </si>
  <si>
    <t>Cotte de Mailles Elfique</t>
  </si>
  <si>
    <t>Armure Matelassé ou clouté</t>
  </si>
  <si>
    <t>Sorts</t>
  </si>
  <si>
    <t>Zone d'effet</t>
  </si>
  <si>
    <t>Autres:</t>
  </si>
  <si>
    <t>Niv. De SR</t>
  </si>
  <si>
    <t>Squelette/1 DV</t>
  </si>
  <si>
    <t>Zombi</t>
  </si>
  <si>
    <t>Goule/2 DV</t>
  </si>
  <si>
    <t>Ombre/3-4 DV</t>
  </si>
  <si>
    <t>Nécrophage/5 DV</t>
  </si>
  <si>
    <t>Blême</t>
  </si>
  <si>
    <t>Ame en peine/6 DV</t>
  </si>
  <si>
    <t>Momie/7 DV</t>
  </si>
  <si>
    <t>Spectre/8 DV</t>
  </si>
  <si>
    <t>Vampire/9 DV</t>
  </si>
  <si>
    <t>Fantôme/10 DV</t>
  </si>
  <si>
    <t>Liche/11 DV</t>
  </si>
  <si>
    <t>Spécial</t>
  </si>
  <si>
    <t>Vade Retro (1d20 ≥)</t>
  </si>
  <si>
    <t>Amis, Charme Personne,Effroi, Injonction,Hypnotisme,</t>
  </si>
  <si>
    <t>Prières</t>
  </si>
  <si>
    <t>Enfant de Neth (Nethling)</t>
  </si>
  <si>
    <t>Genasis</t>
  </si>
  <si>
    <t>Faction:</t>
  </si>
  <si>
    <t>PSIONIQUE</t>
  </si>
  <si>
    <t>Aménager le subconscient</t>
  </si>
  <si>
    <t>Hypnose</t>
  </si>
  <si>
    <t>Lecture/Écriture (psionique)</t>
  </si>
  <si>
    <t>Instrument de Musique (psionique)</t>
  </si>
  <si>
    <t>Méditation Focalisée</t>
  </si>
  <si>
    <t>Régénérescence</t>
  </si>
  <si>
    <t>Religion (psionique)</t>
  </si>
  <si>
    <t>Taille de Gemmes (Psionique)</t>
  </si>
  <si>
    <t>Tieffelin</t>
  </si>
  <si>
    <t>Aasimar</t>
  </si>
  <si>
    <t>Bariaure</t>
  </si>
  <si>
    <t>Githzeraï</t>
  </si>
  <si>
    <t>Modrone Hors-la-loi</t>
  </si>
  <si>
    <t>Generic</t>
  </si>
  <si>
    <t>Realms</t>
  </si>
  <si>
    <t>Greyhawk</t>
  </si>
  <si>
    <t>Spelljammer</t>
  </si>
  <si>
    <t>Dragonlance</t>
  </si>
  <si>
    <t>Dark Sun</t>
  </si>
  <si>
    <t>Planescape</t>
  </si>
  <si>
    <t>Other</t>
  </si>
  <si>
    <t>Sources</t>
  </si>
  <si>
    <t>Page</t>
  </si>
  <si>
    <t>Additional References</t>
  </si>
  <si>
    <t>Notes</t>
  </si>
  <si>
    <t>Aarakocra</t>
  </si>
  <si>
    <t>Yes</t>
  </si>
  <si>
    <t>—</t>
  </si>
  <si>
    <t>The Complete Book of Humanoids</t>
  </si>
  <si>
    <t>16</t>
  </si>
  <si>
    <t>Aarakocra, Athasian</t>
  </si>
  <si>
    <t>Planescape, Warriors of Heaven</t>
  </si>
  <si>
    <t>Aasimar (WoH)</t>
  </si>
  <si>
    <t>Aasimon, Agathinon</t>
  </si>
  <si>
    <t>Warriors of Heaven</t>
  </si>
  <si>
    <t>Alaghi</t>
  </si>
  <si>
    <t>18</t>
  </si>
  <si>
    <t>Aranea</t>
  </si>
  <si>
    <t>MY-SC:Campaign Book</t>
  </si>
  <si>
    <t>Archon, Hound</t>
  </si>
  <si>
    <t>Archon, Lantern</t>
  </si>
  <si>
    <t>Archon, Sword</t>
  </si>
  <si>
    <t>Archon, Trumpet</t>
  </si>
  <si>
    <t>Archon, Warden</t>
  </si>
  <si>
    <t>Ashiera</t>
  </si>
  <si>
    <t>Dragon #244</t>
  </si>
  <si>
    <t>Asuras</t>
  </si>
  <si>
    <t>Bariaur, Female</t>
  </si>
  <si>
    <t>Bariaur, Male</t>
  </si>
  <si>
    <t>Beastman</t>
  </si>
  <si>
    <t>19</t>
  </si>
  <si>
    <t>Brownie, Buckawn</t>
  </si>
  <si>
    <t>Dragon #262</t>
  </si>
  <si>
    <t>Bugbear</t>
  </si>
  <si>
    <t>21</t>
  </si>
  <si>
    <t>Bullywug</t>
  </si>
  <si>
    <t>22</t>
  </si>
  <si>
    <t>Centaur</t>
  </si>
  <si>
    <t>24</t>
  </si>
  <si>
    <t>Chitine</t>
  </si>
  <si>
    <t>Crabman</t>
  </si>
  <si>
    <t>Aquatic</t>
  </si>
  <si>
    <t>Dragon #250</t>
  </si>
  <si>
    <t>FR:SeaOfFallenStars</t>
  </si>
  <si>
    <t>Diopsid</t>
  </si>
  <si>
    <t>Dragon #267</t>
  </si>
  <si>
    <t>Dracon</t>
  </si>
  <si>
    <t>Draconian, Sesk*</t>
  </si>
  <si>
    <t>Dragon, Amethyst</t>
  </si>
  <si>
    <t>CoWyrms</t>
  </si>
  <si>
    <t>Council of Wyrms</t>
  </si>
  <si>
    <t>Dragon, Black</t>
  </si>
  <si>
    <t>Dragon, Blue</t>
  </si>
  <si>
    <t>Dragon, Brass</t>
  </si>
  <si>
    <t>Dragon, Bronze</t>
  </si>
  <si>
    <t>Dragon, Cloud</t>
  </si>
  <si>
    <t>Dragon #263</t>
  </si>
  <si>
    <t>Dragon, Copper</t>
  </si>
  <si>
    <t>Dragon, Crystal</t>
  </si>
  <si>
    <t>Dragon, Deep</t>
  </si>
  <si>
    <t>Dragon, Emerald</t>
  </si>
  <si>
    <t>Dragon, Gold</t>
  </si>
  <si>
    <t>Dragon, Green</t>
  </si>
  <si>
    <t>Dragon, Mercury</t>
  </si>
  <si>
    <t>Dragon, Mist</t>
  </si>
  <si>
    <t>Dragon, Red</t>
  </si>
  <si>
    <t>Dragon, Sapphire</t>
  </si>
  <si>
    <t>Dragon, Shadow</t>
  </si>
  <si>
    <t>Dragon, Silver</t>
  </si>
  <si>
    <t>Dragon, Steel</t>
  </si>
  <si>
    <t>Dragon, Topaz</t>
  </si>
  <si>
    <t>Dragon, White</t>
  </si>
  <si>
    <t>Dragon, Yellow</t>
  </si>
  <si>
    <t>Dragon #251</t>
  </si>
  <si>
    <t>Dwarf, Aghar (Gully)</t>
  </si>
  <si>
    <t>Tales of the Lance</t>
  </si>
  <si>
    <t>Dwarf, Arctic (Innugaakalikuritt)</t>
  </si>
  <si>
    <t>Arctic</t>
  </si>
  <si>
    <t>FR:DotR; FR14:Great Glacier</t>
  </si>
  <si>
    <t>Dwarf, Athasian</t>
  </si>
  <si>
    <t>Dwarf, Cerilian</t>
  </si>
  <si>
    <t>Dwarf, Daergar (Mountain)</t>
  </si>
  <si>
    <t>MC4 - Dragonlance</t>
  </si>
  <si>
    <t>Dwarf, Daewar (Mountain)</t>
  </si>
  <si>
    <t>Dwarf, Deep</t>
  </si>
  <si>
    <t>?</t>
  </si>
  <si>
    <t>PHBR6:Dwarves</t>
  </si>
  <si>
    <t>Dwarf, Derro</t>
  </si>
  <si>
    <t>Dragon #241</t>
  </si>
  <si>
    <t>Dwarf, Duergar</t>
  </si>
  <si>
    <t xml:space="preserve">Dwarf, Duergar (Gray) (Faerunian) </t>
  </si>
  <si>
    <t>FR:DotR</t>
  </si>
  <si>
    <t>Dwarf, Finawar</t>
  </si>
  <si>
    <t>Dwarf, Gold (Hill)</t>
  </si>
  <si>
    <t>Dwarf, Gully</t>
  </si>
  <si>
    <t>Dwarf, Hill</t>
  </si>
  <si>
    <t>Player's Handbook</t>
  </si>
  <si>
    <t>20</t>
  </si>
  <si>
    <t>The Complete Book of Dwarves, p.30</t>
  </si>
  <si>
    <t>Dwarf, Hylar (Mountain)</t>
  </si>
  <si>
    <t>Dwarf, Korobokuru</t>
  </si>
  <si>
    <t>Oriental</t>
  </si>
  <si>
    <t>MC06 - Kara-Tur</t>
  </si>
  <si>
    <t>Dwarf, Mountain</t>
  </si>
  <si>
    <t>Dwarf, Neidar (Hill)</t>
  </si>
  <si>
    <t>Dwarf, Scorned</t>
  </si>
  <si>
    <t>Dwarf, Shield (Mountain)</t>
  </si>
  <si>
    <t>Dwarf, Shield, Desert (Maztican)</t>
  </si>
  <si>
    <t>FR:MazticaCE</t>
  </si>
  <si>
    <t>Dwarf, Sundered</t>
  </si>
  <si>
    <t>Dwarf, Theiwar (Mountain)</t>
  </si>
  <si>
    <t>Dwarf, Wild (Jungle, Chultan)</t>
  </si>
  <si>
    <t>Dwarf, Zakhar (Mountain)</t>
  </si>
  <si>
    <t>Eladrin, Bralani</t>
  </si>
  <si>
    <t>Eladrin, Coure</t>
  </si>
  <si>
    <t>Eladrin, Firre</t>
  </si>
  <si>
    <t>Eladrin, Ghaele</t>
  </si>
  <si>
    <t>Eladrin, Noviere</t>
  </si>
  <si>
    <t>Eladrin, Shiere</t>
  </si>
  <si>
    <t>Eladrin, Tulani</t>
  </si>
  <si>
    <t>Elf, Alfar</t>
  </si>
  <si>
    <t>Dragon #257</t>
  </si>
  <si>
    <t>Elf, Aquatic</t>
  </si>
  <si>
    <t>Elf, Aquatic (D&amp;D)</t>
  </si>
  <si>
    <t>Elf, Aquatic (Evermeet/Sword Coast)</t>
  </si>
  <si>
    <t>Elf, Aquatic (Faerunian)</t>
  </si>
  <si>
    <t>Elf, Aquatic (Sea of Fallen Stars)</t>
  </si>
  <si>
    <t>FR:DotR, FR:SoFS</t>
  </si>
  <si>
    <t>Elf, Astromundi</t>
  </si>
  <si>
    <t>Elf, Athasian</t>
  </si>
  <si>
    <t>Elf, Avariel</t>
  </si>
  <si>
    <t>Dragon #233</t>
  </si>
  <si>
    <t>Elf, Avariel (Faerunian)</t>
  </si>
  <si>
    <t>Elf, Cerilian</t>
  </si>
  <si>
    <t>Elf, Cha'asii</t>
  </si>
  <si>
    <t>Elf, Clan</t>
  </si>
  <si>
    <t>Elf, Dargonesti</t>
  </si>
  <si>
    <t>Elf, Dimernesti</t>
  </si>
  <si>
    <t>Elf, Dockalfar</t>
  </si>
  <si>
    <t>Elf, Drow</t>
  </si>
  <si>
    <t>Elf, Drow (Faerunian)</t>
  </si>
  <si>
    <t>Elf, Fey</t>
  </si>
  <si>
    <t>Elf, Gold</t>
  </si>
  <si>
    <t>Elf, Green</t>
  </si>
  <si>
    <t>Elf, Green (Faerunian)</t>
  </si>
  <si>
    <t>Elf, Grey</t>
  </si>
  <si>
    <t>Elf, Half-</t>
  </si>
  <si>
    <t>Elf, Half-, Athasian</t>
  </si>
  <si>
    <t>Elf, Half-, Cerilian</t>
  </si>
  <si>
    <t>Elf, Half-, Faerunian</t>
  </si>
  <si>
    <t>Elf, Half-, Krynn</t>
  </si>
  <si>
    <t>Elf, Half-, Sea (Faerunian)</t>
  </si>
  <si>
    <t>Elf, High</t>
  </si>
  <si>
    <t>Elf, Hulderfolk</t>
  </si>
  <si>
    <t>Elf, Kagonesti</t>
  </si>
  <si>
    <t>Elf, Lythari (Lycanthrope Elf)</t>
  </si>
  <si>
    <t>Elf, Moon</t>
  </si>
  <si>
    <t>Elf, Qualinesti</t>
  </si>
  <si>
    <t>Elf, Rockseer</t>
  </si>
  <si>
    <t>Elf, Silvanesti</t>
  </si>
  <si>
    <t>Elf, Sylvan</t>
  </si>
  <si>
    <t>Elf, Winged, Ee'aar</t>
  </si>
  <si>
    <t>MY-SC:Orc's Head</t>
  </si>
  <si>
    <t>Fainil</t>
  </si>
  <si>
    <t>Genasi, Air</t>
  </si>
  <si>
    <t>Genasi, Earth</t>
  </si>
  <si>
    <t>Genasi, Fire</t>
  </si>
  <si>
    <t>Genasi, Water</t>
  </si>
  <si>
    <t>Giant, Half-, Athasian</t>
  </si>
  <si>
    <t>Giant-kin, Firbolg</t>
  </si>
  <si>
    <t>27</t>
  </si>
  <si>
    <t>Giant-kin, Verbeeg</t>
  </si>
  <si>
    <t>Giant-kin, Voadkyn</t>
  </si>
  <si>
    <t>29</t>
  </si>
  <si>
    <t>Giant-kin, Voadkyn (Faerunian)</t>
  </si>
  <si>
    <t>Gibberling</t>
  </si>
  <si>
    <t>Dragon #265</t>
  </si>
  <si>
    <t>Giff</t>
  </si>
  <si>
    <t>Githzerai</t>
  </si>
  <si>
    <t>Gnoll</t>
  </si>
  <si>
    <t>31</t>
  </si>
  <si>
    <t>Gnoll, Flind</t>
  </si>
  <si>
    <t>32</t>
  </si>
  <si>
    <t>Gnome, Rock, Faerunian</t>
  </si>
  <si>
    <t>Gnome, Forest</t>
  </si>
  <si>
    <t>The Complete Book of Gnomes &amp; Halflings</t>
  </si>
  <si>
    <t>Gnome, Tinker, Gnomoi</t>
  </si>
  <si>
    <t>Gnome, Tinker, Minoi (Taladan)</t>
  </si>
  <si>
    <t>Gnome, Rock</t>
  </si>
  <si>
    <t>The Complete Book of Gnomes &amp; Halflings, p.15</t>
  </si>
  <si>
    <t>Gnome, Svirfneblin (Deep)</t>
  </si>
  <si>
    <t>Gnome, Tinker, Minoi</t>
  </si>
  <si>
    <t>The Complete Book of Gnomes &amp; Halflings, p.26</t>
  </si>
  <si>
    <t>Goblin</t>
  </si>
  <si>
    <t>35</t>
  </si>
  <si>
    <t>Goblin, Erlking</t>
  </si>
  <si>
    <t>Goblin, Taladan</t>
  </si>
  <si>
    <t>Gremlin</t>
  </si>
  <si>
    <t>Gremlin, Fremlin</t>
  </si>
  <si>
    <t>25</t>
  </si>
  <si>
    <t>Gremlin, Jermlaine</t>
  </si>
  <si>
    <t>Grimlock</t>
  </si>
  <si>
    <t>Grippli</t>
  </si>
  <si>
    <t>Grommam, Female</t>
  </si>
  <si>
    <t>Grommam, Male</t>
  </si>
  <si>
    <t>Guardinal, Avoral</t>
  </si>
  <si>
    <t>Guardinal, Cervidal</t>
  </si>
  <si>
    <t>Guardinal, Equinal</t>
  </si>
  <si>
    <t>Guardinal, Leonal</t>
  </si>
  <si>
    <t>Guardinal, Lupinal</t>
  </si>
  <si>
    <t>Guardinal, Ursinal</t>
  </si>
  <si>
    <t>Hadozee</t>
  </si>
  <si>
    <t>Half-Dragon, Bronze</t>
  </si>
  <si>
    <t>Half-Dragon, Chiang Lung</t>
  </si>
  <si>
    <t>Half-Dragon, Deep (Drow Dragon)</t>
  </si>
  <si>
    <t>Half-Dragon, Gold</t>
  </si>
  <si>
    <t>Half-Dragon, Greyhawk</t>
  </si>
  <si>
    <t>Half-Dragon, Iron</t>
  </si>
  <si>
    <t>Half-Dragon, Shen Lung</t>
  </si>
  <si>
    <t>Half-Dragon, Silver</t>
  </si>
  <si>
    <t>Half-Dragon, Steel</t>
  </si>
  <si>
    <t>Halfling, Athasian</t>
  </si>
  <si>
    <t>Halfling, Cerilian</t>
  </si>
  <si>
    <t>Halfling, Furchin</t>
  </si>
  <si>
    <t>Halfling, Hairfoot</t>
  </si>
  <si>
    <t>68</t>
  </si>
  <si>
    <t>Halfling, Hairfoot (Luiren)</t>
  </si>
  <si>
    <t>Halfling, Stout</t>
  </si>
  <si>
    <t>Halfling, Stout, Maztican</t>
  </si>
  <si>
    <t>New World</t>
  </si>
  <si>
    <t>Halfling, Tallfellow</t>
  </si>
  <si>
    <t>Hengeyokai, Badger</t>
  </si>
  <si>
    <t>Dragon #266</t>
  </si>
  <si>
    <t>Hengeyokai, Carp</t>
  </si>
  <si>
    <t>Maybe</t>
  </si>
  <si>
    <t>Hengeyokai, Cat</t>
  </si>
  <si>
    <t>Hengeyokai, Crab</t>
  </si>
  <si>
    <t>Hengeyokai, Crane</t>
  </si>
  <si>
    <t>Hengeyokai, Dog</t>
  </si>
  <si>
    <t>Hengeyokai, Dolphin</t>
  </si>
  <si>
    <t>Hengeyokai, Drake</t>
  </si>
  <si>
    <t>Hengeyokai, Falcon</t>
  </si>
  <si>
    <t>Hengeyokai, Fox</t>
  </si>
  <si>
    <t>Hengeyokai, Frog</t>
  </si>
  <si>
    <t>Hengeyokai, Hare</t>
  </si>
  <si>
    <t>Hengeyokai, Lizard</t>
  </si>
  <si>
    <t>Hengeyokai, Lynx</t>
  </si>
  <si>
    <t>Hengeyokai, Monkey</t>
  </si>
  <si>
    <t>Hengeyokai, Octopus</t>
  </si>
  <si>
    <t>Hengeyokai, Otter</t>
  </si>
  <si>
    <t>Hengeyokai, Owl</t>
  </si>
  <si>
    <t>Hengeyokai, Panda</t>
  </si>
  <si>
    <t>Hengeyokai, Racoon Dog</t>
  </si>
  <si>
    <t>Hengeyokai, Rat</t>
  </si>
  <si>
    <t>Hengeyokai, Sparrow</t>
  </si>
  <si>
    <t>Hengeyokai, Turtle</t>
  </si>
  <si>
    <t>Hengeyokai, Weasel</t>
  </si>
  <si>
    <t>Hobgoblin</t>
  </si>
  <si>
    <t>36</t>
  </si>
  <si>
    <t>Hobgoblin, Koalinth</t>
  </si>
  <si>
    <t>Human, Astromundi, Antilan</t>
  </si>
  <si>
    <t>Human, Astromundi, Calidian</t>
  </si>
  <si>
    <t>Human, Astromundi, Thoric</t>
  </si>
  <si>
    <t>Human, Astromundi, Varan</t>
  </si>
  <si>
    <t>Human, Athasian</t>
  </si>
  <si>
    <t>Human, Baklunish</t>
  </si>
  <si>
    <t>GH:Player's Guide to Greyhawk</t>
  </si>
  <si>
    <t>Human, Cerilian, Anuirean</t>
  </si>
  <si>
    <t>Human, Cerilian, Brecht</t>
  </si>
  <si>
    <t>Human, Cerilian, Khinasi</t>
  </si>
  <si>
    <t>Human, Cerilian, Rjurik</t>
  </si>
  <si>
    <t>Human, Cerilian, Vos</t>
  </si>
  <si>
    <t>Human, Dog People</t>
  </si>
  <si>
    <t>Human, Flannae</t>
  </si>
  <si>
    <t>Human, Green People</t>
  </si>
  <si>
    <t>Human, Maztican</t>
  </si>
  <si>
    <t>Human, Oeridian</t>
  </si>
  <si>
    <t>Human, Payit</t>
  </si>
  <si>
    <t>Human, Rhennee</t>
  </si>
  <si>
    <t>Human, Standard</t>
  </si>
  <si>
    <t>Human, Suel</t>
  </si>
  <si>
    <t>Human, Ulutiun</t>
  </si>
  <si>
    <t>FR14:Great Glacier</t>
  </si>
  <si>
    <t>Human, Vistani, Half-</t>
  </si>
  <si>
    <t>RL:Domains of Dread</t>
  </si>
  <si>
    <t>Hurwaet</t>
  </si>
  <si>
    <t>Kender</t>
  </si>
  <si>
    <t>Kender, Marak</t>
  </si>
  <si>
    <t>Kna</t>
  </si>
  <si>
    <t>Kobold</t>
  </si>
  <si>
    <t>38</t>
  </si>
  <si>
    <t>Kopru</t>
  </si>
  <si>
    <t>Laridian</t>
  </si>
  <si>
    <t>Lerara</t>
  </si>
  <si>
    <t>Liminal</t>
  </si>
  <si>
    <t>Lizard-kin, Cayma (Cayman)</t>
  </si>
  <si>
    <t>Lizard-kin, Gurrash (Gator-man)</t>
  </si>
  <si>
    <t>Lizard-kin, Shazak (Sis'thik)</t>
  </si>
  <si>
    <t>Lizard-kin, Wallara (Chameleonman)</t>
  </si>
  <si>
    <t>Lizardman</t>
  </si>
  <si>
    <t>40</t>
  </si>
  <si>
    <t>Lizardman, Agrutha</t>
  </si>
  <si>
    <t>Lizardman, Bakali</t>
  </si>
  <si>
    <t>Lizardman, Crocodilian, Brute</t>
  </si>
  <si>
    <t>Lizardman, Crocodilian, Master</t>
  </si>
  <si>
    <t>Lizardman, Geckonid</t>
  </si>
  <si>
    <t>Lizardman, Hurdu</t>
  </si>
  <si>
    <t>Lizardman, Iguanid</t>
  </si>
  <si>
    <t>Lizardman, Tokay</t>
  </si>
  <si>
    <t>Lizardman, Varanid</t>
  </si>
  <si>
    <t>Lizardman, Wildspace</t>
  </si>
  <si>
    <t>Locathah</t>
  </si>
  <si>
    <t>Locathah, Faerunian</t>
  </si>
  <si>
    <t>Lupin</t>
  </si>
  <si>
    <t>Malenti</t>
  </si>
  <si>
    <t>Malenti, Noble</t>
  </si>
  <si>
    <t>Manscorpion</t>
  </si>
  <si>
    <t>Masgai</t>
  </si>
  <si>
    <t>Merfolk</t>
  </si>
  <si>
    <t>Merfolk, Merrow (D&amp;D)</t>
  </si>
  <si>
    <t>Minotaur</t>
  </si>
  <si>
    <t>42</t>
  </si>
  <si>
    <t>Minotaur, Taladan</t>
  </si>
  <si>
    <t>Minotaur, Winged, Enduk</t>
  </si>
  <si>
    <t>Modron, Rogue</t>
  </si>
  <si>
    <t>Mold Man (Vegepygmy)</t>
  </si>
  <si>
    <t>Mongrelman</t>
  </si>
  <si>
    <t>43</t>
  </si>
  <si>
    <t>Mul</t>
  </si>
  <si>
    <t>Nixie (D&amp;D)</t>
  </si>
  <si>
    <t>Ogre</t>
  </si>
  <si>
    <t>46</t>
  </si>
  <si>
    <t>Ogre Mage</t>
  </si>
  <si>
    <t>47</t>
  </si>
  <si>
    <t>Ogre, Half-</t>
  </si>
  <si>
    <t>Ogre, Irda</t>
  </si>
  <si>
    <t>Ogre, Merrow</t>
  </si>
  <si>
    <t>Ogre, Mischta</t>
  </si>
  <si>
    <t>DLR1 Otherlands</t>
  </si>
  <si>
    <t>Ogre, Nzunta</t>
  </si>
  <si>
    <t>Ogre, Taladan</t>
  </si>
  <si>
    <t>Orc</t>
  </si>
  <si>
    <t>49</t>
  </si>
  <si>
    <t>Orc, Half-</t>
  </si>
  <si>
    <t>Pahari</t>
  </si>
  <si>
    <t>Phanaton</t>
  </si>
  <si>
    <t>Pixie</t>
  </si>
  <si>
    <t>51</t>
  </si>
  <si>
    <t>Pterran</t>
  </si>
  <si>
    <t>Quaggoth</t>
  </si>
  <si>
    <t>Rakasta</t>
  </si>
  <si>
    <t>Rastipede</t>
  </si>
  <si>
    <t>Ravenkin</t>
  </si>
  <si>
    <t>Sapromneme</t>
  </si>
  <si>
    <t>Satyr</t>
  </si>
  <si>
    <t>53</t>
  </si>
  <si>
    <t>Saurial, Bladeback</t>
  </si>
  <si>
    <t>55</t>
  </si>
  <si>
    <t>Saurial, Finhead</t>
  </si>
  <si>
    <t>Saurial, Flyer</t>
  </si>
  <si>
    <t>Saurial, Hornhead</t>
  </si>
  <si>
    <t>Scro</t>
  </si>
  <si>
    <t>Selkie</t>
  </si>
  <si>
    <t>Sesheyan</t>
  </si>
  <si>
    <t>Shalarin</t>
  </si>
  <si>
    <t>Shark-kin</t>
  </si>
  <si>
    <t>Skulk</t>
  </si>
  <si>
    <t>Su-Doppleganger</t>
  </si>
  <si>
    <t>Su-folk</t>
  </si>
  <si>
    <t>59</t>
  </si>
  <si>
    <t>Tasloi</t>
  </si>
  <si>
    <t>Telvar</t>
  </si>
  <si>
    <t>Thebestyn</t>
  </si>
  <si>
    <t>Thri-kreen</t>
  </si>
  <si>
    <t>Thri-kreen, Athasian</t>
  </si>
  <si>
    <t>Tiefling</t>
  </si>
  <si>
    <t>Tortle</t>
  </si>
  <si>
    <t>Triton</t>
  </si>
  <si>
    <t>Troglodyte</t>
  </si>
  <si>
    <t>Trow</t>
  </si>
  <si>
    <t>T'sa</t>
  </si>
  <si>
    <t>Vodyanoi</t>
  </si>
  <si>
    <t>Wemic</t>
  </si>
  <si>
    <t>60</t>
  </si>
  <si>
    <t>Xixchil</t>
  </si>
  <si>
    <t>Yeti</t>
  </si>
  <si>
    <t>Zygodacts</t>
  </si>
  <si>
    <t>Warriors of Heaven (1999)</t>
  </si>
  <si>
    <t>30</t>
  </si>
  <si>
    <t>64</t>
  </si>
  <si>
    <t>26</t>
  </si>
  <si>
    <t>41</t>
  </si>
  <si>
    <t>240</t>
  </si>
  <si>
    <t>45</t>
  </si>
  <si>
    <t>37</t>
  </si>
  <si>
    <t>54</t>
  </si>
  <si>
    <t>Inventaire:</t>
  </si>
  <si>
    <t>–1</t>
  </si>
  <si>
    <t>+1</t>
  </si>
  <si>
    <t>+2</t>
  </si>
  <si>
    <t>–2</t>
  </si>
  <si>
    <t>*</t>
  </si>
  <si>
    <t>+3</t>
  </si>
  <si>
    <t>+5</t>
  </si>
  <si>
    <t>–3</t>
  </si>
  <si>
    <t>–4</t>
  </si>
  <si>
    <t>+4</t>
  </si>
  <si>
    <t>+7</t>
  </si>
  <si>
    <t>+6</t>
  </si>
  <si>
    <t>4d4 + 2</t>
  </si>
  <si>
    <t>3d4</t>
  </si>
  <si>
    <t>2d4 + 1</t>
  </si>
  <si>
    <t>+1*</t>
  </si>
  <si>
    <t>*2d4</t>
  </si>
  <si>
    <t>*2d4+11</t>
  </si>
  <si>
    <t>2d4+6</t>
  </si>
  <si>
    <t>–1*</t>
  </si>
  <si>
    <t>–2*</t>
  </si>
  <si>
    <t>+1/+2*</t>
  </si>
  <si>
    <t>Immunité vs. sorts</t>
  </si>
  <si>
    <t>Charme</t>
  </si>
  <si>
    <t>18/90</t>
  </si>
  <si>
    <t>18/50</t>
  </si>
  <si>
    <t>18/75</t>
  </si>
  <si>
    <t>18/99</t>
  </si>
  <si>
    <t>18/00</t>
  </si>
  <si>
    <t>Force Bonus</t>
  </si>
  <si>
    <t>-1</t>
  </si>
  <si>
    <t>-2</t>
  </si>
  <si>
    <t>Sous attribut:</t>
  </si>
  <si>
    <t>Armes</t>
  </si>
  <si>
    <t>Vitesse</t>
  </si>
  <si>
    <t>Taille</t>
  </si>
  <si>
    <t>Type</t>
  </si>
  <si>
    <t>Munitions</t>
  </si>
  <si>
    <t>Type de Munitions</t>
  </si>
  <si>
    <t>Armes &amp; Armures</t>
  </si>
  <si>
    <t>PC:</t>
  </si>
  <si>
    <t>PE:</t>
  </si>
  <si>
    <t>PA:</t>
  </si>
  <si>
    <t>PP:</t>
  </si>
  <si>
    <t>PO:</t>
  </si>
  <si>
    <t>Faction</t>
  </si>
  <si>
    <t>Surnoms</t>
  </si>
  <si>
    <t>Factions ennemies</t>
  </si>
  <si>
    <t>Les Adorateurs de la Source</t>
  </si>
  <si>
    <t>Les Athars</t>
  </si>
  <si>
    <t>La Fraternité de l'Ordre</t>
  </si>
  <si>
    <t>La Garde Fatale</t>
  </si>
  <si>
    <t>L'Harmonium</t>
  </si>
  <si>
    <t>Les Hommes-Poussière</t>
  </si>
  <si>
    <t>La Libre Ligue</t>
  </si>
  <si>
    <t>La Ligue Révolutionnaire</t>
  </si>
  <si>
    <t>Les Marqués</t>
  </si>
  <si>
    <t>La Morne Cabale</t>
  </si>
  <si>
    <t>L'Ordre Transcendantal</t>
  </si>
  <si>
    <t>Les Rectifieurs</t>
  </si>
  <si>
    <t>Le Signe de l'Un</t>
  </si>
  <si>
    <t>La Société des Sensations</t>
  </si>
  <si>
    <t>Les Xaositectes</t>
  </si>
  <si>
    <t>Les Externes</t>
  </si>
  <si>
    <t>Les Primaires, les Béjaunes</t>
  </si>
  <si>
    <t>Les Chaoteux</t>
  </si>
  <si>
    <t>Les Sensats</t>
  </si>
  <si>
    <t>Les Signeurs</t>
  </si>
  <si>
    <t>La Mort Rouge</t>
  </si>
  <si>
    <t>Les Chiffronniers</t>
  </si>
  <si>
    <t>La Cabale, les Fous, les Mornés</t>
  </si>
  <si>
    <t>Les Preneurs, les Sans-Cœur</t>
  </si>
  <si>
    <t>Les Anarchistes</t>
  </si>
  <si>
    <t>Les Indés</t>
  </si>
  <si>
    <t>Les Morts</t>
  </si>
  <si>
    <t>Les Têtes-de-Bois</t>
  </si>
  <si>
    <t>Les Fatalistes</t>
  </si>
  <si>
    <t>Les Greffiers</t>
  </si>
  <si>
    <t>Les Défieurs, les Perdus</t>
  </si>
  <si>
    <t>Les Hommes-Dieux, les Dévots</t>
  </si>
  <si>
    <t>Factions alliés</t>
  </si>
  <si>
    <t>Les Athars, La Garde Fatale</t>
  </si>
  <si>
    <t>La Morne Cabale, Les Hommes-Poussière</t>
  </si>
  <si>
    <t>L'Harmonium, Les Rectifieurs</t>
  </si>
  <si>
    <t>Les Xaositectes, La Ligue Révolutionnaire</t>
  </si>
  <si>
    <t>Les Hommes-Poussière, La Morne Cabale</t>
  </si>
  <si>
    <t>La Fraternité de l'Ordre, Les Rectifieurs</t>
  </si>
  <si>
    <t>La Libre Ligue, La Ligue Révolutionnaire, Les Xaositectes</t>
  </si>
  <si>
    <t xml:space="preserve">La Garde Fatale, Les Marqués, La Morne Cabale </t>
  </si>
  <si>
    <t>La Société des Sensations, Les Externes</t>
  </si>
  <si>
    <t>La Fraternité de l'Ordre, L'Harmonium, La Libre Ligue</t>
  </si>
  <si>
    <t>La Garde Fatale, Les Xaositectes</t>
  </si>
  <si>
    <t>La Libre Ligue, Les Rectifieurs</t>
  </si>
  <si>
    <t>La Garde Fatale, Les Hommes-Poussière, La Ligue Révolutionnaire, Les Xaositectes</t>
  </si>
  <si>
    <t>La Fraternité de l'Ordre, L'Harmonium</t>
  </si>
  <si>
    <t>La Fraternité de l'Ordre, L'Harmonium, Les Rectifieurs</t>
  </si>
  <si>
    <t>La Fraternité de l'Ordre, L'Harmonium, La Garde Fatale</t>
  </si>
  <si>
    <t xml:space="preserve">La Ligue Révolutionnaire, Le Signe de l'Un, La Société des Sensations </t>
  </si>
  <si>
    <t>L'Harmonium, La Morne Cabale</t>
  </si>
  <si>
    <t>La Fraternité de l'Ordre, La Libre Ligue, Le Signe de l'Un</t>
  </si>
  <si>
    <t>La Garde Fatale, La Morne Cabale</t>
  </si>
  <si>
    <t>Feuille de Background</t>
  </si>
  <si>
    <t>Date de Naissance:</t>
  </si>
  <si>
    <t>Lieu de Naissance:</t>
  </si>
  <si>
    <t>Déité Publique:</t>
  </si>
  <si>
    <t>Déité Privé:</t>
  </si>
  <si>
    <t>Alignement apparent:</t>
  </si>
  <si>
    <t>Alignement Privé:</t>
  </si>
  <si>
    <t>Famille</t>
  </si>
  <si>
    <t>Père:</t>
  </si>
  <si>
    <t>Mère:</t>
  </si>
  <si>
    <t>Relation</t>
  </si>
  <si>
    <t>Nom</t>
  </si>
  <si>
    <t>Vivant</t>
  </si>
  <si>
    <t>Décédé</t>
  </si>
  <si>
    <t>Frères:</t>
  </si>
  <si>
    <t>Sœurs:</t>
  </si>
  <si>
    <t>Oncles:</t>
  </si>
  <si>
    <t>Tantes:</t>
  </si>
  <si>
    <t>Relations</t>
  </si>
  <si>
    <t>£</t>
  </si>
  <si>
    <t>Préférences</t>
  </si>
  <si>
    <t>Style de combat:</t>
  </si>
  <si>
    <t>Main directrice:</t>
  </si>
  <si>
    <t>Mentor:</t>
  </si>
  <si>
    <t>Magie(s):</t>
  </si>
  <si>
    <t>Arme(s):</t>
  </si>
  <si>
    <t>Armure(s):</t>
  </si>
  <si>
    <t>Activité(s):</t>
  </si>
  <si>
    <t>Créatures</t>
  </si>
  <si>
    <t>Rencontrée(s):</t>
  </si>
  <si>
    <t>Détestée(s):</t>
  </si>
  <si>
    <t>Amicale(s):</t>
  </si>
  <si>
    <t>Connue(s):</t>
  </si>
  <si>
    <t>Traits de Charactères</t>
  </si>
  <si>
    <t>Positifs</t>
  </si>
  <si>
    <t>Négatifs</t>
  </si>
  <si>
    <t>Goûts</t>
  </si>
  <si>
    <t>Aime</t>
  </si>
  <si>
    <t>N'aime pas</t>
  </si>
  <si>
    <t>Apparences:</t>
  </si>
  <si>
    <t>Apparences Générales:</t>
  </si>
  <si>
    <t>Style(s) Vestimentaire(s):</t>
  </si>
  <si>
    <t>Façon de Marcher:</t>
  </si>
  <si>
    <t>Façon de Parler:</t>
  </si>
  <si>
    <t>Renommée</t>
  </si>
  <si>
    <t>Région:</t>
  </si>
  <si>
    <t>Réputation:</t>
  </si>
  <si>
    <t>Conjoint(e):</t>
  </si>
  <si>
    <t>Rang:</t>
  </si>
  <si>
    <t>Aucunes</t>
  </si>
  <si>
    <t>Campagne:</t>
  </si>
  <si>
    <t>Rang de factions</t>
  </si>
  <si>
    <t>Militant</t>
  </si>
  <si>
    <t>Factorum</t>
  </si>
  <si>
    <t>Factor</t>
  </si>
  <si>
    <t>Factol</t>
  </si>
  <si>
    <t>Grey Hawk</t>
  </si>
  <si>
    <t>Al-Quadim</t>
  </si>
  <si>
    <t>Birthright</t>
  </si>
  <si>
    <t>Ravenloft</t>
  </si>
  <si>
    <t>Lankhmar</t>
  </si>
  <si>
    <t>Autre</t>
  </si>
  <si>
    <t>Vade Retro</t>
  </si>
  <si>
    <t>Mort-vivants</t>
  </si>
  <si>
    <t>Niveau du vade retro</t>
  </si>
  <si>
    <t>Council of Wyrm</t>
  </si>
  <si>
    <t>Historique (Viking)</t>
  </si>
  <si>
    <t>Historique (Celtique)</t>
  </si>
  <si>
    <t>Historique (Gloire de Rome)</t>
  </si>
  <si>
    <t>Historique (Paladins de Charlemagne)</t>
  </si>
  <si>
    <t>Historique (Les Crousades)</t>
  </si>
  <si>
    <t>Historique (Castle)</t>
  </si>
  <si>
    <t>Corruption</t>
  </si>
  <si>
    <t>Détection des illusions</t>
  </si>
  <si>
    <t>Détection de la magie</t>
  </si>
  <si>
    <t>Évasion</t>
  </si>
  <si>
    <t>Percement d'un tunnel</t>
  </si>
  <si>
    <t>Enfoncer</t>
  </si>
  <si>
    <t>Max. Sort/Niveau</t>
  </si>
  <si>
    <t>Échec sort</t>
  </si>
  <si>
    <t>Ajust. à la réaction</t>
  </si>
  <si>
    <t>Loyauté</t>
  </si>
  <si>
    <t>Compagnons</t>
  </si>
  <si>
    <t>Compétences Martiales:</t>
  </si>
  <si>
    <t>Cousin(es):</t>
  </si>
  <si>
    <t>Autre(s):</t>
  </si>
  <si>
    <t>Casus Belli (Goferfinker)</t>
  </si>
  <si>
    <t>Casus Belli (Laelith)</t>
  </si>
  <si>
    <t>Casus Belli (Jarendell)</t>
  </si>
  <si>
    <t>Casus Belli (Paorn)</t>
  </si>
  <si>
    <t>Forgotten Realms (Kara-tur)</t>
  </si>
  <si>
    <t>Mystara (Red Steel)</t>
  </si>
  <si>
    <t>Forgotten Realms (Faerûn)</t>
  </si>
  <si>
    <t>Forgotten Realms (Maztica)</t>
  </si>
  <si>
    <t>Forgotten Realms (Zakhara)</t>
  </si>
  <si>
    <t>18/25</t>
  </si>
  <si>
    <t>18/01</t>
  </si>
  <si>
    <t>18/02</t>
  </si>
  <si>
    <t>18/03</t>
  </si>
  <si>
    <t>18/04</t>
  </si>
  <si>
    <t>18/05</t>
  </si>
  <si>
    <t>18/06</t>
  </si>
  <si>
    <t>18/07</t>
  </si>
  <si>
    <t>18/08</t>
  </si>
  <si>
    <t>18/09</t>
  </si>
  <si>
    <t>18/10</t>
  </si>
  <si>
    <t>18/11</t>
  </si>
  <si>
    <t>18/12</t>
  </si>
  <si>
    <t>18/13</t>
  </si>
  <si>
    <t>18/14</t>
  </si>
  <si>
    <t>18/15</t>
  </si>
  <si>
    <t>18/16</t>
  </si>
  <si>
    <t>18/17</t>
  </si>
  <si>
    <t>18/18</t>
  </si>
  <si>
    <t>18/19</t>
  </si>
  <si>
    <t>18/20</t>
  </si>
  <si>
    <t>18/21</t>
  </si>
  <si>
    <t>18/22</t>
  </si>
  <si>
    <t>18/23</t>
  </si>
  <si>
    <t>18/24</t>
  </si>
  <si>
    <t>18/26</t>
  </si>
  <si>
    <t>18/27</t>
  </si>
  <si>
    <t>18/28</t>
  </si>
  <si>
    <t>18/29</t>
  </si>
  <si>
    <t>18/30</t>
  </si>
  <si>
    <t>18/31</t>
  </si>
  <si>
    <t>18/32</t>
  </si>
  <si>
    <t>18/33</t>
  </si>
  <si>
    <t>18/34</t>
  </si>
  <si>
    <t>18/35</t>
  </si>
  <si>
    <t>18/36</t>
  </si>
  <si>
    <t>18/37</t>
  </si>
  <si>
    <t>18/38</t>
  </si>
  <si>
    <t>18/39</t>
  </si>
  <si>
    <t>18/40</t>
  </si>
  <si>
    <t>18/41</t>
  </si>
  <si>
    <t>18/42</t>
  </si>
  <si>
    <t>18/43</t>
  </si>
  <si>
    <t>18/44</t>
  </si>
  <si>
    <t>18/45</t>
  </si>
  <si>
    <t>18/46</t>
  </si>
  <si>
    <t>18/47</t>
  </si>
  <si>
    <t>18/48</t>
  </si>
  <si>
    <t>18/49</t>
  </si>
  <si>
    <t>18/51</t>
  </si>
  <si>
    <t>18/52</t>
  </si>
  <si>
    <t>18/53</t>
  </si>
  <si>
    <t>18/54</t>
  </si>
  <si>
    <t>18/55</t>
  </si>
  <si>
    <t>18/56</t>
  </si>
  <si>
    <t>18/57</t>
  </si>
  <si>
    <t>18/58</t>
  </si>
  <si>
    <t>18/59</t>
  </si>
  <si>
    <t>18/60</t>
  </si>
  <si>
    <t>18/61</t>
  </si>
  <si>
    <t>18/62</t>
  </si>
  <si>
    <t>18/63</t>
  </si>
  <si>
    <t>18/64</t>
  </si>
  <si>
    <t>18/65</t>
  </si>
  <si>
    <t>18/66</t>
  </si>
  <si>
    <t>18/67</t>
  </si>
  <si>
    <t>18/68</t>
  </si>
  <si>
    <t>18/69</t>
  </si>
  <si>
    <t>18/70</t>
  </si>
  <si>
    <t>18/71</t>
  </si>
  <si>
    <t>18/72</t>
  </si>
  <si>
    <t>18/73</t>
  </si>
  <si>
    <t>18/74</t>
  </si>
  <si>
    <t>18/76</t>
  </si>
  <si>
    <t>18/77</t>
  </si>
  <si>
    <t>18/78</t>
  </si>
  <si>
    <t>18/79</t>
  </si>
  <si>
    <t>18/80</t>
  </si>
  <si>
    <t>18/81</t>
  </si>
  <si>
    <t>18/82</t>
  </si>
  <si>
    <t>18/83</t>
  </si>
  <si>
    <t>18/84</t>
  </si>
  <si>
    <t>18/85</t>
  </si>
  <si>
    <t>18/86</t>
  </si>
  <si>
    <t>18/87</t>
  </si>
  <si>
    <t>18/88</t>
  </si>
  <si>
    <t>18/89</t>
  </si>
  <si>
    <t>18/91</t>
  </si>
  <si>
    <t>18/92</t>
  </si>
  <si>
    <t>18/93</t>
  </si>
  <si>
    <t>18/94</t>
  </si>
  <si>
    <t>18/95</t>
  </si>
  <si>
    <t>18/96</t>
  </si>
  <si>
    <t>18/97</t>
  </si>
  <si>
    <t>18/98</t>
  </si>
  <si>
    <t>Disciplines</t>
  </si>
  <si>
    <t>Sciences</t>
  </si>
  <si>
    <t>Dévotions</t>
  </si>
  <si>
    <t>Modes de défense</t>
  </si>
  <si>
    <t>Progression des Pouvoirs Psioniques</t>
  </si>
  <si>
    <t>Progressions de sorts</t>
  </si>
  <si>
    <t>Temps</t>
  </si>
  <si>
    <t>résultat</t>
  </si>
  <si>
    <t>Sorts/Prières/Talents Psioniques</t>
  </si>
  <si>
    <t>Zone</t>
  </si>
  <si>
    <t>Talent Psioniques</t>
  </si>
  <si>
    <t>Connaissance de la direction</t>
  </si>
  <si>
    <t>Connaissance de la localisation</t>
  </si>
  <si>
    <t>Entendre la lumière</t>
  </si>
  <si>
    <t>Esprit Combattant</t>
  </si>
  <si>
    <t>Navigation Radiale</t>
  </si>
  <si>
    <t>Sens des Esprits</t>
  </si>
  <si>
    <t>Sens du Danger</t>
  </si>
  <si>
    <t>Sens du Poison</t>
  </si>
  <si>
    <t>Sentir la Lumière</t>
  </si>
  <si>
    <t>Sentir le Son</t>
  </si>
  <si>
    <t>Vision des Sons</t>
  </si>
  <si>
    <t>Vision Globale</t>
  </si>
  <si>
    <t>Animation d'Objet</t>
  </si>
  <si>
    <t>Animation des Ombres</t>
  </si>
  <si>
    <t>Attaque Balistique</t>
  </si>
  <si>
    <t>Contrôle d'un Corps</t>
  </si>
  <si>
    <t>Contrôle de la Lumière</t>
  </si>
  <si>
    <t>Contrôle des Flammes</t>
  </si>
  <si>
    <t>Contrôle des Sons</t>
  </si>
  <si>
    <t>Absorption des Maladies</t>
  </si>
  <si>
    <t>Ajustement Cellulaire</t>
  </si>
  <si>
    <t>Animation Suspendue</t>
  </si>
  <si>
    <t>Armement Corporel</t>
  </si>
  <si>
    <t>Armure Charnelle</t>
  </si>
  <si>
    <t>Biorétroaction</t>
  </si>
  <si>
    <t>Saut de Chat</t>
  </si>
  <si>
    <t>Contrôle Corporel</t>
  </si>
  <si>
    <t>Contrôle de l'adrénaline</t>
  </si>
  <si>
    <t>Contrôle Spirituel du Corps</t>
  </si>
  <si>
    <t>Délabrement</t>
  </si>
  <si>
    <t>Douleur Double</t>
  </si>
  <si>
    <t>Extension</t>
  </si>
  <si>
    <t>Force Augmentée</t>
  </si>
  <si>
    <t>Force Partagée</t>
  </si>
  <si>
    <t>Forme Ectoplasmique</t>
  </si>
  <si>
    <t>Greffe d'arme</t>
  </si>
  <si>
    <t>Inamovibilité</t>
  </si>
  <si>
    <t>Pouvoir Caméléon</t>
  </si>
  <si>
    <t>Prêt de Santé</t>
  </si>
  <si>
    <t>Réduction</t>
  </si>
  <si>
    <t>Sens Accrus</t>
  </si>
  <si>
    <t>Simulation Chimique</t>
  </si>
  <si>
    <t>Vieillisement</t>
  </si>
  <si>
    <t>Ancre Spatiotemporelle</t>
  </si>
  <si>
    <t>Déplacement Temporel</t>
  </si>
  <si>
    <t>Marche Dimensionnelle</t>
  </si>
  <si>
    <t>Projection Astrale</t>
  </si>
  <si>
    <t>Voyage Onirique</t>
  </si>
  <si>
    <t>Amplification de Phobie</t>
  </si>
  <si>
    <t>Attirance</t>
  </si>
  <si>
    <t>Aversion</t>
  </si>
  <si>
    <t>Conscience de L'Incarnation</t>
  </si>
  <si>
    <t>Crainte</t>
  </si>
  <si>
    <t>Détection de la Vie</t>
  </si>
  <si>
    <t>Empathie</t>
  </si>
  <si>
    <t>Ennemis Invincibles</t>
  </si>
  <si>
    <t>Fausses Impressions Sensorielles</t>
  </si>
  <si>
    <t>Infliger de la douleur</t>
  </si>
  <si>
    <t>Invisibilité</t>
  </si>
  <si>
    <t>Lien Gustatif</t>
  </si>
  <si>
    <t>Lien Sonore</t>
  </si>
  <si>
    <t>Lien Visuel</t>
  </si>
  <si>
    <t>Messager Psychique</t>
  </si>
  <si>
    <t>Obstacle Spirituel</t>
  </si>
  <si>
    <t>Ouïe Vraie</t>
  </si>
  <si>
    <t>Parasites Synaptiques</t>
  </si>
  <si>
    <t>Pénétration de l'Identité</t>
  </si>
  <si>
    <t>Pensées Dissimulées</t>
  </si>
  <si>
    <t>Personnification Psychique</t>
  </si>
  <si>
    <t>Projection Empathique à Distance</t>
  </si>
  <si>
    <t>Répugnance</t>
  </si>
  <si>
    <t>Rêve Éveillé</t>
  </si>
  <si>
    <t>Suggestion Post-Hypnotique</t>
  </si>
  <si>
    <t>Clairaudience</t>
  </si>
  <si>
    <t>Clairvoyance</t>
  </si>
  <si>
    <t>Lecture d'Objets</t>
  </si>
  <si>
    <t>Précognition</t>
  </si>
  <si>
    <t>Vision de l'Aura</t>
  </si>
  <si>
    <t>Désintégration</t>
  </si>
  <si>
    <t>Détonation</t>
  </si>
  <si>
    <t>Force Projetée</t>
  </si>
  <si>
    <t>Réarrangement Moléculaire</t>
  </si>
  <si>
    <t>Télékinésie</t>
  </si>
  <si>
    <t>Affinité Animale</t>
  </si>
  <si>
    <t>Assimilation d'Énergie</t>
  </si>
  <si>
    <t>Champ Mortel</t>
  </si>
  <si>
    <t>Drainage de Vie</t>
  </si>
  <si>
    <t>Forme d'Ombre</t>
  </si>
  <si>
    <t>Guérison Complète</t>
  </si>
  <si>
    <t>Métamorphisme</t>
  </si>
  <si>
    <t>Bannissement</t>
  </si>
  <si>
    <t>Conjuration d'une créature d'Outreplan</t>
  </si>
  <si>
    <t>Téléportation</t>
  </si>
  <si>
    <t>Téléportation d'Autrui</t>
  </si>
  <si>
    <t>Voyage Probable</t>
  </si>
  <si>
    <t>Domination</t>
  </si>
  <si>
    <t>Domination de Masse</t>
  </si>
  <si>
    <t>Échange de Personnalité</t>
  </si>
  <si>
    <t>Invisibilité Supérieure</t>
  </si>
  <si>
    <t>Lien du Destin</t>
  </si>
  <si>
    <t>Scellés Mentaux</t>
  </si>
  <si>
    <t>Sonde</t>
  </si>
  <si>
    <t>ESP (psionique)</t>
  </si>
  <si>
    <t>Illimitée</t>
  </si>
  <si>
    <t>spécial</t>
  </si>
  <si>
    <t>touché</t>
  </si>
  <si>
    <t>na</t>
  </si>
  <si>
    <t>rayon 20m</t>
  </si>
  <si>
    <t>50m</t>
  </si>
  <si>
    <t>personnel</t>
  </si>
  <si>
    <t>Sensibilité aux Impressions Psychiques</t>
  </si>
  <si>
    <t>rayon 15m</t>
  </si>
  <si>
    <t>10m</t>
  </si>
  <si>
    <t>rayon 1m</t>
  </si>
  <si>
    <t>Création d'un objet</t>
  </si>
  <si>
    <t>20m</t>
  </si>
  <si>
    <t>60m</t>
  </si>
  <si>
    <t>200m</t>
  </si>
  <si>
    <t>2m</t>
  </si>
  <si>
    <t>2h</t>
  </si>
  <si>
    <t>1 objet</t>
  </si>
  <si>
    <t>30m</t>
  </si>
  <si>
    <t>1 unique objet</t>
  </si>
  <si>
    <t>Agitation Moléculaire</t>
  </si>
  <si>
    <t>40m</t>
  </si>
  <si>
    <t>1 obj, 10kg</t>
  </si>
  <si>
    <t>Portée</t>
  </si>
  <si>
    <t>Durée</t>
  </si>
  <si>
    <t>Reversible?</t>
  </si>
  <si>
    <t>Jet de Sauv.</t>
  </si>
  <si>
    <t># Mémorisé</t>
  </si>
  <si>
    <t>École/Sphère/Discipline</t>
  </si>
  <si>
    <t>JS</t>
  </si>
  <si>
    <t>Score+Coût</t>
  </si>
  <si>
    <t>Page de Référence</t>
  </si>
  <si>
    <t>Page Réf.</t>
  </si>
  <si>
    <t>Cuirasse</t>
  </si>
  <si>
    <t>Brigand ou Feuilletée</t>
  </si>
  <si>
    <t>Écailles ou à bandes</t>
  </si>
  <si>
    <t>Armure de Plates</t>
  </si>
  <si>
    <t>Armure de Plate Intégrale</t>
  </si>
  <si>
    <t>Annellée ou Cotte de Mailles Non-Elfique</t>
  </si>
  <si>
    <t>12</t>
  </si>
  <si>
    <t>Archon</t>
  </si>
  <si>
    <t>Dragon</t>
  </si>
  <si>
    <t>Eladrin</t>
  </si>
  <si>
    <t>Grommam</t>
  </si>
  <si>
    <t>Guardinal</t>
  </si>
  <si>
    <t>Hengeyokai</t>
  </si>
  <si>
    <t>Lizard-kin</t>
  </si>
  <si>
    <t>Red Falcon</t>
  </si>
  <si>
    <t>Saurial</t>
  </si>
  <si>
    <t>Swanmay</t>
  </si>
  <si>
    <t>Petite-Gens</t>
  </si>
  <si>
    <t>Gobelours</t>
  </si>
  <si>
    <t>Athasien</t>
  </si>
  <si>
    <t>Gobelin</t>
  </si>
  <si>
    <t>Hobgobelin</t>
  </si>
  <si>
    <t>De Sigil</t>
  </si>
  <si>
    <t>Hound</t>
  </si>
  <si>
    <t>Lantern</t>
  </si>
  <si>
    <t>Sword</t>
  </si>
  <si>
    <t>Trumpet</t>
  </si>
  <si>
    <t>Warden</t>
  </si>
  <si>
    <t>Mâle</t>
  </si>
  <si>
    <t>Femelle</t>
  </si>
  <si>
    <t>Amethyst</t>
  </si>
  <si>
    <t>Black</t>
  </si>
  <si>
    <t>Blue</t>
  </si>
  <si>
    <t>Bronze</t>
  </si>
  <si>
    <t>Brass</t>
  </si>
  <si>
    <t>Cloud</t>
  </si>
  <si>
    <t>Copper</t>
  </si>
  <si>
    <t>Crystal</t>
  </si>
  <si>
    <t>Deep</t>
  </si>
  <si>
    <t>Emerald</t>
  </si>
  <si>
    <t>Gold</t>
  </si>
  <si>
    <t>Green</t>
  </si>
  <si>
    <t>Mercury</t>
  </si>
  <si>
    <t>Mist</t>
  </si>
  <si>
    <t>Red</t>
  </si>
  <si>
    <t>Sapphire</t>
  </si>
  <si>
    <t>Shadow</t>
  </si>
  <si>
    <t>Silver</t>
  </si>
  <si>
    <t>Steel</t>
  </si>
  <si>
    <t>Topaz</t>
  </si>
  <si>
    <t>Yellow</t>
  </si>
  <si>
    <t>White</t>
  </si>
  <si>
    <t>Aghar (Gully)</t>
  </si>
  <si>
    <t>Arctic (Innugaakalikuritt)</t>
  </si>
  <si>
    <t>Athasian</t>
  </si>
  <si>
    <t>Cerilian</t>
  </si>
  <si>
    <t>Daergar (Mountain)</t>
  </si>
  <si>
    <t>Daewar (Mountain)</t>
  </si>
  <si>
    <t>Derro</t>
  </si>
  <si>
    <t xml:space="preserve">Duergar (Gray) (Faerunian) </t>
  </si>
  <si>
    <t>Finawar</t>
  </si>
  <si>
    <t>Gold (Hill)</t>
  </si>
  <si>
    <t>Gully</t>
  </si>
  <si>
    <t>Hill</t>
  </si>
  <si>
    <t>Hylar (Mountain)</t>
  </si>
  <si>
    <t>Korobokuru</t>
  </si>
  <si>
    <t>Mountain</t>
  </si>
  <si>
    <t>Neidar (Hill)</t>
  </si>
  <si>
    <t>Scorned</t>
  </si>
  <si>
    <t>Shield (Mountain)</t>
  </si>
  <si>
    <t>Shield, Desert (Maztican)</t>
  </si>
  <si>
    <t>Sundered</t>
  </si>
  <si>
    <t>Theiwar (Mountain)</t>
  </si>
  <si>
    <t>Wild (Jungle, Chultan)</t>
  </si>
  <si>
    <t>Zakhar (Mountain)</t>
  </si>
  <si>
    <t>Bralani</t>
  </si>
  <si>
    <t>Coure</t>
  </si>
  <si>
    <t>Firre</t>
  </si>
  <si>
    <t>Ghaele</t>
  </si>
  <si>
    <t>Noviere</t>
  </si>
  <si>
    <t>Shiere</t>
  </si>
  <si>
    <t>Tulani</t>
  </si>
  <si>
    <t>Alfar</t>
  </si>
  <si>
    <t>Astromundi</t>
  </si>
  <si>
    <t>Avariel</t>
  </si>
  <si>
    <t>Cha'asii</t>
  </si>
  <si>
    <t>Clan</t>
  </si>
  <si>
    <t>Dargonesti</t>
  </si>
  <si>
    <t>Dimernesti</t>
  </si>
  <si>
    <t>Dockalfar</t>
  </si>
  <si>
    <t>Fey</t>
  </si>
  <si>
    <t>Hulderfolk</t>
  </si>
  <si>
    <t>Kagonesti</t>
  </si>
  <si>
    <t>Lythari (Lycanthrope Elf)</t>
  </si>
  <si>
    <t>Qualinesti</t>
  </si>
  <si>
    <t>Rockseer</t>
  </si>
  <si>
    <t>Silvanesti</t>
  </si>
  <si>
    <t>Winged, Ee'aar</t>
  </si>
  <si>
    <t>Faerunian</t>
  </si>
  <si>
    <t>Krynn</t>
  </si>
  <si>
    <t>Planar</t>
  </si>
  <si>
    <t>Firbolg</t>
  </si>
  <si>
    <t>Verbeeg</t>
  </si>
  <si>
    <t>Voadkyn</t>
  </si>
  <si>
    <t>Voadkyn (Faerunian)</t>
  </si>
  <si>
    <t>Flind</t>
  </si>
  <si>
    <t>Erlking</t>
  </si>
  <si>
    <t>Taladan</t>
  </si>
  <si>
    <t>Fremlin</t>
  </si>
  <si>
    <t>Jermlaine</t>
  </si>
  <si>
    <t>Avoral</t>
  </si>
  <si>
    <t>Cervidal</t>
  </si>
  <si>
    <t>Equinal</t>
  </si>
  <si>
    <t>Leonal</t>
  </si>
  <si>
    <t>Lupinal</t>
  </si>
  <si>
    <t>Ursinal</t>
  </si>
  <si>
    <t>Chiang Lung</t>
  </si>
  <si>
    <t>Deep (Drow Dragon)</t>
  </si>
  <si>
    <t>Iron</t>
  </si>
  <si>
    <t>Shen Lung</t>
  </si>
  <si>
    <t>Badger</t>
  </si>
  <si>
    <t>Carp</t>
  </si>
  <si>
    <t>Cat</t>
  </si>
  <si>
    <t>Crab</t>
  </si>
  <si>
    <t>Crane</t>
  </si>
  <si>
    <t>Dog</t>
  </si>
  <si>
    <t>Dolphin</t>
  </si>
  <si>
    <t>Drake</t>
  </si>
  <si>
    <t>Falcon</t>
  </si>
  <si>
    <t>Fox</t>
  </si>
  <si>
    <t>Frog</t>
  </si>
  <si>
    <t>Hare</t>
  </si>
  <si>
    <t>Lizard</t>
  </si>
  <si>
    <t>Lynx</t>
  </si>
  <si>
    <t>Monkey</t>
  </si>
  <si>
    <t>Octopus</t>
  </si>
  <si>
    <t>Otter</t>
  </si>
  <si>
    <t>Owl</t>
  </si>
  <si>
    <t>Panda</t>
  </si>
  <si>
    <t>Racoon Dog</t>
  </si>
  <si>
    <t>Rat</t>
  </si>
  <si>
    <t>Sparrow</t>
  </si>
  <si>
    <t>Turtle</t>
  </si>
  <si>
    <t>Weasel</t>
  </si>
  <si>
    <t>Koalinth (Aquatique)</t>
  </si>
  <si>
    <t>Astromundi, Antilan</t>
  </si>
  <si>
    <t>Astromundi, Calidian</t>
  </si>
  <si>
    <t>Astromundi, Thoric</t>
  </si>
  <si>
    <t>Astromundi, Varan</t>
  </si>
  <si>
    <t>Baklunish</t>
  </si>
  <si>
    <t>Cerilian, Anuirean</t>
  </si>
  <si>
    <t>Cerilian, Brecht</t>
  </si>
  <si>
    <t>Cerilian, Khinasi</t>
  </si>
  <si>
    <t>Cerilian, Rjurik</t>
  </si>
  <si>
    <t>Cerilian, Vos</t>
  </si>
  <si>
    <t>Dog People</t>
  </si>
  <si>
    <t>Flannae</t>
  </si>
  <si>
    <t>Green People</t>
  </si>
  <si>
    <t>Maztican</t>
  </si>
  <si>
    <t>Oeridian</t>
  </si>
  <si>
    <t>Payit</t>
  </si>
  <si>
    <t>Rhennee</t>
  </si>
  <si>
    <t>Standard</t>
  </si>
  <si>
    <t>Suel</t>
  </si>
  <si>
    <t>Ulutiun</t>
  </si>
  <si>
    <t>Half-Human, Vistani</t>
  </si>
  <si>
    <t>Marak</t>
  </si>
  <si>
    <t>Cayma (Cayman)</t>
  </si>
  <si>
    <t>Gurrash (Gator-man)</t>
  </si>
  <si>
    <t>Shazak (Sis'thik)</t>
  </si>
  <si>
    <t>Wallara (Chameleonman)</t>
  </si>
  <si>
    <t>Agrutha</t>
  </si>
  <si>
    <t>Bakali</t>
  </si>
  <si>
    <t>Crocodilian, Brute</t>
  </si>
  <si>
    <t>Crocodilian, Master</t>
  </si>
  <si>
    <t>Geckonid</t>
  </si>
  <si>
    <t>Hurdu</t>
  </si>
  <si>
    <t>Iguanid</t>
  </si>
  <si>
    <t>Tokay</t>
  </si>
  <si>
    <t>Varanid</t>
  </si>
  <si>
    <t>Wildspace</t>
  </si>
  <si>
    <t>Noble</t>
  </si>
  <si>
    <t>Merrow (D&amp;D)</t>
  </si>
  <si>
    <t>Merfolk, Faerunian</t>
  </si>
  <si>
    <t>Sea of Fallen Stars</t>
  </si>
  <si>
    <t>Winged, Enduk</t>
  </si>
  <si>
    <t>Irda</t>
  </si>
  <si>
    <t>Merrow</t>
  </si>
  <si>
    <t>Mischta</t>
  </si>
  <si>
    <t>Nzunta</t>
  </si>
  <si>
    <t>Batrasog Avancé</t>
  </si>
  <si>
    <t>Centaure</t>
  </si>
  <si>
    <t>Semi-Géant</t>
  </si>
  <si>
    <t>Demi-Dragon</t>
  </si>
  <si>
    <t>Demi-Orque</t>
  </si>
  <si>
    <t>Homme Hybride</t>
  </si>
  <si>
    <t>Homme-Bête</t>
  </si>
  <si>
    <t>Alaghe</t>
  </si>
  <si>
    <t>Dame des cygnes</t>
  </si>
  <si>
    <t>Homme-Lézard</t>
  </si>
  <si>
    <t>Minotaure</t>
  </si>
  <si>
    <t>Orque</t>
  </si>
  <si>
    <t>Satyre</t>
  </si>
  <si>
    <t>Cornu</t>
  </si>
  <si>
    <t>Voltigeur</t>
  </si>
  <si>
    <t>Aileronné</t>
  </si>
  <si>
    <t>Piquedos</t>
  </si>
  <si>
    <t>Dark Sun Campaign Setting</t>
  </si>
  <si>
    <t>Spelljammer spacefarer's handbook</t>
  </si>
  <si>
    <t>Swanmay, Black</t>
  </si>
  <si>
    <t>Demi-elfes</t>
  </si>
  <si>
    <t>Gnolls</t>
  </si>
  <si>
    <t>Dark Sun Campaign Setting (revised)</t>
  </si>
  <si>
    <t>The Complete Book of Gnomes &amp; Halflings, p.73,Dark Sun Campaign Setting (revised) p.9</t>
  </si>
  <si>
    <t>Dark Sun Campaign Setting (revised) p.9</t>
  </si>
  <si>
    <t>Lutin, Buckawn</t>
  </si>
  <si>
    <t>Draconian, Sesk</t>
  </si>
  <si>
    <t>Rastipède</t>
  </si>
  <si>
    <t>DragonLance: Times of Dragon</t>
  </si>
  <si>
    <t>6</t>
  </si>
  <si>
    <t>79</t>
  </si>
  <si>
    <t>80</t>
  </si>
  <si>
    <t>Birthright Campaign Setting</t>
  </si>
  <si>
    <t>13</t>
  </si>
  <si>
    <t>14</t>
  </si>
  <si>
    <t>Spelljammer astromundi cluster</t>
  </si>
  <si>
    <t>Elf, Wildspace</t>
  </si>
  <si>
    <t>Cadres de Campagne:</t>
  </si>
  <si>
    <t>+10%</t>
  </si>
  <si>
    <t>+5%</t>
  </si>
  <si>
    <t>VT</t>
  </si>
  <si>
    <t>CS</t>
  </si>
  <si>
    <t>T/DP</t>
  </si>
  <si>
    <t>MS</t>
  </si>
  <si>
    <t>CdO</t>
  </si>
  <si>
    <t>DB</t>
  </si>
  <si>
    <t>Gr</t>
  </si>
  <si>
    <t>DM</t>
  </si>
  <si>
    <t>DI</t>
  </si>
  <si>
    <t>C</t>
  </si>
  <si>
    <t>PT</t>
  </si>
  <si>
    <t>E</t>
  </si>
  <si>
    <t>LLI</t>
  </si>
  <si>
    <t>1 obj, 5kg</t>
  </si>
  <si>
    <t>Psychokinésie</t>
  </si>
  <si>
    <t>Clairsentience</t>
  </si>
  <si>
    <t>1 obj, 50kg</t>
  </si>
  <si>
    <t>1 obj, 0,50kg</t>
  </si>
  <si>
    <t>Barrière Inertielle</t>
  </si>
  <si>
    <t>diamètre de 3m</t>
  </si>
  <si>
    <t>80m</t>
  </si>
  <si>
    <t>un individu</t>
  </si>
  <si>
    <t>25m</t>
  </si>
  <si>
    <t>100m</t>
  </si>
  <si>
    <t>Contrôle du Vent</t>
  </si>
  <si>
    <t>500m</t>
  </si>
  <si>
    <t>1000m</t>
  </si>
  <si>
    <t>Création sonore</t>
  </si>
  <si>
    <t>Lévitation</t>
  </si>
  <si>
    <t>Manipulation Moléculaire</t>
  </si>
  <si>
    <t>15m</t>
  </si>
  <si>
    <t>Psychométabolisme</t>
  </si>
  <si>
    <t>Touché</t>
  </si>
  <si>
    <t>24h</t>
  </si>
  <si>
    <t>0/Touché</t>
  </si>
  <si>
    <r>
      <rPr>
        <sz val="11"/>
        <color theme="1"/>
        <rFont val="Calibri"/>
        <family val="2"/>
      </rPr>
      <t xml:space="preserve">≥ </t>
    </r>
    <r>
      <rPr>
        <sz val="11"/>
        <color theme="1"/>
        <rFont val="Calibri"/>
        <family val="2"/>
        <scheme val="minor"/>
      </rPr>
      <t>un individu</t>
    </r>
  </si>
  <si>
    <t>30kg</t>
  </si>
  <si>
    <t>variable</t>
  </si>
  <si>
    <t>Psychotranslation</t>
  </si>
  <si>
    <t>5m</t>
  </si>
  <si>
    <t>une créature</t>
  </si>
  <si>
    <t>infini</t>
  </si>
  <si>
    <t>≥ un individu</t>
  </si>
  <si>
    <t>3m</t>
  </si>
  <si>
    <t>50m+</t>
  </si>
  <si>
    <t>Téléportation Programmée</t>
  </si>
  <si>
    <t>800km</t>
  </si>
  <si>
    <t>Télépathie</t>
  </si>
  <si>
    <t>≤ 5 créatures</t>
  </si>
  <si>
    <t>Progression des Prières (bonus de sagesse)</t>
  </si>
  <si>
    <t>Progression des Prières (Niveau) (prêtre)</t>
  </si>
  <si>
    <t>Progression des Sort (Mage)</t>
  </si>
  <si>
    <t>Progression des Sort (Barde)</t>
  </si>
  <si>
    <t>Nom d'usage:</t>
  </si>
  <si>
    <t>Nom réel:</t>
  </si>
  <si>
    <t>Factions Infomation</t>
  </si>
  <si>
    <t>Tableau des factions selon le cadre de campagne:</t>
  </si>
  <si>
    <t>L'Alliance des Seigneurs</t>
  </si>
  <si>
    <t>Le Culte du Dragon</t>
  </si>
  <si>
    <t>Les Hérauts</t>
  </si>
  <si>
    <t>Les Magiciens d'Halruaa</t>
  </si>
  <si>
    <t>Les Ménestrels</t>
  </si>
  <si>
    <t>Les Sept Sœurs</t>
  </si>
  <si>
    <t>Les Sorciers Rouges</t>
  </si>
  <si>
    <t>Le Trône de Fer</t>
  </si>
  <si>
    <t>Les Voleurs de l'Ombre</t>
  </si>
  <si>
    <t>Le Zhentarim</t>
  </si>
  <si>
    <t>Factions actuels</t>
  </si>
  <si>
    <t>Ajustement à la classe</t>
  </si>
  <si>
    <t>Progression des Prières (Niveau) (Paladin)</t>
  </si>
  <si>
    <t>Progression des Prières (Niveau) (Rôdeur)</t>
  </si>
  <si>
    <t>Type de SR</t>
  </si>
  <si>
    <t>Expulsion</t>
  </si>
  <si>
    <t>Temple de l'Oiseau de Feu</t>
  </si>
  <si>
    <t>Temple du Nuage</t>
  </si>
  <si>
    <t>Temple du Crâne</t>
  </si>
  <si>
    <t>Temple du Poisson d'Argent</t>
  </si>
  <si>
    <t>La juridiction (tribunaux, prison...)</t>
  </si>
  <si>
    <t>Les postes de garde</t>
  </si>
  <si>
    <t>Les fouineurs</t>
  </si>
  <si>
    <t>Les gardes percepteurs</t>
  </si>
  <si>
    <t>L'armée</t>
  </si>
  <si>
    <t>La Guilde des Courtisanes (Académie Royale du Bel Art)</t>
  </si>
  <si>
    <t>Les Pics des Mages</t>
  </si>
  <si>
    <t>La Haute Guilde</t>
  </si>
  <si>
    <t>Les Ambassades des six Provinces</t>
  </si>
  <si>
    <t>La Fraction Armée Insurrectionnelle (FAÏ)</t>
  </si>
  <si>
    <t>La Langue Coupée</t>
  </si>
  <si>
    <t>Le Poignard Sanglant</t>
  </si>
  <si>
    <t>La Strang</t>
  </si>
  <si>
    <t>La Confrérie des Marchands mécontents</t>
  </si>
  <si>
    <t>Le Clan Brizure</t>
  </si>
  <si>
    <t>Le Lazaret</t>
  </si>
  <si>
    <t>La Piste Dorée</t>
  </si>
  <si>
    <t>Le Théâtre</t>
  </si>
  <si>
    <t>Les nobles citadins</t>
  </si>
  <si>
    <t>les clercs courtisans</t>
  </si>
  <si>
    <t>Les Passeurs de mort</t>
  </si>
  <si>
    <t>Trevelian Corporation</t>
  </si>
  <si>
    <t>La Guilde des Anarch</t>
  </si>
  <si>
    <t>Les Dépossédés</t>
  </si>
  <si>
    <t>Les Illuminés</t>
  </si>
  <si>
    <t>Les Donneurs-d'Anneau</t>
  </si>
  <si>
    <t>Les Convertis</t>
  </si>
  <si>
    <t>Les Gardiens</t>
  </si>
  <si>
    <t>L’Opposition</t>
  </si>
  <si>
    <t>L'Ordre des Militants Planaires</t>
  </si>
  <si>
    <t>Les Mathématiciens</t>
  </si>
  <si>
    <t>Les Marchands</t>
  </si>
  <si>
    <t>La Guilde Verdoyante</t>
  </si>
  <si>
    <t>Les Ragers</t>
  </si>
  <si>
    <t>Mind's Eye</t>
  </si>
  <si>
    <t>Les Sombres Huit</t>
  </si>
  <si>
    <t>Les Seigneurs des Neufs</t>
  </si>
  <si>
    <t>Les Seigneurs Dorés</t>
  </si>
  <si>
    <t>Les Tueurs de Dieux</t>
  </si>
  <si>
    <t>Les Récupérateurs</t>
  </si>
  <si>
    <t>Le réseau d'espionnage de Shemeshka</t>
  </si>
  <si>
    <t>L'organisation de Zadara</t>
  </si>
  <si>
    <t>Le Consortium du Commerce Planaire</t>
  </si>
  <si>
    <t>les Invisibles (the Unseen)</t>
  </si>
  <si>
    <t>les Tel'Teukiira</t>
  </si>
  <si>
    <t>les Masques de la nuit (Night Masks)</t>
  </si>
  <si>
    <t>les Eldreth Veluuthra</t>
  </si>
  <si>
    <t>les Couteaux enflammés (Fire Knives)</t>
  </si>
  <si>
    <t>la Société du Kraken</t>
  </si>
  <si>
    <t>la Parade nocturne</t>
  </si>
  <si>
    <t>les Maîtres de l'ombre de Telflamm</t>
  </si>
  <si>
    <t>la Guilde des voleurs du Xanathar</t>
  </si>
  <si>
    <t>Les Mamelouks</t>
  </si>
  <si>
    <t>Les "Holy Slayers"</t>
  </si>
  <si>
    <t>les Nains dansants</t>
  </si>
  <si>
    <t>les Danseurs du Dôme</t>
  </si>
  <si>
    <t>les Lecteurs</t>
  </si>
  <si>
    <t>les Maîtres du chant</t>
  </si>
  <si>
    <t>la Cour du rythme</t>
  </si>
  <si>
    <t>la Sereine multitude</t>
  </si>
  <si>
    <t>L'alliance Voilée</t>
  </si>
  <si>
    <t>Serviteur des Rois-Sorciers</t>
  </si>
  <si>
    <t>La Maison M'ke</t>
  </si>
  <si>
    <t>La Maison Shom</t>
  </si>
  <si>
    <t>La Maison Stel</t>
  </si>
  <si>
    <t>La Maison Tsalaxa</t>
  </si>
  <si>
    <t>La Maison Vordon</t>
  </si>
  <si>
    <t>La Maison Wavir</t>
  </si>
  <si>
    <t>La Maison Ardian</t>
  </si>
  <si>
    <t>Le Consortium Dedys</t>
  </si>
  <si>
    <t>La Maison Freya</t>
  </si>
  <si>
    <t>La Maison Ianto</t>
  </si>
  <si>
    <t>La Maison Klethira</t>
  </si>
  <si>
    <t>La Maison Lamnos</t>
  </si>
  <si>
    <t>La Ligue Renythi</t>
  </si>
  <si>
    <t>La Maison Systra</t>
  </si>
  <si>
    <t>La tribu Eauclaire</t>
  </si>
  <si>
    <t>La tribu Rapidaile</t>
  </si>
  <si>
    <t>Les Ombres</t>
  </si>
  <si>
    <t>Ordre sénatorial</t>
  </si>
  <si>
    <t>Ordre équestre</t>
  </si>
  <si>
    <t>Les Plébéiens</t>
  </si>
  <si>
    <t>Barbare (Non-Romain)</t>
  </si>
  <si>
    <t>Homme-Libre</t>
  </si>
  <si>
    <t>Esclave</t>
  </si>
  <si>
    <t>Gladiateur</t>
  </si>
  <si>
    <t>Odyssey (Jakandor)</t>
  </si>
  <si>
    <t>Mystara</t>
  </si>
  <si>
    <t>Karlykn, Bondi (Propriétaire Terrien)</t>
  </si>
  <si>
    <t>Karlykn, Húskarl  (l'homme de maison)</t>
  </si>
  <si>
    <t>Hersar (chef tribal)</t>
  </si>
  <si>
    <t>Jarl</t>
  </si>
  <si>
    <t>Godi (ordre clérical)</t>
  </si>
  <si>
    <t>Roi</t>
  </si>
  <si>
    <t>Thrall (esclaves)</t>
  </si>
  <si>
    <t>Platform of Wyrms</t>
  </si>
  <si>
    <t>Platform of Dominates</t>
  </si>
  <si>
    <t>Not on the coucil</t>
  </si>
  <si>
    <t>Metallique, Or, Clan Baraster</t>
  </si>
  <si>
    <t>Metallique, Or, Clan Exaurdon</t>
  </si>
  <si>
    <t>Metallique, Or, Clan Justice</t>
  </si>
  <si>
    <t>Metallique, Or, Clan Resplendence</t>
  </si>
  <si>
    <t>Metallique, Or, Clan Sunblaze</t>
  </si>
  <si>
    <t>Metallique, Or, Clan Triumph</t>
  </si>
  <si>
    <t>Metallique, Argent, Clan Brightscale</t>
  </si>
  <si>
    <t>Metallique, Argent, Clan Cloudwalker</t>
  </si>
  <si>
    <t>Metallique, Argent, Clan Coldwing</t>
  </si>
  <si>
    <t>Metallique, Argent, Clan Fog</t>
  </si>
  <si>
    <t>Metallique, Argent, Clan Pinnacle</t>
  </si>
  <si>
    <t>Metallique, Argent, Clan Summit</t>
  </si>
  <si>
    <t>Metallique, Bronze, Clan Battlewing</t>
  </si>
  <si>
    <t>Metallique, Bronze, Clan Cliffwalker</t>
  </si>
  <si>
    <t>Metallique, Bronze, Clan Seaview</t>
  </si>
  <si>
    <t>Metallique, Bronze, Clan Tempest</t>
  </si>
  <si>
    <t>Metallique, Bronze, Clan Waveflier</t>
  </si>
  <si>
    <t>Metallique, Cuivre, Clan Becubard</t>
  </si>
  <si>
    <t>Metallique, Cuivre, Clan Clawstrike</t>
  </si>
  <si>
    <t>Metallique, Cuivre, Clan Cutharn</t>
  </si>
  <si>
    <t>Metallique, Cuivre, Clan Fastwing</t>
  </si>
  <si>
    <t>Metallique, Cuivre, Clan Highjump</t>
  </si>
  <si>
    <t>Metallique, Cuivre, Clan Rockclaw</t>
  </si>
  <si>
    <t>Metallique, Cuivre, Clan Stoneproud</t>
  </si>
  <si>
    <t>Metallique, Cuivre, Clan Sunleap</t>
  </si>
  <si>
    <t>Metallique, Airain, Clan Blisterclaw</t>
  </si>
  <si>
    <t>Metallique, Airain, Clan Dewfeast</t>
  </si>
  <si>
    <t>Metallique, Airain, Clan Drywing</t>
  </si>
  <si>
    <t>Metallique, Airain, Clan Dustspinner</t>
  </si>
  <si>
    <t>Metallique, Airain, Clan Hotwing</t>
  </si>
  <si>
    <t>Metallique, Airain, Clan Sandtail</t>
  </si>
  <si>
    <t>Metallique, Airain, Clan Sungazer</t>
  </si>
  <si>
    <t>Crystallin, Améthyste, Clan Corum</t>
  </si>
  <si>
    <t>Crystallin, Améthyste, Clan Malyst</t>
  </si>
  <si>
    <t>Crystallin, Améthyste, Clan Regalen</t>
  </si>
  <si>
    <t>Crystallin, Améthyste, Clan Starratiel</t>
  </si>
  <si>
    <t>Crystallin, Saphir, Clan Battlecry</t>
  </si>
  <si>
    <t>Crystallin, Saphir, Clan Boldtail</t>
  </si>
  <si>
    <t>Crystallin, Saphir, Clan Glitterwing</t>
  </si>
  <si>
    <t>Crystallin, Saphir, Clan Phlare</t>
  </si>
  <si>
    <t>Crystallin, Saphir, Clan Warclaw</t>
  </si>
  <si>
    <t>Crystallin, Émeraude, Clan Firelake</t>
  </si>
  <si>
    <t>Crystallin, Émeraude, Clan Flamestrider</t>
  </si>
  <si>
    <t>Crystallin, Émeraude, Clan Maragus</t>
  </si>
  <si>
    <t>Crystallin, Émeraude, Clan Sharpwail</t>
  </si>
  <si>
    <t>Crystallin, Émeraude, Clan Sonis</t>
  </si>
  <si>
    <t>Crystallin, Topaze, Clan Deepwater</t>
  </si>
  <si>
    <t>Crystallin, Topaze, Clan Dryair</t>
  </si>
  <si>
    <t>Crystallin, Topaze, Clan Pazus</t>
  </si>
  <si>
    <t>Crystallin, Topaze, Clan Seaspray</t>
  </si>
  <si>
    <t>Crystallin, Cristal, Clan Coldshard</t>
  </si>
  <si>
    <t>Crystallin, Cristal, Clan Luckwing</t>
  </si>
  <si>
    <t>Crystallin, Cristal, Clan Moonlight</t>
  </si>
  <si>
    <t>Crystallin, Cristal, Clan Sparkle</t>
  </si>
  <si>
    <t>Crystallin, Cristal, Clan Starlight</t>
  </si>
  <si>
    <t>Crystallin, Cristal, Clan Sunlight</t>
  </si>
  <si>
    <t>Chromatique, Rouge, Clan Bloodtide</t>
  </si>
  <si>
    <t>Chromatique, Rouge, Clan Firetongue</t>
  </si>
  <si>
    <t>Chromatique, Rouge, Clan Magma</t>
  </si>
  <si>
    <t>Chromatique, Rouge, Clan Scortch</t>
  </si>
  <si>
    <t>Chromatique, Rouge, Clan Vermilion</t>
  </si>
  <si>
    <t>Chromatique, Blue, Clan Clearsky</t>
  </si>
  <si>
    <t>Chromatique, Blue, Clan Jagtail</t>
  </si>
  <si>
    <t>Chromatique, Blue, Clan Lightningwing</t>
  </si>
  <si>
    <t>Chromatique, Blue, Clan Sandshaper</t>
  </si>
  <si>
    <t>Chromatique, Blue, Clan Sharpbolt</t>
  </si>
  <si>
    <t>Chromatique, Blue, Clan Swiftclaw</t>
  </si>
  <si>
    <t>Chromatique, Vert, Clan Darkcloud</t>
  </si>
  <si>
    <t>Chromatique, Vert, Clan Evilwood</t>
  </si>
  <si>
    <t>Chromatique, Vert, Clan Foulgrove</t>
  </si>
  <si>
    <t>Chromatique, Vert, Clan Treesplitter</t>
  </si>
  <si>
    <t>Chromatique, Vert, Clan Jadress</t>
  </si>
  <si>
    <t>Chromatique, Vert, Clan Veriste</t>
  </si>
  <si>
    <t>Chromatique, Noir, Clan Blackmoon</t>
  </si>
  <si>
    <t>Chromatique, Noir, Clan Boghold</t>
  </si>
  <si>
    <t>Chromatique, Noir, Clan Blackwater</t>
  </si>
  <si>
    <t>Chromatique, Noir, Clan Lurker</t>
  </si>
  <si>
    <t>Chromatique, Noir, Clan Mire</t>
  </si>
  <si>
    <t>Chromatique, Noir, Clan Nighthunt</t>
  </si>
  <si>
    <t>Chromatique, Noir, Clan Nightshriek</t>
  </si>
  <si>
    <t>Chromatique, Blanc, Clan Chillblood</t>
  </si>
  <si>
    <t>Chromatique, Blanc, Clan Coldfire</t>
  </si>
  <si>
    <t>Chromatique, Blanc, Clan Desolate</t>
  </si>
  <si>
    <t>Chromatique, Blanc, Clan Everwinter</t>
  </si>
  <si>
    <t>Chromatique, Blanc, Clan Frostwind</t>
  </si>
  <si>
    <t>Chromatique, Blanc, Clan Glare</t>
  </si>
  <si>
    <t>Chromatique, Blanc, Clan Iceteeth</t>
  </si>
  <si>
    <t>Chromatique, Blanc, Clan Illsnow</t>
  </si>
  <si>
    <t>3,2km</t>
  </si>
  <si>
    <t>Souffle Psionique</t>
  </si>
  <si>
    <t>20/40/60m</t>
  </si>
  <si>
    <t>Tour de la volonté de fer</t>
  </si>
  <si>
    <t>1m</t>
  </si>
  <si>
    <t>Ordre de Saint-Jean (Les Hospitaliers)</t>
  </si>
  <si>
    <t>Ordre du Temple (Les Templiers)</t>
  </si>
  <si>
    <t>Empire byzantin (les Byzantins)</t>
  </si>
  <si>
    <t>Seldjoukides</t>
  </si>
  <si>
    <t>Ayyoubides</t>
  </si>
  <si>
    <t>Mamelouks</t>
  </si>
  <si>
    <t>Ismaéliens</t>
  </si>
  <si>
    <t>Chiites</t>
  </si>
  <si>
    <t>Ordre Teutonique(Chevaliers Teutoniques)</t>
  </si>
  <si>
    <t>Légionaire</t>
  </si>
  <si>
    <t>Les Sarrazins</t>
  </si>
  <si>
    <t>Armés Chrétiennes</t>
  </si>
  <si>
    <t>Les Paladins de Charlemagne</t>
  </si>
  <si>
    <t>Les Francs</t>
  </si>
  <si>
    <t>L'église Catholique Romaine</t>
  </si>
  <si>
    <t>Les Saxons</t>
  </si>
  <si>
    <t>Les Bretons</t>
  </si>
  <si>
    <t>Les Normands</t>
  </si>
  <si>
    <t>Citoyens Carolingiens</t>
  </si>
  <si>
    <t>Les Autres (non-vikings)</t>
  </si>
  <si>
    <t>Citoyens Non-Carolingiens</t>
  </si>
  <si>
    <t>L'assemblée des comtes</t>
  </si>
  <si>
    <t>Les Écossais</t>
  </si>
  <si>
    <t>Les Angles</t>
  </si>
  <si>
    <t>Les Gallois</t>
  </si>
  <si>
    <t>Les Gaulois</t>
  </si>
  <si>
    <t>Les Irlandais</t>
  </si>
  <si>
    <t>Les Vandals</t>
  </si>
  <si>
    <t>Historique (Les Croisades)</t>
  </si>
  <si>
    <t>Les Villageois</t>
  </si>
  <si>
    <t>les Serfs</t>
  </si>
  <si>
    <t>Les Membres de Guildes</t>
  </si>
  <si>
    <t>Les Chevaliers</t>
  </si>
  <si>
    <t>La Noblesse</t>
  </si>
  <si>
    <t>La Famille Royale</t>
  </si>
  <si>
    <t>La Famille Impériale</t>
  </si>
  <si>
    <t>Le Grand Seigneur Chambellan</t>
  </si>
  <si>
    <t>Le Grand Seigneur Chancelier</t>
  </si>
  <si>
    <t>Le Seigneur Juge en chef de la Cour</t>
  </si>
  <si>
    <t>Le Grand Comte Maréchal</t>
  </si>
  <si>
    <t>Le Grand Seigneur Inquisiteur</t>
  </si>
  <si>
    <t>Le Grand Seigneur Enchanteur</t>
  </si>
  <si>
    <t>Le Grand Seigneur Chapelain (aumônier)</t>
  </si>
  <si>
    <t>Ordre Religieux, Acolytes</t>
  </si>
  <si>
    <t>Ordre Religieux, Frères</t>
  </si>
  <si>
    <t>Ordre Religieux, Prêtres</t>
  </si>
  <si>
    <t>Ordre Religieux, Postulants</t>
  </si>
  <si>
    <t>Ordre Religieux, Curés</t>
  </si>
  <si>
    <t>Ordre Religieux, Doyens</t>
  </si>
  <si>
    <t>Ordre Religieux, La primatie</t>
  </si>
  <si>
    <t>Ordre Religieux, Haut Prêtre</t>
  </si>
  <si>
    <t>Ordre Religieux, Patriaches</t>
  </si>
  <si>
    <t>Les Vistani</t>
  </si>
  <si>
    <t>La Kargat</t>
  </si>
  <si>
    <t>Gothic Earth</t>
  </si>
  <si>
    <t>Maison Crownguard</t>
  </si>
  <si>
    <t>Maison Igorov</t>
  </si>
  <si>
    <t>Maison Linden</t>
  </si>
  <si>
    <t>Maison Ritterburg</t>
  </si>
  <si>
    <t>Maison Silverston</t>
  </si>
  <si>
    <t>Maison Singhabad</t>
  </si>
  <si>
    <t>Maison Sirecchia</t>
  </si>
  <si>
    <t>Maison de Sylaire</t>
  </si>
  <si>
    <t>Clan Alhambra</t>
  </si>
  <si>
    <t>Clan Ellerovyn</t>
  </si>
  <si>
    <t>Guilde des alchimistes</t>
  </si>
  <si>
    <t>Caisse de solidarité pour les ministres et les ambassadeurs</t>
  </si>
  <si>
    <t>Guilde des architectes</t>
  </si>
  <si>
    <t>Cour des miracles</t>
  </si>
  <si>
    <t>Organisation de libération de la Boldavie</t>
  </si>
  <si>
    <t>Société de protection canine</t>
  </si>
  <si>
    <t>Servants de la claymore</t>
  </si>
  <si>
    <t>Égalité, Liberté, Fraternité Elfique</t>
  </si>
  <si>
    <t>Fiers Fermiers Fondamentalistes</t>
  </si>
  <si>
    <t>Adeptes du feu</t>
  </si>
  <si>
    <t>Libre société anachronique aalbanaise</t>
  </si>
  <si>
    <t>Front d’Émancipation Elfique</t>
  </si>
  <si>
    <t>Club des parlementaires</t>
  </si>
  <si>
    <t>Consortium des marchands</t>
  </si>
  <si>
    <t>Guilde des dresseurs de monstres</t>
  </si>
  <si>
    <t>Union des chasseurs de monstres</t>
  </si>
  <si>
    <t>Guilde des déménageurs</t>
  </si>
  <si>
    <t>Hospice des guérisseurs mystiques</t>
  </si>
  <si>
    <t>Compagnie populaire des lanceurs de sorts</t>
  </si>
  <si>
    <t>Gang des détrousseurs</t>
  </si>
  <si>
    <t>Sororité des volets clos</t>
  </si>
  <si>
    <t>Confrérie de la Radiance</t>
  </si>
  <si>
    <t>Guilde des sages</t>
  </si>
  <si>
    <t>Fraternité des érudits</t>
  </si>
  <si>
    <t>Guilde des scribes</t>
  </si>
  <si>
    <t>Guilde des porte-parole</t>
  </si>
  <si>
    <t>Temples de Rad</t>
  </si>
  <si>
    <t>Les dix mille poings du Khan</t>
  </si>
  <si>
    <t>Guilde des assassins</t>
  </si>
  <si>
    <t>Guilde des bateleurs</t>
  </si>
  <si>
    <t>Barrière Mentale</t>
  </si>
  <si>
    <t>Bouclier de la Pensée</t>
  </si>
  <si>
    <t>Cinglement de l'Ego</t>
  </si>
  <si>
    <t>40/80/120</t>
  </si>
  <si>
    <t>Contact</t>
  </si>
  <si>
    <t>Écrasement Psychique</t>
  </si>
  <si>
    <t>6 x 6 m</t>
  </si>
  <si>
    <t>Excitation du Ça</t>
  </si>
  <si>
    <t>60/120/180</t>
  </si>
  <si>
    <t>Reversible</t>
  </si>
  <si>
    <t>Forteresse Intellectuelle</t>
  </si>
  <si>
    <t>rayon 3m</t>
  </si>
  <si>
    <t>320km</t>
  </si>
  <si>
    <t>Néant Spirituel</t>
  </si>
  <si>
    <t>1 tour</t>
  </si>
  <si>
    <t>l'ouïe</t>
  </si>
  <si>
    <t>20/50/90m</t>
  </si>
  <si>
    <t>Pression Mentale</t>
  </si>
  <si>
    <t>30/60/90m</t>
  </si>
  <si>
    <t>10m de diam.</t>
  </si>
  <si>
    <t>Altération de l'Aura</t>
  </si>
  <si>
    <t>Appréciation</t>
  </si>
  <si>
    <t>Chirurgie Psychique</t>
  </si>
  <si>
    <t>Clone Psychique</t>
  </si>
  <si>
    <t>Division de la Personnalité</t>
  </si>
  <si>
    <t>Octroi de Pouvoir</t>
  </si>
  <si>
    <t>Ultrasouffle</t>
  </si>
  <si>
    <t>Amplification</t>
  </si>
  <si>
    <t>Arrachement</t>
  </si>
  <si>
    <t>Augmentation</t>
  </si>
  <si>
    <t>Auto-Restauration</t>
  </si>
  <si>
    <t>Champ de Stase</t>
  </si>
  <si>
    <t>Convergence</t>
  </si>
  <si>
    <t>Détection de Psionique</t>
  </si>
  <si>
    <t>Drainage Psychique</t>
  </si>
  <si>
    <t>Inflation Psionique</t>
  </si>
  <si>
    <t>Intensification</t>
  </si>
  <si>
    <t>Jonction</t>
  </si>
  <si>
    <t>Prolongation</t>
  </si>
  <si>
    <t>Réceptacle</t>
  </si>
  <si>
    <t>Rétrospection</t>
  </si>
  <si>
    <t>Sangle</t>
  </si>
  <si>
    <t>Transe Martiale</t>
  </si>
  <si>
    <t>18m</t>
  </si>
  <si>
    <t>10/rounds</t>
  </si>
  <si>
    <t>Nb. Joint</t>
  </si>
  <si>
    <t>1rnd/point</t>
  </si>
  <si>
    <t>rayon 30m</t>
  </si>
  <si>
    <t>jsq. 6 esprits</t>
  </si>
  <si>
    <t>rayon 200m</t>
  </si>
  <si>
    <t>max. 1 par niveau</t>
  </si>
  <si>
    <t>1 mort-vivant</t>
  </si>
  <si>
    <t>Les Enfants d'Adam</t>
  </si>
  <si>
    <t>Sort de Magiciens</t>
  </si>
  <si>
    <t>Agrandissement</t>
  </si>
  <si>
    <t>Composante</t>
  </si>
  <si>
    <t>Composantes</t>
  </si>
  <si>
    <t>Alarme</t>
  </si>
  <si>
    <t>Altération des Feux Naturels</t>
  </si>
  <si>
    <t>Amitié</t>
  </si>
  <si>
    <t>Aura Magique de Nystul</t>
  </si>
  <si>
    <t>Bouclier</t>
  </si>
  <si>
    <t>Changement d'Apparence</t>
  </si>
  <si>
    <t>Charme-Personnes</t>
  </si>
  <si>
    <t>Compréhension des Langues</t>
  </si>
  <si>
    <t>Détection de la Magie</t>
  </si>
  <si>
    <t>Détection des Morts-Vivants</t>
  </si>
  <si>
    <t>Disque Flottant de Tenser</t>
  </si>
  <si>
    <t>Effacement</t>
  </si>
  <si>
    <t>Familier</t>
  </si>
  <si>
    <t>Fermeture</t>
  </si>
  <si>
    <t>Feuille Morte</t>
  </si>
  <si>
    <t>Force Fantasmatique</t>
  </si>
  <si>
    <t>Glisse</t>
  </si>
  <si>
    <t>Hantise</t>
  </si>
  <si>
    <t>Hypnotisme</t>
  </si>
  <si>
    <t>Identification</t>
  </si>
  <si>
    <t>Lecture de la Magie</t>
  </si>
  <si>
    <t>Lumière</t>
  </si>
  <si>
    <t>Lumières Dansantes</t>
  </si>
  <si>
    <t>Mains Brûlantes</t>
  </si>
  <si>
    <t>Message</t>
  </si>
  <si>
    <t>Monture</t>
  </si>
  <si>
    <t>Moquerie</t>
  </si>
  <si>
    <t>Mur de Brouillard</t>
  </si>
  <si>
    <t>Patte d'Araignée</t>
  </si>
  <si>
    <t>Poigne Électrique</t>
  </si>
  <si>
    <t>Projectile Magique</t>
  </si>
  <si>
    <t>Protection Contre le Mal</t>
  </si>
  <si>
    <t>Réparation</t>
  </si>
  <si>
    <t>Réflexion du Regard</t>
  </si>
  <si>
    <t>Rumeur Illusoire</t>
  </si>
  <si>
    <t>Serviteur Invisible</t>
  </si>
  <si>
    <t>Signature Magique</t>
  </si>
  <si>
    <t>Sommeil</t>
  </si>
  <si>
    <t>Toucher Glacial</t>
  </si>
  <si>
    <t>Tour Mineur</t>
  </si>
  <si>
    <t>Vapeur Colorée</t>
  </si>
  <si>
    <t>Apparence Altérée</t>
  </si>
  <si>
    <t>Bouche Magique</t>
  </si>
  <si>
    <t>Cécité</t>
  </si>
  <si>
    <t>Conjuration d'un Essaim</t>
  </si>
  <si>
    <t>Connaissance des Alignements</t>
  </si>
  <si>
    <t>Corde Enchantée</t>
  </si>
  <si>
    <t>Déblocage</t>
  </si>
  <si>
    <t>Détection Faussée</t>
  </si>
  <si>
    <t>Détection de L'Invisibilité</t>
  </si>
  <si>
    <t>Détection de Mal</t>
  </si>
  <si>
    <t>Oui</t>
  </si>
  <si>
    <t>Non</t>
  </si>
  <si>
    <t>Les Gardiens de la Plume Noire</t>
  </si>
  <si>
    <t>The Green Hand</t>
  </si>
  <si>
    <t>The Circle</t>
  </si>
  <si>
    <t>The Church of Ezra</t>
  </si>
  <si>
    <t>Carnival</t>
  </si>
  <si>
    <t>The Fraternity of Shadows</t>
  </si>
  <si>
    <t>The Unholy Order of the Grave</t>
  </si>
  <si>
    <t>Les Dark Delvers</t>
  </si>
  <si>
    <t>Ildi'Thaan</t>
  </si>
  <si>
    <t>Ata-Bestaal</t>
  </si>
  <si>
    <t>l'Ordre Eternel</t>
  </si>
  <si>
    <t>l'Eglise de Zakatha</t>
  </si>
  <si>
    <t>l'Inquisition de Tepest</t>
  </si>
  <si>
    <t>Les "Sisters of Hala"</t>
  </si>
  <si>
    <t>Les Libres</t>
  </si>
  <si>
    <t>La Bande de Tenpug</t>
  </si>
  <si>
    <t>Résident de Point-Salé</t>
  </si>
  <si>
    <t>La Harde de Krikik</t>
  </si>
  <si>
    <t>Les Razzieurs des Sables Noirs</t>
  </si>
  <si>
    <t>Les Traqueurs de Werrik</t>
  </si>
  <si>
    <t>L'Armée de Sortar</t>
  </si>
  <si>
    <t>ESP</t>
  </si>
  <si>
    <t>Flèche Acide de Melf</t>
  </si>
  <si>
    <t>Flou</t>
  </si>
  <si>
    <t>Force Fantasmatique Majeur</t>
  </si>
  <si>
    <t>Fracassement</t>
  </si>
  <si>
    <t>Image Mirroir</t>
  </si>
  <si>
    <t>L'irrésistible Rire de Tasha</t>
  </si>
  <si>
    <t>Irritation</t>
  </si>
  <si>
    <t>Lien</t>
  </si>
  <si>
    <t>Localisation d'un Objet</t>
  </si>
  <si>
    <t>Lumière Continuelle</t>
  </si>
  <si>
    <t>Main Spectrale</t>
  </si>
  <si>
    <t>Motif Hypnotique</t>
  </si>
  <si>
    <t>Nuage de Brouillard</t>
  </si>
  <si>
    <t>Nuage Puant</t>
  </si>
  <si>
    <t>Or des Fous</t>
  </si>
  <si>
    <t>Oubli</t>
  </si>
  <si>
    <t>Peur</t>
  </si>
  <si>
    <t>Piège de Léomund</t>
  </si>
  <si>
    <t>Poches Profondes</t>
  </si>
  <si>
    <t>Poussière Scintillante</t>
  </si>
  <si>
    <t>Protection contre les Tours Mineurs</t>
  </si>
  <si>
    <t>Pyrotechnie</t>
  </si>
  <si>
    <t>Rayon Débilitant</t>
  </si>
  <si>
    <t>Sphère Enflammée</t>
  </si>
  <si>
    <t>Surdité</t>
  </si>
  <si>
    <t>Ténèbres, Rayon de 5 mètres</t>
  </si>
  <si>
    <t>Toile d'Araignée</t>
  </si>
  <si>
    <t>Vent de Murmures</t>
  </si>
  <si>
    <t>Verrou du Magicien</t>
  </si>
  <si>
    <t>Boule de Feu</t>
  </si>
  <si>
    <t>Cabane de Léomund</t>
  </si>
  <si>
    <t>Calligraphie Illusoire</t>
  </si>
  <si>
    <t>Clairaudience (Psionique)</t>
  </si>
  <si>
    <t>Clairvoyance (Psionique)</t>
  </si>
  <si>
    <t>Clignotement</t>
  </si>
  <si>
    <t>Conjuration de Monstres I</t>
  </si>
  <si>
    <t>Dissipation de la Magie</t>
  </si>
  <si>
    <t>Eclair</t>
  </si>
  <si>
    <t>Flèche Enflammée</t>
  </si>
  <si>
    <t>Force Spectrale</t>
  </si>
  <si>
    <t>Hâte</t>
  </si>
  <si>
    <t>Immobilisation des Personnes</t>
  </si>
  <si>
    <t>Infravision</t>
  </si>
  <si>
    <t>Invisibilité, Rayon de 3 mètres</t>
  </si>
  <si>
    <t>Langues</t>
  </si>
  <si>
    <t>Lenteur</t>
  </si>
  <si>
    <t>Minuscules Météores de Melf</t>
  </si>
  <si>
    <t>Monture Fantôme</t>
  </si>
  <si>
    <t>Mort Simulée</t>
  </si>
  <si>
    <t>Mur de Vent</t>
  </si>
  <si>
    <t>Non-Détection</t>
  </si>
  <si>
    <t>Objet</t>
  </si>
  <si>
    <t>Page Secrète</t>
  </si>
  <si>
    <t>Protection Contre le Mal, rayon 3 mètres</t>
  </si>
  <si>
    <t>Protection vs Projectiles Non-Magiques</t>
  </si>
  <si>
    <t>Rafale</t>
  </si>
  <si>
    <t>Respiration Aquatique</t>
  </si>
  <si>
    <t>Runes Explosives</t>
  </si>
  <si>
    <t>Sceau de Serpent Sépia</t>
  </si>
  <si>
    <t>Suggestion</t>
  </si>
  <si>
    <t>Toucher Vampirique</t>
  </si>
  <si>
    <t>Tromperie</t>
  </si>
  <si>
    <t>Vol</t>
  </si>
  <si>
    <t>Abri Sûr de Léomund</t>
  </si>
  <si>
    <t>Affaiblissement</t>
  </si>
  <si>
    <t>Arme Enchantée</t>
  </si>
  <si>
    <t>Assasin Fantasmatique</t>
  </si>
  <si>
    <t>Bouclier de Feu</t>
  </si>
  <si>
    <t>Brouillard Dense</t>
  </si>
  <si>
    <t>Charme-Monstre</t>
  </si>
  <si>
    <t>Charme de Feu</t>
  </si>
  <si>
    <t>Confusion</t>
  </si>
  <si>
    <t>Conjuration de Monstres II</t>
  </si>
  <si>
    <t>Contagion</t>
  </si>
  <si>
    <t>Création Mineure</t>
  </si>
  <si>
    <t>Cri</t>
  </si>
  <si>
    <t>Croissance Végétale</t>
  </si>
  <si>
    <t>Délivrance de la Malédiction</t>
  </si>
  <si>
    <t>Détection de la Scrutation</t>
  </si>
  <si>
    <t>Emotion</t>
  </si>
  <si>
    <t>Excavation</t>
  </si>
  <si>
    <t>Globe Mineur d'Invulnérabilité</t>
  </si>
  <si>
    <t>Invisibilité Majeure</t>
  </si>
  <si>
    <t>Maladresse</t>
  </si>
  <si>
    <t>Mémorisation de Rary</t>
  </si>
  <si>
    <t>Métamorphose</t>
  </si>
  <si>
    <t>Métamorphose d'Autrui</t>
  </si>
  <si>
    <t>Mirroir Magique</t>
  </si>
  <si>
    <t>Monstres d'Ombre</t>
  </si>
  <si>
    <t>Motif Arc-en-Ciel</t>
  </si>
  <si>
    <t>Mur de Feu</t>
  </si>
  <si>
    <t>Mur de Glace</t>
  </si>
  <si>
    <t>Mur Illusoire</t>
  </si>
  <si>
    <t>Œil de Magicien</t>
  </si>
  <si>
    <t>Peau de Pierre</t>
  </si>
  <si>
    <t>Piège de Feu</t>
  </si>
  <si>
    <t>Porte Dimmensionnelle</t>
  </si>
  <si>
    <t>Sphère d'Otiluke</t>
  </si>
  <si>
    <t>Tempête Glaciale</t>
  </si>
  <si>
    <t>Tentacules Noires D'Evard</t>
  </si>
  <si>
    <t>Terrain Hallucinatoire</t>
  </si>
  <si>
    <t>Terreur</t>
  </si>
  <si>
    <t>Transformation de Masse</t>
  </si>
  <si>
    <t>Vacuité</t>
  </si>
  <si>
    <t>Animation des Morts</t>
  </si>
  <si>
    <t>Bulle d'Air</t>
  </si>
  <si>
    <t>Chaos</t>
  </si>
  <si>
    <t>Coffre Secret de Léomund</t>
  </si>
  <si>
    <t>Cône de Froid</t>
  </si>
  <si>
    <t>Conjuration d'Elémental</t>
  </si>
  <si>
    <t>Conjuration de Monstres III</t>
  </si>
  <si>
    <t>Conjuration d'Ombres</t>
  </si>
  <si>
    <t>Contact avec un Autre Plan</t>
  </si>
  <si>
    <t>Création Majeure</t>
  </si>
  <si>
    <t>Croissance Animale</t>
  </si>
  <si>
    <t>Débilité Mentale</t>
  </si>
  <si>
    <t>Discussion Oiseuse de Léomund</t>
  </si>
  <si>
    <t>Distortion des Distances</t>
  </si>
  <si>
    <t>Envoi</t>
  </si>
  <si>
    <t>Evitement</t>
  </si>
  <si>
    <t>Extension I</t>
  </si>
  <si>
    <t>Fabrication</t>
  </si>
  <si>
    <t>Façonnage de la Pierre</t>
  </si>
  <si>
    <t>Faux-Semblant</t>
  </si>
  <si>
    <t>Illusion Majeure</t>
  </si>
  <si>
    <t>Immobilisation de Monstres</t>
  </si>
  <si>
    <t>Magie d'Ombre</t>
  </si>
  <si>
    <t>Main d'Interposition de Bigby</t>
  </si>
  <si>
    <t>Molosse Fidèle de Mordenkainen</t>
  </si>
  <si>
    <t>Monstres Mi-Ombre</t>
  </si>
  <si>
    <t>Mur de Fer</t>
  </si>
  <si>
    <t>Mur de Force</t>
  </si>
  <si>
    <t>Mur de Pierre</t>
  </si>
  <si>
    <t>Nuage Mortel</t>
  </si>
  <si>
    <t>Passe-Murailles</t>
  </si>
  <si>
    <t>Porte d'Ombres</t>
  </si>
  <si>
    <t>Réceptacle Magique</t>
  </si>
  <si>
    <t>Renvoi</t>
  </si>
  <si>
    <t>Rêve</t>
  </si>
  <si>
    <t>Transmutation de la Pierre en Boue</t>
  </si>
  <si>
    <t>Vision Fausse</t>
  </si>
  <si>
    <t>Abaissement des Eaux</t>
  </si>
  <si>
    <t>Asservissement</t>
  </si>
  <si>
    <t>Brume Mortelle</t>
  </si>
  <si>
    <t>Chaîne d'Eclairs</t>
  </si>
  <si>
    <t>Conjuration</t>
  </si>
  <si>
    <t>Conjuration d'Animaux</t>
  </si>
  <si>
    <t>Conjuration de Monstres IV</t>
  </si>
  <si>
    <t>Connaissance des Légendes</t>
  </si>
  <si>
    <t>Contingence</t>
  </si>
  <si>
    <t>Contrôle du Climat</t>
  </si>
  <si>
    <t>Coquille Anti-Magie</t>
  </si>
  <si>
    <t>Double Illusoire</t>
  </si>
  <si>
    <t>Elucubration de Mordenkainen</t>
  </si>
  <si>
    <t>Enchantement d'un Objet</t>
  </si>
  <si>
    <t>Extension III</t>
  </si>
  <si>
    <t>Extension II</t>
  </si>
  <si>
    <t>Garde et Défense</t>
  </si>
  <si>
    <t>Glissement de Terrain</t>
  </si>
  <si>
    <t>Globe d'Invulnérabilité</t>
  </si>
  <si>
    <t>Illusion Permanente</t>
  </si>
  <si>
    <t>Illusion Programmée</t>
  </si>
  <si>
    <t>Magie de la Demi-Ombre</t>
  </si>
  <si>
    <t>Magie des Mirages</t>
  </si>
  <si>
    <t>Mains Impérieuse de Bigby</t>
  </si>
  <si>
    <t>Mauvais Œil</t>
  </si>
  <si>
    <t>Projection de l'Image</t>
  </si>
  <si>
    <t>Quête</t>
  </si>
  <si>
    <t>Reflets</t>
  </si>
  <si>
    <t>Réincarnation</t>
  </si>
  <si>
    <t>Répulsion</t>
  </si>
  <si>
    <t>Rôdeur Invisible</t>
  </si>
  <si>
    <t>Séparation des Eaux</t>
  </si>
  <si>
    <t>Sort de Mort</t>
  </si>
  <si>
    <t>Sphère Glaciale d'Otiluke</t>
  </si>
  <si>
    <t>Suggestion de Masse</t>
  </si>
  <si>
    <t>Transformation de la Pierre en Chair</t>
  </si>
  <si>
    <t>Transformation de Tenser</t>
  </si>
  <si>
    <t>Transmutation de la l'Eau en Poussière</t>
  </si>
  <si>
    <t>Transparence</t>
  </si>
  <si>
    <t>Vision Véritable</t>
  </si>
  <si>
    <t>Voile</t>
  </si>
  <si>
    <t>Boule de Feu à Retardement</t>
  </si>
  <si>
    <t>Cage de Force</t>
  </si>
  <si>
    <t>Charme-Plantes</t>
  </si>
  <si>
    <t>Conjuration Instantanée de Drawmij</t>
  </si>
  <si>
    <t>Conjuration de Monstres V</t>
  </si>
  <si>
    <t>Contrôle des Morts-Vivants</t>
  </si>
  <si>
    <t>Dissimulation</t>
  </si>
  <si>
    <t>Doigt de Mort</t>
  </si>
  <si>
    <t>Duo-Dimension</t>
  </si>
  <si>
    <t>Épée de Mordenkainen</t>
  </si>
  <si>
    <t>Evanouissement</t>
  </si>
  <si>
    <t>Gravité Inversée</t>
  </si>
  <si>
    <t>Invisibilité de Masse</t>
  </si>
  <si>
    <t>Manoir Sompteux de Mordenkainen</t>
  </si>
  <si>
    <t>Mot de Pouvoir, Etourdissement</t>
  </si>
  <si>
    <t>Parcours de l'Ombre</t>
  </si>
  <si>
    <t>Poigne de Fer de Bigby</t>
  </si>
  <si>
    <t>Porte de Phase</t>
  </si>
  <si>
    <t>Renvoi des Sorts</t>
  </si>
  <si>
    <t>Simulacre</t>
  </si>
  <si>
    <t>Souhait Mineur</t>
  </si>
  <si>
    <t>Statue</t>
  </si>
  <si>
    <t>Téléportation Sans Erreur</t>
  </si>
  <si>
    <t>Vaporisation Prismatique</t>
  </si>
  <si>
    <t>Vision</t>
  </si>
  <si>
    <t>Antipathie/Sympathie</t>
  </si>
  <si>
    <t>Charme de Masse</t>
  </si>
  <si>
    <t>Clone</t>
  </si>
  <si>
    <t>Conjuration de Monstres VI</t>
  </si>
  <si>
    <t>Danse Irrésistible d'Otto</t>
  </si>
  <si>
    <t>Ecran</t>
  </si>
  <si>
    <t>Emprisonement de l'Ame</t>
  </si>
  <si>
    <t>Entrave</t>
  </si>
  <si>
    <t>Ensevelissement</t>
  </si>
  <si>
    <t>Esprit Impénétrable</t>
  </si>
  <si>
    <t>Exigence</t>
  </si>
  <si>
    <t>Immunité de Serten contre les Sorts</t>
  </si>
  <si>
    <t>Labyrinthe</t>
  </si>
  <si>
    <t>Métamorphose Universelle</t>
  </si>
  <si>
    <t>Mot de Pouvoir, Cécité</t>
  </si>
  <si>
    <t>Mur Prismatique</t>
  </si>
  <si>
    <t>Nuage Incendiaire</t>
  </si>
  <si>
    <t>Permanence</t>
  </si>
  <si>
    <t>Poing Serré de Bigby</t>
  </si>
  <si>
    <t>Sphère Télékinésique d'Otiluke</t>
  </si>
  <si>
    <t>Symbole</t>
  </si>
  <si>
    <t>Verre d'Acier</t>
  </si>
  <si>
    <t>Arrêt du Temps</t>
  </si>
  <si>
    <t>Asile</t>
  </si>
  <si>
    <t>Changement de Forme</t>
  </si>
  <si>
    <t>Conjuration de Montres VII</t>
  </si>
  <si>
    <t>Disjonction de Mordenkainen</t>
  </si>
  <si>
    <t>Emprisonement</t>
  </si>
  <si>
    <t>Ennemi Subconscient</t>
  </si>
  <si>
    <t>Fragilité de Cristal</t>
  </si>
  <si>
    <t>Main Broyante de Bigby</t>
  </si>
  <si>
    <t>Mot de Pouvoir, Mort</t>
  </si>
  <si>
    <t>Nuée de Météores</t>
  </si>
  <si>
    <t>Pressentiment</t>
  </si>
  <si>
    <t>Seuil</t>
  </si>
  <si>
    <t>Sort Astral</t>
  </si>
  <si>
    <t>Souhait</t>
  </si>
  <si>
    <t>Sphère Prismatique</t>
  </si>
  <si>
    <t>Stase Temporelle</t>
  </si>
  <si>
    <t>Sorts Cléricaux</t>
  </si>
  <si>
    <t>Altération</t>
  </si>
  <si>
    <t>1 créature/objet</t>
  </si>
  <si>
    <t>V,S,M</t>
  </si>
  <si>
    <t>Annule</t>
  </si>
  <si>
    <t>MdJ p.144</t>
  </si>
  <si>
    <t>V,S</t>
  </si>
  <si>
    <t>1round</t>
  </si>
  <si>
    <t>Enchantement/Charme</t>
  </si>
  <si>
    <t>4h+0.5h/niv</t>
  </si>
  <si>
    <t>1d4r+1r/niv</t>
  </si>
  <si>
    <t>5rnd/niv</t>
  </si>
  <si>
    <t>2rnd/niv</t>
  </si>
  <si>
    <t>5m/niv</t>
  </si>
  <si>
    <t>Rayon de 3m</t>
  </si>
  <si>
    <t>Rayon de 30m</t>
  </si>
  <si>
    <t>Aucun</t>
  </si>
  <si>
    <t>MdJ p.145</t>
  </si>
  <si>
    <t>Toucher</t>
  </si>
  <si>
    <t>Illusion/Fantasme</t>
  </si>
  <si>
    <t>Evocation</t>
  </si>
  <si>
    <t>Abjuration/Evocation</t>
  </si>
  <si>
    <t>Spéciale</t>
  </si>
  <si>
    <t>1 créature</t>
  </si>
  <si>
    <t>120m</t>
  </si>
  <si>
    <t>1jour/niv</t>
  </si>
  <si>
    <t>2d6r+2r/niv</t>
  </si>
  <si>
    <t>Le magicien</t>
  </si>
  <si>
    <t>1 personne</t>
  </si>
  <si>
    <t>MdJ p.146</t>
  </si>
  <si>
    <t>Divination/Nécromancie</t>
  </si>
  <si>
    <t>Divination</t>
  </si>
  <si>
    <t>3tours</t>
  </si>
  <si>
    <t>Corridor de 3x20m</t>
  </si>
  <si>
    <t>20m+3m/niv</t>
  </si>
  <si>
    <t>MdJ p.147</t>
  </si>
  <si>
    <t>1,5km/niv</t>
  </si>
  <si>
    <t>3t+1t/niv</t>
  </si>
  <si>
    <t>Permanente</t>
  </si>
  <si>
    <t>1 parchemin ou 2 pages</t>
  </si>
  <si>
    <t>1 familier</t>
  </si>
  <si>
    <t>MdJ p.148</t>
  </si>
  <si>
    <t>20m/niv</t>
  </si>
  <si>
    <t>10m/niv</t>
  </si>
  <si>
    <t>1rnd/niv</t>
  </si>
  <si>
    <t>3r+1r/niv</t>
  </si>
  <si>
    <t>1 créature à - de 10m</t>
  </si>
  <si>
    <t>V</t>
  </si>
  <si>
    <t>MdJ p.149</t>
  </si>
  <si>
    <t>MdJ p.150</t>
  </si>
  <si>
    <t>MdJ p.151</t>
  </si>
  <si>
    <t>MdJ p.152</t>
  </si>
  <si>
    <t>MdJ p.153</t>
  </si>
  <si>
    <t>MdJ p.154</t>
  </si>
  <si>
    <t>MdJ p.155</t>
  </si>
  <si>
    <t>MdJ p.156</t>
  </si>
  <si>
    <t>MdJ p.157</t>
  </si>
  <si>
    <t>MdJ p.158</t>
  </si>
  <si>
    <t>MdJ p.159</t>
  </si>
  <si>
    <t>MdJ p.160</t>
  </si>
  <si>
    <t>MdJ p.161</t>
  </si>
  <si>
    <t>MdJ p.162</t>
  </si>
  <si>
    <t>MdJ p.163</t>
  </si>
  <si>
    <t>MdJ p.164</t>
  </si>
  <si>
    <t>MdJ p.165</t>
  </si>
  <si>
    <t>MdJ p.166</t>
  </si>
  <si>
    <t>MdJ p.167</t>
  </si>
  <si>
    <t>Immobilisation des Morts-Vivants</t>
  </si>
  <si>
    <t>MdJ p.168</t>
  </si>
  <si>
    <t>MdJ p.169</t>
  </si>
  <si>
    <t>MdJ p.170</t>
  </si>
  <si>
    <t>MdJ p.171</t>
  </si>
  <si>
    <t>MdJ p.172</t>
  </si>
  <si>
    <t>MdJ p.173</t>
  </si>
  <si>
    <t>MdJ p.174</t>
  </si>
  <si>
    <t>MdJ p.175</t>
  </si>
  <si>
    <t>MdJ p.176</t>
  </si>
  <si>
    <t>MdJ p.177</t>
  </si>
  <si>
    <t>MdJ p.178</t>
  </si>
  <si>
    <t>MdJ p.179</t>
  </si>
  <si>
    <t>MdJ p.180</t>
  </si>
  <si>
    <t>MdJ p.181</t>
  </si>
  <si>
    <t>MdJ p.182</t>
  </si>
  <si>
    <t>MdJ p.183</t>
  </si>
  <si>
    <t>MdJ p.184</t>
  </si>
  <si>
    <t>MdJ p.185</t>
  </si>
  <si>
    <t>MdJ p.186</t>
  </si>
  <si>
    <t>MdJ p.187</t>
  </si>
  <si>
    <t>MdJ p.188</t>
  </si>
  <si>
    <t>MdJ p.189</t>
  </si>
  <si>
    <t>MdJ p.190</t>
  </si>
  <si>
    <t>MdJ p.191</t>
  </si>
  <si>
    <t>MdJ p.192</t>
  </si>
  <si>
    <t>MdJ p.193</t>
  </si>
  <si>
    <t>MdJ p.194</t>
  </si>
  <si>
    <t>MdJ p.195</t>
  </si>
  <si>
    <t>MdJ p.196</t>
  </si>
  <si>
    <t>MdJ p.197</t>
  </si>
  <si>
    <t>MdJ p.198</t>
  </si>
  <si>
    <t>MdJ p.199</t>
  </si>
  <si>
    <t>MdJ p.200</t>
  </si>
  <si>
    <t>MdJ p.201</t>
  </si>
  <si>
    <t>MdJ p.202</t>
  </si>
  <si>
    <t>MdJ p.203</t>
  </si>
  <si>
    <t>MdJ p.204</t>
  </si>
  <si>
    <t>MdJ p.205</t>
  </si>
  <si>
    <t>MdJ p.206</t>
  </si>
  <si>
    <t>MdJ p.207</t>
  </si>
  <si>
    <t>MdJ p.208</t>
  </si>
  <si>
    <t>MdJ p.209</t>
  </si>
  <si>
    <t>MdJ p.210</t>
  </si>
  <si>
    <t>MdJ p.211</t>
  </si>
  <si>
    <t>MdJ p.212</t>
  </si>
  <si>
    <t>MdJ p.213</t>
  </si>
  <si>
    <t>MdJ p.214</t>
  </si>
  <si>
    <t>MdJ p.215</t>
  </si>
  <si>
    <t>MdJ p.216</t>
  </si>
  <si>
    <t>MdJ p.217</t>
  </si>
  <si>
    <t>MdJ p.218</t>
  </si>
  <si>
    <t>MdJ p.219</t>
  </si>
  <si>
    <t>MdJ p.220</t>
  </si>
  <si>
    <t>MdJ p.221</t>
  </si>
  <si>
    <t>MdJ p.222</t>
  </si>
  <si>
    <t>MdJ p.223</t>
  </si>
  <si>
    <t>Enchantement</t>
  </si>
  <si>
    <t>Abjuration</t>
  </si>
  <si>
    <t>Conjuration/Convocation</t>
  </si>
  <si>
    <t>Nécromancie</t>
  </si>
  <si>
    <t>Toutes les Écoles</t>
  </si>
  <si>
    <t>Forme Ectoplasmique (Psionique)</t>
  </si>
  <si>
    <t>Enchantement/Divination</t>
  </si>
  <si>
    <t>Enchantement/Evocation</t>
  </si>
  <si>
    <t>Enchantement/Invocation</t>
  </si>
  <si>
    <t>Enchantement/Altération</t>
  </si>
  <si>
    <t>Abjuration, Conjuration</t>
  </si>
  <si>
    <t>Altération, Enchantement</t>
  </si>
  <si>
    <t>Evocation, Nécromancie</t>
  </si>
  <si>
    <t>Evocation, Altération</t>
  </si>
  <si>
    <t>Altération/Evocation</t>
  </si>
  <si>
    <t>Evocation, Enchantement/Charme</t>
  </si>
  <si>
    <t>Divination/Illusion</t>
  </si>
  <si>
    <t>Conjuration, Invocation/Evocation</t>
  </si>
  <si>
    <t>Illusion, Enchantement</t>
  </si>
  <si>
    <t>Altération/Conjuration</t>
  </si>
  <si>
    <t>Altération, Evocation</t>
  </si>
  <si>
    <t>Altération, Illusion/Fantasme</t>
  </si>
  <si>
    <t>Enchant./Charme, Illusion/Fantasme</t>
  </si>
  <si>
    <t>Illusion/Fantasme, Altération</t>
  </si>
  <si>
    <t>Evocation, Altération, Enchant./Charme</t>
  </si>
  <si>
    <t>Invocation, Illusion/Fantasme</t>
  </si>
  <si>
    <t>Enchantement, Altération</t>
  </si>
  <si>
    <t>Abjuration, Altération</t>
  </si>
  <si>
    <t>Altération, Conjuration</t>
  </si>
  <si>
    <t>Evocation/Altération</t>
  </si>
  <si>
    <t>Altération/Enchantement</t>
  </si>
  <si>
    <t>Conjuration, Fantasme</t>
  </si>
  <si>
    <t>Altération/Illusion</t>
  </si>
  <si>
    <t>Altération, Fantasme</t>
  </si>
  <si>
    <t>V,M</t>
  </si>
  <si>
    <t>S,M</t>
  </si>
  <si>
    <t>S</t>
  </si>
  <si>
    <t>V,S + Spécial</t>
  </si>
  <si>
    <t>Aucun (SP)</t>
  </si>
  <si>
    <t>½</t>
  </si>
  <si>
    <t>½ ou Aucun</t>
  </si>
  <si>
    <t xml:space="preserve">Annule ou ½ </t>
  </si>
  <si>
    <t>1r+1r/niv</t>
  </si>
  <si>
    <t>1tour/niv</t>
  </si>
  <si>
    <t>1 objet/niveau</t>
  </si>
  <si>
    <t>Sphère de 7m de rayon</t>
  </si>
  <si>
    <t>40m+10m/niv</t>
  </si>
  <si>
    <t>1/aug.</t>
  </si>
  <si>
    <t>60m+10m/niv</t>
  </si>
  <si>
    <t>10m/niv (max 90m)</t>
  </si>
  <si>
    <t>2d12heures</t>
  </si>
  <si>
    <t>30m+10m/niv</t>
  </si>
  <si>
    <t>5m/niv (max 90)</t>
  </si>
  <si>
    <t>180m</t>
  </si>
  <si>
    <t>30m+5m/niv</t>
  </si>
  <si>
    <t>10m+5m/niv</t>
  </si>
  <si>
    <t>1500m/niv</t>
  </si>
  <si>
    <t>10m+10m/niv</t>
  </si>
  <si>
    <t>60m+1m/niv</t>
  </si>
  <si>
    <t>90m+10m/niv</t>
  </si>
  <si>
    <t>70m+10m/niv</t>
  </si>
  <si>
    <t>50m+10m/niv</t>
  </si>
  <si>
    <t>40m+5m/niv</t>
  </si>
  <si>
    <t>100m+10m/niv</t>
  </si>
  <si>
    <t>10m/2niv</t>
  </si>
  <si>
    <t>Infinie + Spéciale</t>
  </si>
  <si>
    <t>70m</t>
  </si>
  <si>
    <t>90m</t>
  </si>
  <si>
    <t>5m/2niv</t>
  </si>
  <si>
    <t>Instantanée</t>
  </si>
  <si>
    <t>2h+1h/niv</t>
  </si>
  <si>
    <t>2d4r+1r/niv</t>
  </si>
  <si>
    <t>2r+1r/niv</t>
  </si>
  <si>
    <t>3rnd/niv</t>
  </si>
  <si>
    <t>1d3r+1r/niv</t>
  </si>
  <si>
    <t>1h+1t/niv</t>
  </si>
  <si>
    <t>1h/niv</t>
  </si>
  <si>
    <t>4r+1r/niv</t>
  </si>
  <si>
    <t>3d4r+2r/niv</t>
  </si>
  <si>
    <t>2tours/niv</t>
  </si>
  <si>
    <t>8 heures</t>
  </si>
  <si>
    <t>12h+1h/niv</t>
  </si>
  <si>
    <t>5h+1h/niv</t>
  </si>
  <si>
    <t>1t+1r/niv</t>
  </si>
  <si>
    <t>4h+1h/niv</t>
  </si>
  <si>
    <t>4h/niv</t>
  </si>
  <si>
    <t>1h/niv+1d4h</t>
  </si>
  <si>
    <t>1h+1h/niv</t>
  </si>
  <si>
    <t>1 toucher</t>
  </si>
  <si>
    <t>1t/niv+1d6t</t>
  </si>
  <si>
    <t>1d4+1h+1h/n</t>
  </si>
  <si>
    <t>1d4h+1h/niv</t>
  </si>
  <si>
    <t>1d6t+1t/niv</t>
  </si>
  <si>
    <t>1jour</t>
  </si>
  <si>
    <t>1tour</t>
  </si>
  <si>
    <t>12heures</t>
  </si>
  <si>
    <t>5r+1r/niv</t>
  </si>
  <si>
    <t>4d6heures</t>
  </si>
  <si>
    <t>1rnd/3niv</t>
  </si>
  <si>
    <t>1rnd/2niv</t>
  </si>
  <si>
    <t>4t+4t/niv</t>
  </si>
  <si>
    <t>6t+1t/niv</t>
  </si>
  <si>
    <t>6r+1r/niv</t>
  </si>
  <si>
    <t>3d4r+1r/niv</t>
  </si>
  <si>
    <t>1s+1j/niv</t>
  </si>
  <si>
    <t>6tours/niv</t>
  </si>
  <si>
    <t>1util./niv</t>
  </si>
  <si>
    <t>max 3rnd/niv</t>
  </si>
  <si>
    <t>2h/niv</t>
  </si>
  <si>
    <t>7r+1r/niv</t>
  </si>
  <si>
    <t>1d4+1r</t>
  </si>
  <si>
    <t>4r+1d6r</t>
  </si>
  <si>
    <t>Absorption d'Energie</t>
  </si>
  <si>
    <t>8r+1r/niv</t>
  </si>
  <si>
    <t>Concentr.</t>
  </si>
  <si>
    <t>Désintégration (Psionique)</t>
  </si>
  <si>
    <t>Amollissement</t>
  </si>
  <si>
    <t>Domination (Psionique)</t>
  </si>
  <si>
    <t>Invisibilité (Psionique)</t>
  </si>
  <si>
    <t>niv sr c1</t>
  </si>
  <si>
    <t>niv sr c2</t>
  </si>
  <si>
    <t>niv sr c3</t>
  </si>
  <si>
    <t>Sr niv1</t>
  </si>
  <si>
    <t>Sr niv2</t>
  </si>
  <si>
    <t>Sr niv3</t>
  </si>
  <si>
    <t>Sr niv4</t>
  </si>
  <si>
    <t>Sr niv5</t>
  </si>
  <si>
    <t>Sr niv6</t>
  </si>
  <si>
    <t>Sr niv7</t>
  </si>
  <si>
    <t>Sr niv8</t>
  </si>
  <si>
    <t>Sr niv9</t>
  </si>
  <si>
    <t>Profil</t>
  </si>
  <si>
    <t>Vrai Paladin</t>
  </si>
  <si>
    <t>Apatride</t>
  </si>
  <si>
    <t>Capitaine</t>
  </si>
  <si>
    <t>Chasseur de Fantômes</t>
  </si>
  <si>
    <t>Chevalier</t>
  </si>
  <si>
    <t>Chevalier du ciel</t>
  </si>
  <si>
    <t>Dévot</t>
  </si>
  <si>
    <t>Écuyer</t>
  </si>
  <si>
    <t>Émissaire</t>
  </si>
  <si>
    <t>Errant</t>
  </si>
  <si>
    <t>Guérisseur</t>
  </si>
  <si>
    <t>Inquisiteur</t>
  </si>
  <si>
    <t>Maréchal</t>
  </si>
  <si>
    <t>Pourfendeur de Vers</t>
  </si>
  <si>
    <t>Templier</t>
  </si>
  <si>
    <t>Profil 2.5</t>
  </si>
  <si>
    <t>Amazone</t>
  </si>
  <si>
    <t>Barbare</t>
  </si>
  <si>
    <t>Bouffon</t>
  </si>
  <si>
    <t>Betteur</t>
  </si>
  <si>
    <t>Cavalier</t>
  </si>
  <si>
    <t>Diplomate</t>
  </si>
  <si>
    <t>Éclaireur</t>
  </si>
  <si>
    <t>Érudit</t>
  </si>
  <si>
    <t>Explorateur</t>
  </si>
  <si>
    <t>Héros Local</t>
  </si>
  <si>
    <t>Hors-la-loi</t>
  </si>
  <si>
    <t>Maître d'arme</t>
  </si>
  <si>
    <t>Maître-Bêtes</t>
  </si>
  <si>
    <t>Marchand</t>
  </si>
  <si>
    <t>Marin</t>
  </si>
  <si>
    <t>Moucheur</t>
  </si>
  <si>
    <t>Mystique</t>
  </si>
  <si>
    <t>Pirate</t>
  </si>
  <si>
    <t>Preux</t>
  </si>
  <si>
    <t>Pugiliste</t>
  </si>
  <si>
    <t>Sauvage</t>
  </si>
  <si>
    <t>Soldat</t>
  </si>
  <si>
    <t>Trafiquand</t>
  </si>
  <si>
    <t>Profils</t>
  </si>
  <si>
    <t>Tunnel</t>
  </si>
  <si>
    <t>1 monture</t>
  </si>
  <si>
    <t>Rayon de 10m</t>
  </si>
  <si>
    <t>Créature Touchée</t>
  </si>
  <si>
    <t>Portée de l'ouïe</t>
  </si>
  <si>
    <t>Eventail de 2x7x7m</t>
  </si>
  <si>
    <t>(1 créature/objet)/2r</t>
  </si>
  <si>
    <t>Passage de 3m</t>
  </si>
  <si>
    <t>1 Allée de 3m</t>
  </si>
  <si>
    <t>1 créature/sondage</t>
  </si>
  <si>
    <t>1 cible</t>
  </si>
  <si>
    <t>Personne Touchée</t>
  </si>
  <si>
    <t>Rayon d'un mètre</t>
  </si>
  <si>
    <t>Rayon de 2m</t>
  </si>
  <si>
    <t>1-4 créature; rayon 5m</t>
  </si>
  <si>
    <t>Rayon de 20m</t>
  </si>
  <si>
    <t>1 adversaire</t>
  </si>
  <si>
    <t>Rayon de 5m</t>
  </si>
  <si>
    <t>Objet Touché</t>
  </si>
  <si>
    <t>1 Vêtement</t>
  </si>
  <si>
    <t>Original</t>
  </si>
  <si>
    <t>Caract.</t>
  </si>
  <si>
    <t>Mod ori.</t>
  </si>
  <si>
    <t>Caract. 2.5</t>
  </si>
  <si>
    <t>3round</t>
  </si>
  <si>
    <t>1heure</t>
  </si>
  <si>
    <t>5rounds</t>
  </si>
  <si>
    <t>3-4</t>
  </si>
  <si>
    <t>7rounds</t>
  </si>
  <si>
    <t>Spécial+1</t>
  </si>
  <si>
    <t>1rnd/béné</t>
  </si>
  <si>
    <t>2rounds</t>
  </si>
  <si>
    <t>1-4 jour(s)</t>
  </si>
  <si>
    <t>Sphère de 1m de rayon</t>
  </si>
  <si>
    <t>Rayon de 60cm</t>
  </si>
  <si>
    <t>Rayon de 7m</t>
  </si>
  <si>
    <t>Sphère de 5m de diam</t>
  </si>
  <si>
    <t>1d3 morts-vivants</t>
  </si>
  <si>
    <t>Rayon 3m autour créa</t>
  </si>
  <si>
    <t>1 sceau</t>
  </si>
  <si>
    <t>Arme(s) touchée(s)</t>
  </si>
  <si>
    <t>le magicien</t>
  </si>
  <si>
    <t>Cône 3mX10m</t>
  </si>
  <si>
    <t>Rayon de 40m</t>
  </si>
  <si>
    <t>30cmX3mX3m</t>
  </si>
  <si>
    <t>Rayon de 3m/niveau</t>
  </si>
  <si>
    <t>1 personne/2 niveaux</t>
  </si>
  <si>
    <t>13mX7mX7m</t>
  </si>
  <si>
    <t>1srce de feu (Spécial)</t>
  </si>
  <si>
    <t>1 cible par météore</t>
  </si>
  <si>
    <t>1 page, 60cm max</t>
  </si>
  <si>
    <t>Sphère de 3m de rayon</t>
  </si>
  <si>
    <t>3mx10m/niveau</t>
  </si>
  <si>
    <t>7mX3mX3m/niveau</t>
  </si>
  <si>
    <t>L'invocateur</t>
  </si>
  <si>
    <t>Sphère de 2m de rayon</t>
  </si>
  <si>
    <t>30cm de diamètre/niv</t>
  </si>
  <si>
    <t>coffre 60cmx60cmx1m</t>
  </si>
  <si>
    <t>1≥ créature, rayon 3m</t>
  </si>
  <si>
    <t>Sphère 30cm de rayon</t>
  </si>
  <si>
    <t>Créature, passage 3m</t>
  </si>
  <si>
    <t>1 créature/niveau</t>
  </si>
  <si>
    <t>Champ de vision, 20m</t>
  </si>
  <si>
    <t>1≥ créature, rayon 20m</t>
  </si>
  <si>
    <r>
      <t>1</t>
    </r>
    <r>
      <rPr>
        <sz val="11"/>
        <color theme="1"/>
        <rFont val="Calibri"/>
        <family val="2"/>
      </rPr>
      <t>≥ créature, rayon 7m</t>
    </r>
  </si>
  <si>
    <t>Globe de 7m de rayon</t>
  </si>
  <si>
    <t>1 petit objet</t>
  </si>
  <si>
    <t>Créature(s) Touchée(s)</t>
  </si>
  <si>
    <t>Sphère de 5m de rayon</t>
  </si>
  <si>
    <t>1 individu</t>
  </si>
  <si>
    <t>Une créature</t>
  </si>
  <si>
    <t>3 tours</t>
  </si>
  <si>
    <t>cône 20m, spécial</t>
  </si>
  <si>
    <t>plan de 25m, spécial</t>
  </si>
  <si>
    <t>Compétences Langes</t>
  </si>
  <si>
    <t>Amitié avec les Animeaux</t>
  </si>
  <si>
    <t>Apaisement</t>
  </si>
  <si>
    <t>Bénédiction</t>
  </si>
  <si>
    <t>Création d'Eau</t>
  </si>
  <si>
    <t>Détection des Collets et des Fosses</t>
  </si>
  <si>
    <t>Détection du Mal</t>
  </si>
  <si>
    <t>Détection du poison</t>
  </si>
  <si>
    <t>Enchevêtrement</t>
  </si>
  <si>
    <t>Endurance du Froid/de la Chaleur</t>
  </si>
  <si>
    <t>Gourdin Magique</t>
  </si>
  <si>
    <t>Injonction</t>
  </si>
  <si>
    <t>Invisibilité aux Animaux</t>
  </si>
  <si>
    <t>Invisibilité aux Morts-Vivants</t>
  </si>
  <si>
    <t>Localisation d'Animaux ou de Plantes</t>
  </si>
  <si>
    <t>Lueur Féérique</t>
  </si>
  <si>
    <t>Passage Sans Trace</t>
  </si>
  <si>
    <t>Pierre Magique</t>
  </si>
  <si>
    <t>Purification de la Nourriture/Boissons</t>
  </si>
  <si>
    <t>Sanctuaire</t>
  </si>
  <si>
    <t>Soins des Blessures Légères</t>
  </si>
  <si>
    <t>Union</t>
  </si>
  <si>
    <t>Aide</t>
  </si>
  <si>
    <t>Altération du Temps</t>
  </si>
  <si>
    <t>Augure</t>
  </si>
  <si>
    <t>Baie Magique</t>
  </si>
  <si>
    <t>Cantique</t>
  </si>
  <si>
    <t>Charme-Personnes ou Mammifères</t>
  </si>
  <si>
    <t>Charme-Serpents</t>
  </si>
  <si>
    <t>Croc-en-Jambe</t>
  </si>
  <si>
    <t>Détection des Charmes</t>
  </si>
  <si>
    <t>Détection des Pièges</t>
  </si>
  <si>
    <t>Diable de Poussière</t>
  </si>
  <si>
    <t>Discourt Captivant</t>
  </si>
  <si>
    <t>Distortion du Bois</t>
  </si>
  <si>
    <t>Flammes</t>
  </si>
  <si>
    <t>Lame Enflammée</t>
  </si>
  <si>
    <t>Langages des Animaux</t>
  </si>
  <si>
    <t>Marteau Spirituel</t>
  </si>
  <si>
    <t>Messager</t>
  </si>
  <si>
    <t>Métal Brûlant</t>
  </si>
  <si>
    <t>Obscurcissement</t>
  </si>
  <si>
    <t>Peau d'Ecorce</t>
  </si>
  <si>
    <t>Ralentissement du poison</t>
  </si>
  <si>
    <t>Résistance au Feu/au Froid</t>
  </si>
  <si>
    <t>Silence (Rayon de 5 mètres)</t>
  </si>
  <si>
    <t>Vouivre de Garde</t>
  </si>
  <si>
    <t>Appel de la Foudre</t>
  </si>
  <si>
    <t>Arbre</t>
  </si>
  <si>
    <t>Clair d'Étoiles</t>
  </si>
  <si>
    <t>Collet</t>
  </si>
  <si>
    <t>Communication avec les Morts</t>
  </si>
  <si>
    <t>Conjuration d'Insectes</t>
  </si>
  <si>
    <t>Création de Nourriture et d'Eau</t>
  </si>
  <si>
    <t>Croissance d'Epines</t>
  </si>
  <si>
    <t>Délivrance de la Paralysie</t>
  </si>
  <si>
    <t>Glyphe de Garde</t>
  </si>
  <si>
    <t>Guérison de la Cécité/Surdité</t>
  </si>
  <si>
    <t>Guérison des Maladies</t>
  </si>
  <si>
    <t>Immobilisation des Animaux</t>
  </si>
  <si>
    <t>Marche sur les Eaux</t>
  </si>
  <si>
    <t>Prière</t>
  </si>
  <si>
    <t>Protection contre le Feu</t>
  </si>
  <si>
    <t>Protection contre le Plan Négatif</t>
  </si>
  <si>
    <t>Traversée des Flammes</t>
  </si>
  <si>
    <t>Vêtements Magiques</t>
  </si>
  <si>
    <t>Action Libre</t>
  </si>
  <si>
    <t>Appel de Créature des Bois</t>
  </si>
  <si>
    <t>Bassin Divinatoire</t>
  </si>
  <si>
    <t>Conjuration d'Animaux I</t>
  </si>
  <si>
    <t>Contrôle de la Température (rayon 3m)</t>
  </si>
  <si>
    <t>Détection des Mensonges</t>
  </si>
  <si>
    <t>Forêt Hallucinatoire</t>
  </si>
  <si>
    <t>Immobilisation des Plantes</t>
  </si>
  <si>
    <t>Insectes Géants</t>
  </si>
  <si>
    <t>Langage des Plantes</t>
  </si>
  <si>
    <t>Manteau de Bravoure</t>
  </si>
  <si>
    <t>Neutralisation du Poison</t>
  </si>
  <si>
    <t>Octroi de Sorts</t>
  </si>
  <si>
    <t>Porte Végétale</t>
  </si>
  <si>
    <t>Production de Feu</t>
  </si>
  <si>
    <t>Protection contre la Foudre</t>
  </si>
  <si>
    <t>Protection Contre le Mal (rayon de 3m)</t>
  </si>
  <si>
    <t>Répulsion des insectes</t>
  </si>
  <si>
    <t>Soins des Blessures Graves</t>
  </si>
  <si>
    <t>Arc-en-Ciel</t>
  </si>
  <si>
    <t>Bénitier Magique</t>
  </si>
  <si>
    <t>Changement de Plan</t>
  </si>
  <si>
    <t>Colonne de Feu</t>
  </si>
  <si>
    <t>Communion</t>
  </si>
  <si>
    <t>Communion avec la Nature</t>
  </si>
  <si>
    <t>Conjuration d'Animaux II</t>
  </si>
  <si>
    <t>Contrôle des Vents</t>
  </si>
  <si>
    <t>Croisade</t>
  </si>
  <si>
    <t>Dissipation du Mal</t>
  </si>
  <si>
    <t>Fléau d'Insectes</t>
  </si>
  <si>
    <t>Marche Aérienne</t>
  </si>
  <si>
    <t>Passe-Plantes</t>
  </si>
  <si>
    <t>Pénitence</t>
  </si>
  <si>
    <t>Pierres Acérées</t>
  </si>
  <si>
    <t>Protection Anti-Plantes</t>
  </si>
  <si>
    <t>Rappel à la Vie</t>
  </si>
  <si>
    <t>Rayon de Lune</t>
  </si>
  <si>
    <t>Soins des Blessures Critiques</t>
  </si>
  <si>
    <t>Animation d'un Objet</t>
  </si>
  <si>
    <t>Animaux</t>
  </si>
  <si>
    <t>Barrière Acérée</t>
  </si>
  <si>
    <t>Chêne Animé</t>
  </si>
  <si>
    <t>Conjuration d'Animaux III</t>
  </si>
  <si>
    <t>Conjuration du Climat</t>
  </si>
  <si>
    <t>Coquille Anti-Animaux</t>
  </si>
  <si>
    <t>Festin des Héros</t>
  </si>
  <si>
    <t>Guérison</t>
  </si>
  <si>
    <t>Interdiction</t>
  </si>
  <si>
    <t>Langages des Monstres</t>
  </si>
  <si>
    <t>Mot de Rappel</t>
  </si>
  <si>
    <t>Mur d'Épines</t>
  </si>
  <si>
    <t>Orientation</t>
  </si>
  <si>
    <t>Pierres Commères</t>
  </si>
  <si>
    <t>Répulsion du Bois</t>
  </si>
  <si>
    <t>Semences de Feu</t>
  </si>
  <si>
    <t>Serviteur Aérien</t>
  </si>
  <si>
    <t>Transmutation de l'Ean en Poussière</t>
  </si>
  <si>
    <t>Transport par les Plantes</t>
  </si>
  <si>
    <t>Animation de la Pierre</t>
  </si>
  <si>
    <t>Bâton Sylvanien</t>
  </si>
  <si>
    <t>Char de Sustarre</t>
  </si>
  <si>
    <t>Conjuration d'un Élémental de Terre</t>
  </si>
  <si>
    <t>Conjuration d'un Élémental de Feu</t>
  </si>
  <si>
    <t>Contrôle Climatique</t>
  </si>
  <si>
    <t>Fatalité Rampante</t>
  </si>
  <si>
    <t>Pacte</t>
  </si>
  <si>
    <t>Parole Divine</t>
  </si>
  <si>
    <t>Portail</t>
  </si>
  <si>
    <t>Rayon de Soleil</t>
  </si>
  <si>
    <t>Restitution</t>
  </si>
  <si>
    <t>Réssurection</t>
  </si>
  <si>
    <t>Séisme</t>
  </si>
  <si>
    <t>Tempête de Feu</t>
  </si>
  <si>
    <t>Tranmutation du Métal en Bois</t>
  </si>
  <si>
    <t>Vent Divin</t>
  </si>
  <si>
    <t>Symbole (clérical)</t>
  </si>
  <si>
    <t>Réincarnation (clérical)</t>
  </si>
  <si>
    <t>Projection Astrale (clérical)</t>
  </si>
  <si>
    <t>Confusion (clérical)</t>
  </si>
  <si>
    <t>Asile (clérical)</t>
  </si>
  <si>
    <t>Séparation des Eaux (clérical)</t>
  </si>
  <si>
    <t>Vision Véritable (clérical)</t>
  </si>
  <si>
    <t>Transmutation Pierre en Boue (clérical)</t>
  </si>
  <si>
    <t>Mur de Feu (clérical)</t>
  </si>
  <si>
    <t>Croissance Animale (clérical)</t>
  </si>
  <si>
    <t>Langues (clérical)</t>
  </si>
  <si>
    <t>Abaissement des Eaux (clérical)</t>
  </si>
  <si>
    <t>Respiration Aquatique (clérical)</t>
  </si>
  <si>
    <t>Pyrotechnie (clérical)</t>
  </si>
  <si>
    <t>Mort Simulée (clérical)</t>
  </si>
  <si>
    <t>Lumière Continuelle (clérical)</t>
  </si>
  <si>
    <t>Localisation d'un Objet (clérical)</t>
  </si>
  <si>
    <t>Façonnage de la Pierre (clérical)</t>
  </si>
  <si>
    <t>Dissipation de la Magie (clérical)</t>
  </si>
  <si>
    <t>Délivrance de la Malédiction (clérical)</t>
  </si>
  <si>
    <t>Croissance Végétale (clérical)</t>
  </si>
  <si>
    <t>Animation des Morts (clérical)</t>
  </si>
  <si>
    <t>Piège de Feu (clérical)</t>
  </si>
  <si>
    <t>Immobilisation des Personnes (clerc)</t>
  </si>
  <si>
    <t>Connaissance des Alignements (clerc)</t>
  </si>
  <si>
    <t>Protection contre le Mal (clérical)</t>
  </si>
  <si>
    <t>Lumière (clérical)</t>
  </si>
  <si>
    <t>Détection de la Magie (clérical)</t>
  </si>
  <si>
    <t>MdJ p.224</t>
  </si>
  <si>
    <t>MdJ p.225</t>
  </si>
  <si>
    <t>MdJ p.226</t>
  </si>
  <si>
    <t>MdJ p.227</t>
  </si>
  <si>
    <t>MdJ p.228</t>
  </si>
  <si>
    <t>MdJ p.229</t>
  </si>
  <si>
    <t>MdJ p.230</t>
  </si>
  <si>
    <t>MdJ p.231</t>
  </si>
  <si>
    <t>MdJ p.232</t>
  </si>
  <si>
    <t>MdJ p.233</t>
  </si>
  <si>
    <t>MdJ p.234</t>
  </si>
  <si>
    <t>MdJ p.235</t>
  </si>
  <si>
    <t>MdJ p.236</t>
  </si>
  <si>
    <t>MdJ p.237</t>
  </si>
  <si>
    <t>MdJ p.238</t>
  </si>
  <si>
    <t>MdJ p.239</t>
  </si>
  <si>
    <t>MdJ p.240</t>
  </si>
  <si>
    <t>MdJ p.241</t>
  </si>
  <si>
    <t>MdJ p.242</t>
  </si>
  <si>
    <t>MdJ p.243</t>
  </si>
  <si>
    <t>Fusion de la Pierre</t>
  </si>
  <si>
    <t>MdJ p.244</t>
  </si>
  <si>
    <t>MdJ p.245</t>
  </si>
  <si>
    <t>MdJ p.246</t>
  </si>
  <si>
    <t>MdJ p.247</t>
  </si>
  <si>
    <t>MdJ p.248</t>
  </si>
  <si>
    <t>Immunité contre les Sorts</t>
  </si>
  <si>
    <t>MdJ p.249</t>
  </si>
  <si>
    <t>MdJ p.250</t>
  </si>
  <si>
    <t>MdJ p.251</t>
  </si>
  <si>
    <t>MdJ p.252</t>
  </si>
  <si>
    <t>MdJ p.253</t>
  </si>
  <si>
    <t>MdJ p.254</t>
  </si>
  <si>
    <t>MdJ p.255</t>
  </si>
  <si>
    <t>MdJ p.256</t>
  </si>
  <si>
    <t>MdJ p.257</t>
  </si>
  <si>
    <t>MdJ p.258</t>
  </si>
  <si>
    <t>MdJ p.259</t>
  </si>
  <si>
    <t>MdJ p.260</t>
  </si>
  <si>
    <t>MdJ p.261</t>
  </si>
  <si>
    <t>MdJ p.262</t>
  </si>
  <si>
    <t>MdJ p.263</t>
  </si>
  <si>
    <t>MdJ p.264</t>
  </si>
  <si>
    <t>MdJ p.265</t>
  </si>
  <si>
    <t>MdJ p.266</t>
  </si>
  <si>
    <t>MdJ p.267</t>
  </si>
  <si>
    <t>MdJ p.268</t>
  </si>
  <si>
    <t>MdJ p.269</t>
  </si>
  <si>
    <t>MdJ p.270</t>
  </si>
  <si>
    <t>Animale</t>
  </si>
  <si>
    <t>Générale</t>
  </si>
  <si>
    <t>Élémentaire (Eau)</t>
  </si>
  <si>
    <t>Végétale</t>
  </si>
  <si>
    <t>Protection</t>
  </si>
  <si>
    <t>Combat, Végétale</t>
  </si>
  <si>
    <t>Nécromantique</t>
  </si>
  <si>
    <t>Divination (Animale,Végétale)</t>
  </si>
  <si>
    <t>Climat</t>
  </si>
  <si>
    <t>Combat</t>
  </si>
  <si>
    <t>Élémentaire (Air)</t>
  </si>
  <si>
    <t>Élémentaire (Feu)</t>
  </si>
  <si>
    <t>Animale, Divination</t>
  </si>
  <si>
    <t>Protection, Végétale</t>
  </si>
  <si>
    <t>Garde</t>
  </si>
  <si>
    <t>Création</t>
  </si>
  <si>
    <t>Élémentaire (Terre)</t>
  </si>
  <si>
    <t>Protection, Élémentaire (Feu)</t>
  </si>
  <si>
    <t>Protection, Nécromantique</t>
  </si>
  <si>
    <t>Élémentaire (Eau,Air)</t>
  </si>
  <si>
    <t>Animale, Conjuration</t>
  </si>
  <si>
    <t>Protection, Climat</t>
  </si>
  <si>
    <t>Animale, Protection</t>
  </si>
  <si>
    <t>Astrale</t>
  </si>
  <si>
    <t>Protection, Conjuration</t>
  </si>
  <si>
    <t>Élémentaire (Terre, Eau)</t>
  </si>
  <si>
    <t>Création, Conjuration</t>
  </si>
  <si>
    <t>Garde, Création</t>
  </si>
  <si>
    <t>Végétale, Création</t>
  </si>
  <si>
    <t>Élémentaire (Terre), Divination</t>
  </si>
  <si>
    <t>Élémentaire (Eau, Terre)</t>
  </si>
  <si>
    <t>Élémentaire (Feu), Création</t>
  </si>
  <si>
    <t>Élémentaire (Terre), Conjuration</t>
  </si>
  <si>
    <t>Charme, Conjuration</t>
  </si>
  <si>
    <t>Solaire</t>
  </si>
  <si>
    <t>Climat, Solaire</t>
  </si>
  <si>
    <t>1 animal</t>
  </si>
  <si>
    <t>Apnée</t>
  </si>
  <si>
    <t>Conjuration d'élément de sort</t>
  </si>
  <si>
    <t>Feu de bengale</t>
  </si>
  <si>
    <t>Planeur plumeux de Murdock</t>
  </si>
  <si>
    <t>Démêlage*</t>
  </si>
  <si>
    <t>Approximation d'Hornung*</t>
  </si>
  <si>
    <t>Métamorphose des liquides</t>
  </si>
  <si>
    <t>Poing de pierre</t>
  </si>
  <si>
    <t>Rupture hasardeuse de Nahal*</t>
  </si>
  <si>
    <t>Analyse fondementale d'Alamir</t>
  </si>
  <si>
    <t>Bâton-tonnerre</t>
  </si>
  <si>
    <t>Acquisition de Khazid</t>
  </si>
  <si>
    <t>Augmentation II</t>
  </si>
  <si>
    <t>Chat d'Ombre</t>
  </si>
  <si>
    <t>Bateau-nuage</t>
  </si>
  <si>
    <t>Aura élémentaire</t>
  </si>
  <si>
    <t>Annulateur insensé de Nahal*</t>
  </si>
  <si>
    <t>Bouclier du chaos*</t>
  </si>
  <si>
    <t>Changement sensoriel</t>
  </si>
  <si>
    <t>Chevaucher le vent</t>
  </si>
  <si>
    <t>Poigne terreuse de Maximilian</t>
  </si>
  <si>
    <t>Déflecteur funeste d'Hornung*</t>
  </si>
  <si>
    <t>Prestesse</t>
  </si>
  <si>
    <t>Quadrature de cercle</t>
  </si>
  <si>
    <t>Réalité alternative*</t>
  </si>
  <si>
    <t>Vision de sorcier</t>
  </si>
  <si>
    <t>Armure Spirituelle</t>
  </si>
  <si>
    <t>Aumentation I</t>
  </si>
  <si>
    <t>Double aqueux</t>
  </si>
  <si>
    <t>Flux de feu*</t>
  </si>
  <si>
    <t>Langue des fous*</t>
  </si>
  <si>
    <t>Longue Portée I</t>
  </si>
  <si>
    <t>Maléfice mineur</t>
  </si>
  <si>
    <t>Ombre rampante de Lorloveim</t>
  </si>
  <si>
    <t>Célérité de Mrdenkainen</t>
  </si>
  <si>
    <t>Conjuration de lycanthrope</t>
  </si>
  <si>
    <t>Dilatation I</t>
  </si>
  <si>
    <t>Divination améliorée</t>
  </si>
  <si>
    <t>Là/pas là*</t>
  </si>
  <si>
    <t>Localisation de créature</t>
  </si>
  <si>
    <t>Longue Portée II</t>
  </si>
  <si>
    <t>Malchance*</t>
  </si>
  <si>
    <t>Maléfice supérieur</t>
  </si>
  <si>
    <t>Masque mortuaire</t>
  </si>
  <si>
    <t>renvoi de sorts mineur</t>
  </si>
  <si>
    <t>Transformation d'un caillou en rocher</t>
  </si>
  <si>
    <t>Bâton magique</t>
  </si>
  <si>
    <t>Brouillard Mental</t>
  </si>
  <si>
    <t>Forme ondoyante*</t>
  </si>
  <si>
    <t>Longue Portée III</t>
  </si>
  <si>
    <t>Réduire la résistance</t>
  </si>
  <si>
    <t>Refus de Von Gasik</t>
  </si>
  <si>
    <t>Sauvegarde</t>
  </si>
  <si>
    <t>Vortex*</t>
  </si>
  <si>
    <t>Bouclier entropique*</t>
  </si>
  <si>
    <t>Constricteur ardent de Forest</t>
  </si>
  <si>
    <t>Dilatation II</t>
  </si>
  <si>
    <t>Griffes de l'ombres des roches</t>
  </si>
  <si>
    <t>Monture spectrale de Bloodstone</t>
  </si>
  <si>
    <t>Transformation indistincte de Lorlveim</t>
  </si>
  <si>
    <t>Conjuration intensifiée</t>
  </si>
  <si>
    <t>De l'Oeuf sort la Pierre</t>
  </si>
  <si>
    <t>Façonnage de sort*</t>
  </si>
  <si>
    <t>Jonction effroyable de Bloodstone</t>
  </si>
  <si>
    <t>Poing enflammé de Malec-Keth</t>
  </si>
  <si>
    <t>Sélecteur de hiatus d'Hornung*</t>
  </si>
  <si>
    <t>Suffocation</t>
  </si>
  <si>
    <t>Tempête acide</t>
  </si>
  <si>
    <t>Vol d'enchantement</t>
  </si>
  <si>
    <t>Choc Kaléidoscopique de Gunther</t>
  </si>
  <si>
    <t>Flétrissure abominable d'Abi-Dalzim</t>
  </si>
  <si>
    <t>Homoncule-bouclier</t>
  </si>
  <si>
    <t>Répartisseur aléatoire d'Hornung*</t>
  </si>
  <si>
    <t>Zone entropique*</t>
  </si>
  <si>
    <t>Chaîne de contingences</t>
  </si>
  <si>
    <t>Cri de la banshee</t>
  </si>
  <si>
    <t>Feu entropique*</t>
  </si>
  <si>
    <t>Stabilisation*</t>
  </si>
  <si>
    <t>Transfert de propriété</t>
  </si>
  <si>
    <t>Transmutation glorieuse</t>
  </si>
  <si>
    <t>Vent entropique*</t>
  </si>
  <si>
    <t>RM p.17</t>
  </si>
  <si>
    <t>RM p.19</t>
  </si>
  <si>
    <t>RM p.20</t>
  </si>
  <si>
    <t>RM p.21</t>
  </si>
  <si>
    <t>RM p.22</t>
  </si>
  <si>
    <t>RM p.23</t>
  </si>
  <si>
    <t>Protection contre la paralysie</t>
  </si>
  <si>
    <t>Soif Inextinguible</t>
  </si>
  <si>
    <t>Vie Passée</t>
  </si>
  <si>
    <t>Poigne rocheuse de Maximilian</t>
  </si>
  <si>
    <t>RM p.24</t>
  </si>
  <si>
    <t>RM p.25</t>
  </si>
  <si>
    <t>RM p.26</t>
  </si>
  <si>
    <t>RM p.27</t>
  </si>
  <si>
    <t>RM p.28</t>
  </si>
  <si>
    <t>RM p.29</t>
  </si>
  <si>
    <t>RM p.30</t>
  </si>
  <si>
    <t>RM p.32</t>
  </si>
  <si>
    <t>RM p.33</t>
  </si>
  <si>
    <t>RM p.34</t>
  </si>
  <si>
    <t>RM p.35</t>
  </si>
  <si>
    <t>RM p.36</t>
  </si>
  <si>
    <t>RM p.37</t>
  </si>
  <si>
    <t>Choc entropique*</t>
  </si>
  <si>
    <t>RM p.38</t>
  </si>
  <si>
    <t>RM p.39</t>
  </si>
  <si>
    <t>RM p.40</t>
  </si>
  <si>
    <t>RM p.41</t>
  </si>
  <si>
    <t>RM p.42</t>
  </si>
  <si>
    <t>RM p.43</t>
  </si>
  <si>
    <t>RM p.44</t>
  </si>
  <si>
    <t>RM p.45</t>
  </si>
  <si>
    <t>RM p.46</t>
  </si>
  <si>
    <t>RM p.47</t>
  </si>
  <si>
    <t>RM p.48</t>
  </si>
  <si>
    <t>Analyse d'Équilibre</t>
  </si>
  <si>
    <t>Allégement</t>
  </si>
  <si>
    <t>Adaptation</t>
  </si>
  <si>
    <t>Addition</t>
  </si>
  <si>
    <t>Action répétée</t>
  </si>
  <si>
    <t>À demain</t>
  </si>
  <si>
    <t>Age de dragon</t>
  </si>
  <si>
    <t>Barrière anti-vermine</t>
  </si>
  <si>
    <t>Capture de la pensée</t>
  </si>
  <si>
    <t>Cercle d'union</t>
  </si>
  <si>
    <t>Coffre pondéreux</t>
  </si>
  <si>
    <t>Combustion prolongée</t>
  </si>
  <si>
    <t>Connaissance de l'âge</t>
  </si>
  <si>
    <t>Connaissance du temps</t>
  </si>
  <si>
    <t>Courage</t>
  </si>
  <si>
    <t>Gardien sacré</t>
  </si>
  <si>
    <t>Invoquer la foie</t>
  </si>
  <si>
    <t>Lecture de personnalité</t>
  </si>
  <si>
    <t>Lecture des émotions</t>
  </si>
  <si>
    <t>Missive erronée</t>
  </si>
  <si>
    <t>Moral</t>
  </si>
  <si>
    <t>Parler avec un voyageur Astral</t>
  </si>
  <si>
    <t>Aura de bien-être</t>
  </si>
  <si>
    <t>Calmer les esprits</t>
  </si>
  <si>
    <t>Coffre véloce</t>
  </si>
  <si>
    <t>Création de symbole sacré</t>
  </si>
  <si>
    <t>Festion de zizanie</t>
  </si>
  <si>
    <t>Hésitation</t>
  </si>
  <si>
    <t>Idée</t>
  </si>
  <si>
    <t>Lecture de l'esprit</t>
  </si>
  <si>
    <t>Moment propice</t>
  </si>
  <si>
    <t>Musique des sphères</t>
  </si>
  <si>
    <t>Perception de émotions</t>
  </si>
  <si>
    <t>Puiser dans la puissance divine</t>
  </si>
  <si>
    <t>Ralliement</t>
  </si>
  <si>
    <t>Sanctification</t>
  </si>
  <si>
    <t>Sieste</t>
  </si>
  <si>
    <t>Transfert mystique</t>
  </si>
  <si>
    <t>Zone de vérité</t>
  </si>
  <si>
    <t>Causalité aléatoire</t>
  </si>
  <si>
    <t>Chausse-trappe</t>
  </si>
  <si>
    <t>Choix du futur</t>
  </si>
  <si>
    <t>Connaissance des coutumes</t>
  </si>
  <si>
    <t>Contrôle des émotions</t>
  </si>
  <si>
    <t>Création d'un campement</t>
  </si>
  <si>
    <t>Détection extradimensionnelle</t>
  </si>
  <si>
    <t>Doléancedu voleur</t>
  </si>
  <si>
    <t>Élimination des invisibilités</t>
  </si>
  <si>
    <t>Fenêtre Astrale</t>
  </si>
  <si>
    <t>Force d'un seul</t>
  </si>
  <si>
    <t>Fourvoiement magique</t>
  </si>
  <si>
    <t>Guérion accélérée</t>
  </si>
  <si>
    <t>Lecture de l'instant</t>
  </si>
  <si>
    <t>Lecture des souvenirs</t>
  </si>
  <si>
    <t>Ligne de protection</t>
  </si>
  <si>
    <t>Main Secourable</t>
  </si>
  <si>
    <t>Obstination bornée</t>
  </si>
  <si>
    <t>Ralentissement du pourrissement</t>
  </si>
  <si>
    <t>Téléthaumaturgie</t>
  </si>
  <si>
    <t>Vigilance efficace contre les monstres</t>
  </si>
  <si>
    <t>Zone d'air pur</t>
  </si>
  <si>
    <t>Âge végétal</t>
  </si>
  <si>
    <t>Cercle d'intimité</t>
  </si>
  <si>
    <t>Chaleur bénite</t>
  </si>
  <si>
    <t>Cheval de bois</t>
  </si>
  <si>
    <t>Combat chaotique</t>
  </si>
  <si>
    <t>Commandement</t>
  </si>
  <si>
    <t>Contrôle des probabilités</t>
  </si>
  <si>
    <t>Domination Mentale</t>
  </si>
  <si>
    <t>Élevation</t>
  </si>
  <si>
    <t>Élimination des feux</t>
  </si>
  <si>
    <t>Émission de pensées</t>
  </si>
  <si>
    <t>Éthiques inversées</t>
  </si>
  <si>
    <t>Fortifiant</t>
  </si>
  <si>
    <t>Génie</t>
  </si>
  <si>
    <t>Harmonie défensive</t>
  </si>
  <si>
    <t>Horloge corporelle</t>
  </si>
  <si>
    <t>Jonction avec un voyageur astral</t>
  </si>
  <si>
    <t>Manie de l'ordre</t>
  </si>
  <si>
    <t>Modification de mémoire</t>
  </si>
  <si>
    <t>Pieds emmêlés</t>
  </si>
  <si>
    <t>Pliure dimensionnelle</t>
  </si>
  <si>
    <t>Point focal</t>
  </si>
  <si>
    <t>Rapport</t>
  </si>
  <si>
    <t>Solipsisme</t>
  </si>
  <si>
    <t>Sommeil chaotique</t>
  </si>
  <si>
    <t>Stase climatique</t>
  </si>
  <si>
    <t>Artillerie illusoire</t>
  </si>
  <si>
    <t>Autorisation préalable</t>
  </si>
  <si>
    <t>Barrière de rétention</t>
  </si>
  <si>
    <t>Bassin temporel</t>
  </si>
  <si>
    <t>Bénédiction d'abondance</t>
  </si>
  <si>
    <t>Chemin dégagé</t>
  </si>
  <si>
    <t>Conséquence</t>
  </si>
  <si>
    <t>Délabrement de la mémoire</t>
  </si>
  <si>
    <t>Force du champion</t>
  </si>
  <si>
    <t>Hôte</t>
  </si>
  <si>
    <t>Interdiction des élémentaux</t>
  </si>
  <si>
    <t>Manipulation extradimensionnelle</t>
  </si>
  <si>
    <t>Marche aisée</t>
  </si>
  <si>
    <t>Mise à la terre</t>
  </si>
  <si>
    <t>Murs hurlants</t>
  </si>
  <si>
    <t>Onde mentale</t>
  </si>
  <si>
    <t>Ordres chaotiques</t>
  </si>
  <si>
    <t>Poche extradimensionnelle</t>
  </si>
  <si>
    <t>Rupture mentale</t>
  </si>
  <si>
    <t>Vieillissement d'objet</t>
  </si>
  <si>
    <t>Vigilance contre les morts-vivants</t>
  </si>
  <si>
    <t>Vigilance indéfectible sentinelle sacrée</t>
  </si>
  <si>
    <t>Anti-dragon</t>
  </si>
  <si>
    <t>Courroux spirituel</t>
  </si>
  <si>
    <t>Esprits groupés</t>
  </si>
  <si>
    <t>Incrédulité</t>
  </si>
  <si>
    <t>Le Grand Cercle</t>
  </si>
  <si>
    <t>Miroir physique</t>
  </si>
  <si>
    <t>Monture monstrueuse</t>
  </si>
  <si>
    <t>Murs écrasants</t>
  </si>
  <si>
    <t>Obstination légale</t>
  </si>
  <si>
    <t>Orbe desséchante de Sol</t>
  </si>
  <si>
    <t>Réclusion</t>
  </si>
  <si>
    <t>Temps inversé</t>
  </si>
  <si>
    <t>Terre de stabilité</t>
  </si>
  <si>
    <t>Variation de la gravité</t>
  </si>
  <si>
    <t>Vieillissement d'une créature</t>
  </si>
  <si>
    <t>Climat incontrôlé</t>
  </si>
  <si>
    <t>Déformation de l'espace</t>
  </si>
  <si>
    <t>Engins d'ombre</t>
  </si>
  <si>
    <t>Esprit de puissance</t>
  </si>
  <si>
    <t>Fortification illusoire</t>
  </si>
  <si>
    <t>Inspiration divine</t>
  </si>
  <si>
    <t>Intemporalité</t>
  </si>
  <si>
    <t>Murs tentaculaires</t>
  </si>
  <si>
    <t>Route flottante</t>
  </si>
  <si>
    <t>Souffle de vie</t>
  </si>
  <si>
    <t>RM p.51</t>
  </si>
  <si>
    <t>Nombres,Divinations</t>
  </si>
  <si>
    <t>Vigilance</t>
  </si>
  <si>
    <t>Pensée</t>
  </si>
  <si>
    <t>Élémentaire (Feu), Végétale</t>
  </si>
  <si>
    <t>Voyageurs</t>
  </si>
  <si>
    <t>Guerre</t>
  </si>
  <si>
    <t>Nombres</t>
  </si>
  <si>
    <t>Loi</t>
  </si>
  <si>
    <t>Nombres, Charme</t>
  </si>
  <si>
    <t>Pensée, Charme</t>
  </si>
  <si>
    <t>Sols Grinçants</t>
  </si>
  <si>
    <t>Nombres, Divination</t>
  </si>
  <si>
    <t>Gardien</t>
  </si>
  <si>
    <t>Nombres, Création</t>
  </si>
  <si>
    <t>Pensée, Divination</t>
  </si>
  <si>
    <t>1 tour/3</t>
  </si>
  <si>
    <t>Intrus paranogène</t>
  </si>
  <si>
    <t>RM p.108</t>
  </si>
  <si>
    <t>RM p.52</t>
  </si>
  <si>
    <t>RM p.53</t>
  </si>
  <si>
    <t>RM p.54</t>
  </si>
  <si>
    <t>RM p.55</t>
  </si>
  <si>
    <t>RM p.56</t>
  </si>
  <si>
    <t>RM p.57</t>
  </si>
  <si>
    <t>RM p.58</t>
  </si>
  <si>
    <t>RM p.59</t>
  </si>
  <si>
    <t>RM p.60</t>
  </si>
  <si>
    <t>RM p.61</t>
  </si>
  <si>
    <t>RM p.62</t>
  </si>
  <si>
    <t>RM p.63</t>
  </si>
  <si>
    <t>RM p.64</t>
  </si>
  <si>
    <t>RM p.65</t>
  </si>
  <si>
    <t>RM p.66</t>
  </si>
  <si>
    <t>RM p.67</t>
  </si>
  <si>
    <t>RM p.68</t>
  </si>
  <si>
    <t>RM p.69</t>
  </si>
  <si>
    <t>RM p.70</t>
  </si>
  <si>
    <t>RM p.71</t>
  </si>
  <si>
    <t>RM p.72</t>
  </si>
  <si>
    <t>RM p.73</t>
  </si>
  <si>
    <t>RM p.74</t>
  </si>
  <si>
    <t>RM p.75</t>
  </si>
  <si>
    <t>RM p.76</t>
  </si>
  <si>
    <t>RM p.77</t>
  </si>
  <si>
    <t>RM p.78</t>
  </si>
  <si>
    <t>RM p.79</t>
  </si>
  <si>
    <t>RM p.80</t>
  </si>
  <si>
    <t>RM p.81</t>
  </si>
  <si>
    <t>RM p.83</t>
  </si>
  <si>
    <t>RM p.84</t>
  </si>
  <si>
    <t>RM p.85</t>
  </si>
  <si>
    <t>RM p.86</t>
  </si>
  <si>
    <t>RM p.87</t>
  </si>
  <si>
    <t>RM p.88</t>
  </si>
  <si>
    <t>RM p.89</t>
  </si>
  <si>
    <t>RM p.90</t>
  </si>
  <si>
    <t>RM p.91</t>
  </si>
  <si>
    <t>RM p.92</t>
  </si>
  <si>
    <t>RM p.93</t>
  </si>
  <si>
    <t>RM p.94</t>
  </si>
  <si>
    <t>RM p.95</t>
  </si>
  <si>
    <t>RM p.96</t>
  </si>
  <si>
    <t>RM p.97</t>
  </si>
  <si>
    <t>RM p.98</t>
  </si>
  <si>
    <t>RM p.99</t>
  </si>
  <si>
    <t>RM p.100</t>
  </si>
  <si>
    <t>RM p.101</t>
  </si>
  <si>
    <t>RM p.102</t>
  </si>
  <si>
    <t>RM p.103</t>
  </si>
  <si>
    <t>RM p.104</t>
  </si>
  <si>
    <t>RM p.105</t>
  </si>
  <si>
    <t>RM p.106</t>
  </si>
  <si>
    <t>RM p.107</t>
  </si>
  <si>
    <t>RM p.109</t>
  </si>
  <si>
    <t>RM p.110</t>
  </si>
  <si>
    <t>Psionie</t>
  </si>
  <si>
    <t>Pieds-Velus (Luiren)</t>
  </si>
  <si>
    <t>Pieds-Velus</t>
  </si>
  <si>
    <t>Costaud</t>
  </si>
  <si>
    <t>Costaud, Mazticain</t>
  </si>
  <si>
    <t>Grand-Gars</t>
  </si>
  <si>
    <t>Foursin</t>
  </si>
  <si>
    <t>Cerilien</t>
  </si>
  <si>
    <t>Féerunien</t>
  </si>
  <si>
    <t>Planaire</t>
  </si>
  <si>
    <t>des Rochers</t>
  </si>
  <si>
    <t>des Rochers, Féerunien</t>
  </si>
  <si>
    <t>des Forêts</t>
  </si>
  <si>
    <t>Svirfneblin (des Profondeurs)</t>
  </si>
  <si>
    <t>Bricoleur, Gnomoi</t>
  </si>
  <si>
    <t>Bricoleur, Minoï</t>
  </si>
  <si>
    <t>Bricoleur, Minoï (Taladan)</t>
  </si>
  <si>
    <t>Aquatique</t>
  </si>
  <si>
    <t>Aquatique (D&amp;D)</t>
  </si>
  <si>
    <t>Aquatique (Féerunien)</t>
  </si>
  <si>
    <t>Aquatique (Sea of Fallen Stars)</t>
  </si>
  <si>
    <t>Elfe noir (Drow)</t>
  </si>
  <si>
    <t>Elfe noir (Drow) (Féerunien)</t>
  </si>
  <si>
    <t>Sylvain</t>
  </si>
  <si>
    <t>Avariel (Féerunien)</t>
  </si>
  <si>
    <t>Gris</t>
  </si>
  <si>
    <t>Haut</t>
  </si>
  <si>
    <t>Verts (ou Sauvage)</t>
  </si>
  <si>
    <t>des Mers (Féerunien)</t>
  </si>
  <si>
    <t>Doré (ou du Levant)</t>
  </si>
  <si>
    <t>de la Lune</t>
  </si>
  <si>
    <t>Aquatique (l'Éternelle-rencontre)</t>
  </si>
  <si>
    <t>Verts (ou Sauvage)(Féerunien)</t>
  </si>
  <si>
    <t>100m+20m/niv</t>
  </si>
  <si>
    <t>1 créature/4 niveaux</t>
  </si>
  <si>
    <t>6rounds</t>
  </si>
  <si>
    <t>4rnd/niv</t>
  </si>
  <si>
    <t>1 Tour</t>
  </si>
  <si>
    <t>1t+5rnd/niv</t>
  </si>
  <si>
    <t>1t+1rnd/niv</t>
  </si>
  <si>
    <t>1.5h/niveau</t>
  </si>
  <si>
    <t>4rd+1rd/niv</t>
  </si>
  <si>
    <t>1t/niv</t>
  </si>
  <si>
    <t>2rd+1rd/niv</t>
  </si>
  <si>
    <t>Le cercle de prêtres</t>
  </si>
  <si>
    <t>7m x (100m+20/niv)</t>
  </si>
  <si>
    <t>1Créature Touchée/niv</t>
  </si>
  <si>
    <t>1 Gourdin en chêne</t>
  </si>
  <si>
    <t>passage de 3m x 13m</t>
  </si>
  <si>
    <t>Chœur céleste</t>
  </si>
  <si>
    <t>Nuage de purification</t>
  </si>
  <si>
    <t>Score 2.0</t>
  </si>
  <si>
    <t>Score 2.5</t>
  </si>
  <si>
    <t>(i:12,m:na)</t>
  </si>
  <si>
    <t>(i:15,m:4/rnd)</t>
  </si>
  <si>
    <t>(i:7,m:6/rnd)</t>
  </si>
  <si>
    <r>
      <t>(i:5,m:</t>
    </r>
    <r>
      <rPr>
        <sz val="11"/>
        <color theme="1"/>
        <rFont val="Calibri"/>
        <family val="2"/>
      </rPr>
      <t>≤</t>
    </r>
    <r>
      <rPr>
        <sz val="11"/>
        <color theme="1"/>
        <rFont val="Calibri"/>
        <family val="2"/>
        <scheme val="minor"/>
      </rPr>
      <t>20/rnd)</t>
    </r>
  </si>
  <si>
    <t>(i:10,m:na)</t>
  </si>
  <si>
    <t>(i:4,m:3/rnd)</t>
  </si>
  <si>
    <t>(i:25*am,m:am/rd)</t>
  </si>
  <si>
    <t>(i:cont,m:4/rnd)</t>
  </si>
  <si>
    <t>(i:5,m:1/rnd)</t>
  </si>
  <si>
    <t>(i:7,m:3/rnd)</t>
  </si>
  <si>
    <t>(i:8,m:3/rnd)</t>
  </si>
  <si>
    <t>(i:14,m:na)</t>
  </si>
  <si>
    <t>(i:9,m:4/rnd)</t>
  </si>
  <si>
    <t>(i:8,m:4/rnd)</t>
  </si>
  <si>
    <t>(i:15,m:8/rnd)</t>
  </si>
  <si>
    <t>(i:5,m:na)</t>
  </si>
  <si>
    <t>(i:cont,m:8/rnd)</t>
  </si>
  <si>
    <t>(i:30,m:8/rnd)</t>
  </si>
  <si>
    <t>(i:0,m:na)</t>
  </si>
  <si>
    <t>(i:cont,m:8/tour)</t>
  </si>
  <si>
    <t>(i:30,m:10/rnd)</t>
  </si>
  <si>
    <t>(i:7,m:5/rnd)</t>
  </si>
  <si>
    <t>(i:3,m:na)</t>
  </si>
  <si>
    <t>(i:6,m:3/rnd)</t>
  </si>
  <si>
    <t>(i:1,m:na)</t>
  </si>
  <si>
    <t>(i:20,m:20|1/rnd)</t>
  </si>
  <si>
    <t>(i:40,m:na)</t>
  </si>
  <si>
    <t>(i:con,m:10/tour)</t>
  </si>
  <si>
    <t>(i:4,m:na)</t>
  </si>
  <si>
    <t>(i:6,m:4/rnd)</t>
  </si>
  <si>
    <t>(i:7,m:4/rnd)</t>
  </si>
  <si>
    <t>(i:50,m:5/rnd)</t>
  </si>
  <si>
    <t>(i:45/90,m:na)</t>
  </si>
  <si>
    <t>(i:con,m:13/rnd)</t>
  </si>
  <si>
    <t>(i:var,m:1/rnd)</t>
  </si>
  <si>
    <t>(i:12,m:4/rnd)</t>
  </si>
  <si>
    <t>(i:5,m:2/rnd)</t>
  </si>
  <si>
    <t>(i:16,m:10/rnd)</t>
  </si>
  <si>
    <t>(i:8,m:8/rnd)</t>
  </si>
  <si>
    <t>(i:na,m:10/jours)</t>
  </si>
  <si>
    <t>(i:8,m:0)</t>
  </si>
  <si>
    <t>(i:16,m:3/rnd)</t>
  </si>
  <si>
    <t>(i:16,m:na)</t>
  </si>
  <si>
    <t>(i:3,m:3/rnd)</t>
  </si>
  <si>
    <t>(i:4,m:1/rnd)</t>
  </si>
  <si>
    <t>(i:18,m:na)</t>
  </si>
  <si>
    <t>(i:40,m:6/rnd)</t>
  </si>
  <si>
    <t>(i:cont,m:var)</t>
  </si>
  <si>
    <t>(i:7,m:na)</t>
  </si>
  <si>
    <t>(i:11,m:5/rnd)</t>
  </si>
  <si>
    <t>(i:10/ind+con,m:0)</t>
  </si>
  <si>
    <t>(i:cont+30,m:na)</t>
  </si>
  <si>
    <t>(i:cont,m:2/rnd)</t>
  </si>
  <si>
    <t>(i:cont,m:1/rnd)</t>
  </si>
  <si>
    <t>(i:cont,m:5/rnd)</t>
  </si>
  <si>
    <t>(i:2,m:2/rnd)</t>
  </si>
  <si>
    <t>(i:cont,m:6/rnd)</t>
  </si>
  <si>
    <t>(i:5,m:4/rnd)</t>
  </si>
  <si>
    <t>(i:var,m:na)</t>
  </si>
  <si>
    <t>(i:6,m:1/rnd)</t>
  </si>
  <si>
    <t>(i:var,m:var)</t>
  </si>
  <si>
    <t>(i:6,m:2/rnd)</t>
  </si>
  <si>
    <t>(i:12,m:3/rnd)</t>
  </si>
  <si>
    <t>(i:9,m:9/rnd)</t>
  </si>
  <si>
    <t>(i:10,m:1/rnd)</t>
  </si>
  <si>
    <t>(i:30,m:na)</t>
  </si>
  <si>
    <t>(i:9,m:6/rnd)</t>
  </si>
  <si>
    <t>(i:20,m:3/rnd)</t>
  </si>
  <si>
    <t>(i:5/aug,m:1/rnd)</t>
  </si>
  <si>
    <t>(i:cont,m:2/rd/cr)</t>
  </si>
  <si>
    <t>(i:cont,m:5/rd/cr)</t>
  </si>
  <si>
    <t>(i:5*j,m:j/rnd)</t>
  </si>
  <si>
    <t>(i:12,m:2/rnd)</t>
  </si>
  <si>
    <t>(i:cont,m:5/tour)</t>
  </si>
  <si>
    <t>(i:cont,m:4/tour)</t>
  </si>
  <si>
    <t>(i:6,m:5/rnd)</t>
  </si>
  <si>
    <t>(i:8,m:4/tour)</t>
  </si>
  <si>
    <t>(i:21,m:1/tour)</t>
  </si>
  <si>
    <t>(i:4,m:7/h)</t>
  </si>
  <si>
    <t>(i:0,m:0)</t>
  </si>
  <si>
    <t>(i:4,m:2/rnd)</t>
  </si>
  <si>
    <t>(i:15,m:10/rnd)</t>
  </si>
  <si>
    <t>(i:5,m:3/rnd)</t>
  </si>
  <si>
    <t>(i:10,m:3/h)</t>
  </si>
  <si>
    <t>(i:24,m:na)</t>
  </si>
  <si>
    <t>(i:2,m:na)</t>
  </si>
  <si>
    <t>(i:6,m:2/h)</t>
  </si>
  <si>
    <t>(i:20,m:10/h)</t>
  </si>
  <si>
    <t>(i:120,m:na)</t>
  </si>
  <si>
    <t>(i:cont,m:3/rnd)</t>
  </si>
  <si>
    <t>(i:cont,m:9/rnd)</t>
  </si>
  <si>
    <t>(i:cont,m:1/niv)</t>
  </si>
  <si>
    <t>(i:3+,m:1+/rnd)</t>
  </si>
  <si>
    <t>(i:10+,m:na)</t>
  </si>
  <si>
    <t>(i:20+,m:na)</t>
  </si>
  <si>
    <t>(i:0,m:2/h)</t>
  </si>
  <si>
    <t>(i:6,m:na)</t>
  </si>
  <si>
    <t>(i:7,m:0)</t>
  </si>
  <si>
    <t>(i:75,m:0)</t>
  </si>
  <si>
    <t>(i:15,m:na)</t>
  </si>
  <si>
    <t>(i:1/40km,m:na)</t>
  </si>
  <si>
    <t>(i:20,m:8/h)</t>
  </si>
  <si>
    <t>Coût 2.0</t>
  </si>
  <si>
    <t>Coût 2.5</t>
  </si>
  <si>
    <t>CON-3</t>
  </si>
  <si>
    <t>CON-4</t>
  </si>
  <si>
    <t>SAG-4</t>
  </si>
  <si>
    <t>SAG-5</t>
  </si>
  <si>
    <t>SAG-2</t>
  </si>
  <si>
    <t>INT-3</t>
  </si>
  <si>
    <t>INT-4</t>
  </si>
  <si>
    <t>CON-2</t>
  </si>
  <si>
    <t>SAG-3</t>
  </si>
  <si>
    <t>INT-1</t>
  </si>
  <si>
    <t>CON-8</t>
  </si>
  <si>
    <t>SAG-8</t>
  </si>
  <si>
    <t>SAG-1</t>
  </si>
  <si>
    <t>INT-5</t>
  </si>
  <si>
    <t>CHA-2</t>
  </si>
  <si>
    <t>INT-7</t>
  </si>
  <si>
    <t>INT-2</t>
  </si>
  <si>
    <t>SAG-6</t>
  </si>
  <si>
    <t>CON-6</t>
  </si>
  <si>
    <t>CON-5</t>
  </si>
  <si>
    <t>Aff.-3</t>
  </si>
  <si>
    <t>INT-(2*j)</t>
  </si>
  <si>
    <t>SAG-7</t>
  </si>
  <si>
    <t>SAG-12</t>
  </si>
  <si>
    <t>CON-1</t>
  </si>
  <si>
    <t>DEX-2</t>
  </si>
  <si>
    <t>INT-6</t>
  </si>
  <si>
    <t>INT+1</t>
  </si>
  <si>
    <t>SAG-10</t>
  </si>
  <si>
    <t>CON-7</t>
  </si>
  <si>
    <t>CAP 8</t>
  </si>
  <si>
    <t>CAP 7</t>
  </si>
  <si>
    <t>CAP 6</t>
  </si>
  <si>
    <t>CAP 10</t>
  </si>
  <si>
    <t>CAP 5</t>
  </si>
  <si>
    <t>Grouilleux</t>
  </si>
  <si>
    <t>CAP 4</t>
  </si>
  <si>
    <t>Équilibre Corporel</t>
  </si>
  <si>
    <t>CAP 9</t>
  </si>
  <si>
    <t>inconnu</t>
  </si>
  <si>
    <t>Clignotement (Psionique)</t>
  </si>
  <si>
    <t>(N/A)</t>
  </si>
  <si>
    <t>Déphasage</t>
  </si>
  <si>
    <t>Porte Dimensionnelle (Psionique)</t>
  </si>
  <si>
    <t>Émission de Pensées</t>
  </si>
  <si>
    <t>CAP 3</t>
  </si>
  <si>
    <t>Éclipse</t>
  </si>
  <si>
    <t>Variable</t>
  </si>
  <si>
    <t>MC</t>
  </si>
  <si>
    <t>ST_Rien</t>
  </si>
  <si>
    <t>Jet</t>
  </si>
  <si>
    <t># amél.</t>
  </si>
  <si>
    <t>Amél.</t>
  </si>
  <si>
    <t>tableau 45 T&amp;P</t>
  </si>
  <si>
    <t>For/End</t>
  </si>
  <si>
    <t>For/Pui</t>
  </si>
  <si>
    <t>Dex/Pré</t>
  </si>
  <si>
    <t>Dex/Équ</t>
  </si>
  <si>
    <t>Con/Rés</t>
  </si>
  <si>
    <t>Con/Vig</t>
  </si>
  <si>
    <t>Int/Int</t>
  </si>
  <si>
    <t>Int/Éru</t>
  </si>
  <si>
    <t>Sag/Vol</t>
  </si>
  <si>
    <t>Sag/Int</t>
  </si>
  <si>
    <t>Cha/Cha</t>
  </si>
  <si>
    <t>Cha/Mag</t>
  </si>
  <si>
    <t>Ajustement Compétence selon Caractéristiques</t>
  </si>
  <si>
    <t>Compétences</t>
  </si>
  <si>
    <t>coût 2.5</t>
  </si>
  <si>
    <t>valeur 2.5</t>
  </si>
  <si>
    <t>2.0</t>
  </si>
  <si>
    <t>Score_END</t>
  </si>
  <si>
    <t>Score_PUI</t>
  </si>
  <si>
    <t>Score_PRE</t>
  </si>
  <si>
    <t>Score_EQU</t>
  </si>
  <si>
    <t>Score_RES</t>
  </si>
  <si>
    <t>Score_VIG</t>
  </si>
  <si>
    <t>Score_INTct</t>
  </si>
  <si>
    <t>Score_ERU</t>
  </si>
  <si>
    <t>Score_VOL</t>
  </si>
  <si>
    <t>Score_INTtion</t>
  </si>
  <si>
    <t>Score_CHAr</t>
  </si>
  <si>
    <t>Score_MAG</t>
  </si>
  <si>
    <t>Ferronnerie</t>
  </si>
  <si>
    <t>Expertise Maritime</t>
  </si>
  <si>
    <t>Natation</t>
  </si>
  <si>
    <t>Fabrication d'arcs et de flèches</t>
  </si>
  <si>
    <t>Alpinisme</t>
  </si>
  <si>
    <t>Pose de Collets (Guerrier)</t>
  </si>
  <si>
    <t>Pose de Collets (Roublard)</t>
  </si>
  <si>
    <t>Astrologie (Magicien)</t>
  </si>
  <si>
    <t>Connaissance des sorts (Magicien)</t>
  </si>
  <si>
    <t>Herboristerie (Magicien)</t>
  </si>
  <si>
    <t>Histoire Ancienne (Magicien)</t>
  </si>
  <si>
    <t>Langue, Ancienne (Magicien)</t>
  </si>
  <si>
    <t>Lecture/Écriture (Magicien)</t>
  </si>
  <si>
    <t>Navigation (Magicien)</t>
  </si>
  <si>
    <t>Religion (Magicien)</t>
  </si>
  <si>
    <t>Taille de Gemmes (Magicien)</t>
  </si>
  <si>
    <t>Ingénierie (Magicien)</t>
  </si>
  <si>
    <t>Ingénierie (clerical)</t>
  </si>
  <si>
    <t>Premier Secours</t>
  </si>
  <si>
    <t>Compétences Martiales</t>
  </si>
  <si>
    <t>Arbalète de poing</t>
  </si>
  <si>
    <t>Arbalète Lègere</t>
  </si>
  <si>
    <t>Arbalète Lourde</t>
  </si>
  <si>
    <t>Arc Court</t>
  </si>
  <si>
    <t>Arc Court composé</t>
  </si>
  <si>
    <t>Arc Long</t>
  </si>
  <si>
    <t>Arc Long composé</t>
  </si>
  <si>
    <t>Arc Long de semi-géant</t>
  </si>
  <si>
    <t>Arc Pixie</t>
  </si>
  <si>
    <t>Attrape-Homme</t>
  </si>
  <si>
    <t>Bardiche</t>
  </si>
  <si>
    <t>Barre flind</t>
  </si>
  <si>
    <t>Bâton</t>
  </si>
  <si>
    <t>Bâton de Cornu (Sauriale)</t>
  </si>
  <si>
    <t>Bec de corbin</t>
  </si>
  <si>
    <t>Bo</t>
  </si>
  <si>
    <t>Bolas</t>
  </si>
  <si>
    <t>Cabillot</t>
  </si>
  <si>
    <t>Ceste</t>
  </si>
  <si>
    <t>Cimeterre/Sabre</t>
  </si>
  <si>
    <t>Coupe-coup</t>
  </si>
  <si>
    <t>Couteau</t>
  </si>
  <si>
    <t>Couteau (en os)</t>
  </si>
  <si>
    <t>Couteau (en pierre)</t>
  </si>
  <si>
    <t>Crochet (attaché)</t>
  </si>
  <si>
    <t>Crochet (tenu)</t>
  </si>
  <si>
    <t>Dague - Main-gauche</t>
  </si>
  <si>
    <t>Dague (en os)</t>
  </si>
  <si>
    <t>Dague (en pierre)</t>
  </si>
  <si>
    <t>Dague de semi-géant</t>
  </si>
  <si>
    <t>Dague ou Coutelas</t>
  </si>
  <si>
    <t>Daikyu</t>
  </si>
  <si>
    <t>Doloire*</t>
  </si>
  <si>
    <t>Doloire-Guisarme*</t>
  </si>
  <si>
    <t>Drusus</t>
  </si>
  <si>
    <t>Épée à 2 Mains de semi-géant</t>
  </si>
  <si>
    <t>Épée À Deux Mains</t>
  </si>
  <si>
    <t>Épée Bâtarde</t>
  </si>
  <si>
    <t>Épée Courte</t>
  </si>
  <si>
    <t>Épée Khopesh</t>
  </si>
  <si>
    <t>Épée Large</t>
  </si>
  <si>
    <t>Épée Large d'Aileronné (Sauriale)</t>
  </si>
  <si>
    <t>Épée Longue</t>
  </si>
  <si>
    <t>Épée Pixie</t>
  </si>
  <si>
    <t>Épieu de cavalier</t>
  </si>
  <si>
    <t>Épieu de fantassin</t>
  </si>
  <si>
    <t>Esponton#</t>
  </si>
  <si>
    <t>Étoile du Matin</t>
  </si>
  <si>
    <t>Fauchard</t>
  </si>
  <si>
    <t>Fauchard-Crochet</t>
  </si>
  <si>
    <t>Filet</t>
  </si>
  <si>
    <t>Fléau de cavalier</t>
  </si>
  <si>
    <t>Fléau de Fantassin</t>
  </si>
  <si>
    <t>Fléau de Piquedos (Sauriale)</t>
  </si>
  <si>
    <t>Flèche de daikyu</t>
  </si>
  <si>
    <t>Flèche de Guerre (Pixie)</t>
  </si>
  <si>
    <t>Flèche de Sommeil (Pixie)</t>
  </si>
  <si>
    <t>Flèche d'oublie (Pixie)</t>
  </si>
  <si>
    <t>Flèches de semi-géant</t>
  </si>
  <si>
    <t>Flèches en pierre légère</t>
  </si>
  <si>
    <t>Flèches légères</t>
  </si>
  <si>
    <t>Flèches lourdes</t>
  </si>
  <si>
    <t>Flèches, Tête de Feuille (Daikyu)</t>
  </si>
  <si>
    <t>Fléchette</t>
  </si>
  <si>
    <t>Fléchette barbelée</t>
  </si>
  <si>
    <t>Fléchette d'Homme Lézard</t>
  </si>
  <si>
    <t>Fouet</t>
  </si>
  <si>
    <t>Fourche de guerre*</t>
  </si>
  <si>
    <t>Fourche-Fauchard</t>
  </si>
  <si>
    <t>Fronde</t>
  </si>
  <si>
    <t>Gaffe-gobelin</t>
  </si>
  <si>
    <t>Goudin, Grand</t>
  </si>
  <si>
    <t>Gourdin</t>
  </si>
  <si>
    <t>Guisarme</t>
  </si>
  <si>
    <t>Hache d'armes</t>
  </si>
  <si>
    <t>Hachette ou hache de  jet</t>
  </si>
  <si>
    <t>Hallebarde</t>
  </si>
  <si>
    <t>Hallebarde de semi-géant</t>
  </si>
  <si>
    <t>Harpon</t>
  </si>
  <si>
    <t>Javelot</t>
  </si>
  <si>
    <t>Javelot (en pierre)</t>
  </si>
  <si>
    <t>Katana</t>
  </si>
  <si>
    <t>Knout</t>
  </si>
  <si>
    <t>Lance de cavalier, légère @</t>
  </si>
  <si>
    <t>Lance de cavalier, lourde @</t>
  </si>
  <si>
    <t>Lance de cavalier, moyenne @</t>
  </si>
  <si>
    <t>Lance de fantassin (en pierre) @</t>
  </si>
  <si>
    <t>Lance de fantassin @</t>
  </si>
  <si>
    <t>Lance de joute @</t>
  </si>
  <si>
    <t>Lance de Vol</t>
  </si>
  <si>
    <t>Lance-pierre</t>
  </si>
  <si>
    <t>Lasso</t>
  </si>
  <si>
    <t>Manriki-gusari</t>
  </si>
  <si>
    <t>Marteau de guerre</t>
  </si>
  <si>
    <t>Marteau de lucerne#</t>
  </si>
  <si>
    <t>Masse de cavalier</t>
  </si>
  <si>
    <t>Masse de fantassin</t>
  </si>
  <si>
    <t>Masse de Piquedos (Sauriale)</t>
  </si>
  <si>
    <t>Masse de semi-géant</t>
  </si>
  <si>
    <t>Naginata</t>
  </si>
  <si>
    <t>Nunchaku</t>
  </si>
  <si>
    <t>Pertuisane#</t>
  </si>
  <si>
    <t>Pierre (pour fronde)</t>
  </si>
  <si>
    <t>Pique#</t>
  </si>
  <si>
    <t>Rapière</t>
  </si>
  <si>
    <t>Sabre</t>
  </si>
  <si>
    <t>Sabre d'abordage</t>
  </si>
  <si>
    <t>Sai</t>
  </si>
  <si>
    <t>Sarbacane</t>
  </si>
  <si>
    <t>Serpe-Guisarme</t>
  </si>
  <si>
    <t>Shuriken</t>
  </si>
  <si>
    <t>Spetum#</t>
  </si>
  <si>
    <t>Stylet</t>
  </si>
  <si>
    <t>Taille-pieds</t>
  </si>
  <si>
    <t>Tetsubo</t>
  </si>
  <si>
    <t>Trident</t>
  </si>
  <si>
    <t>Vouge</t>
  </si>
  <si>
    <t>Vouge-Guisarme</t>
  </si>
  <si>
    <t>Wakizashi</t>
  </si>
  <si>
    <t>Groupes Restreints</t>
  </si>
  <si>
    <t>compétence</t>
  </si>
  <si>
    <t>Groupes Larges</t>
  </si>
  <si>
    <t>Talent Natif?</t>
  </si>
  <si>
    <t>profane</t>
  </si>
  <si>
    <t>Coût Échec 2.5</t>
  </si>
  <si>
    <t>5+</t>
  </si>
  <si>
    <t>3+</t>
  </si>
  <si>
    <t>var</t>
  </si>
  <si>
    <t>rnd</t>
  </si>
  <si>
    <t>9+</t>
  </si>
  <si>
    <t>[40/80]</t>
  </si>
  <si>
    <t>[20/40]</t>
  </si>
  <si>
    <t>10/jour</t>
  </si>
  <si>
    <t>4+</t>
  </si>
  <si>
    <t>2+</t>
  </si>
  <si>
    <t>6+</t>
  </si>
  <si>
    <t>6/rnd</t>
  </si>
  <si>
    <t>cible</t>
  </si>
  <si>
    <t>6/tour</t>
  </si>
  <si>
    <t>5+/tour</t>
  </si>
  <si>
    <t>7+</t>
  </si>
  <si>
    <t>6/heure</t>
  </si>
  <si>
    <t>5/heure</t>
  </si>
  <si>
    <t>12/heure</t>
  </si>
  <si>
    <t>8+</t>
  </si>
  <si>
    <t>1+</t>
  </si>
  <si>
    <t>10+</t>
  </si>
  <si>
    <t>2/heure</t>
  </si>
  <si>
    <t>1/40km</t>
  </si>
  <si>
    <t>11/heure</t>
  </si>
  <si>
    <t>Coût 2.5 (talent natif)</t>
  </si>
  <si>
    <t>nombre de Classes</t>
  </si>
  <si>
    <t>voir ici →</t>
  </si>
  <si>
    <t>Découverte du talent psionique (niv)</t>
  </si>
  <si>
    <t>Classe 1</t>
  </si>
  <si>
    <t>Classe 2</t>
  </si>
  <si>
    <t>Classe 3</t>
  </si>
  <si>
    <t>Vrai Barde</t>
  </si>
  <si>
    <t>Aède</t>
  </si>
  <si>
    <t>Cerveau</t>
  </si>
  <si>
    <t>Charlatan</t>
  </si>
  <si>
    <t>Galant</t>
  </si>
  <si>
    <t>Héraut</t>
  </si>
  <si>
    <t>Histrion</t>
  </si>
  <si>
    <t>Jongleur</t>
  </si>
  <si>
    <t>Maître-lames</t>
  </si>
  <si>
    <t>Rhapsode</t>
  </si>
  <si>
    <t>Romanichel</t>
  </si>
  <si>
    <t>Scalde</t>
  </si>
  <si>
    <t>Ami des bêtes</t>
  </si>
  <si>
    <t>Changeur de forme</t>
  </si>
  <si>
    <t>Conseiller</t>
  </si>
  <si>
    <t>Druide du village</t>
  </si>
  <si>
    <t>Druide déchu</t>
  </si>
  <si>
    <t>Druide totématique</t>
  </si>
  <si>
    <t>Essaimeur</t>
  </si>
  <si>
    <t>Naturaliste</t>
  </si>
  <si>
    <t>Pacifiste</t>
  </si>
  <si>
    <t>Protecteur</t>
  </si>
  <si>
    <t>Redresseur de torts</t>
  </si>
  <si>
    <t>Vagabond</t>
  </si>
  <si>
    <t>Barbaresque</t>
  </si>
  <si>
    <t>Berserker</t>
  </si>
  <si>
    <t>Chevaucheur de bête</t>
  </si>
  <si>
    <t>Combattant Noble</t>
  </si>
  <si>
    <t>Héro local</t>
  </si>
  <si>
    <t>Pirate/Hors-la-loi</t>
  </si>
  <si>
    <t>Samouraï</t>
  </si>
  <si>
    <t>8h</t>
  </si>
  <si>
    <t>3rd+1rd/niv</t>
  </si>
  <si>
    <t>4rd+1rd/2niv</t>
  </si>
  <si>
    <t>3 Tours</t>
  </si>
  <si>
    <t>le Cantique</t>
  </si>
  <si>
    <t>1j+1j/niv</t>
  </si>
  <si>
    <t>1rd+1rd/niv</t>
  </si>
  <si>
    <t>Le prêtre</t>
  </si>
  <si>
    <t>2d4 baies fraîches</t>
  </si>
  <si>
    <t>1personne/mammifère</t>
  </si>
  <si>
    <t>1 créature ou objet</t>
  </si>
  <si>
    <t>1 objet long (3m max)</t>
  </si>
  <si>
    <t>1 créature/round</t>
  </si>
  <si>
    <t>Chemin de 3m</t>
  </si>
  <si>
    <t>Lame de 1m de long</t>
  </si>
  <si>
    <t>1 animal (rayon 10m)</t>
  </si>
  <si>
    <t>Objet touché</t>
  </si>
  <si>
    <t>Calculateur de TAC0</t>
  </si>
  <si>
    <t>CA</t>
  </si>
  <si>
    <t>TAC0</t>
  </si>
  <si>
    <t># pour Toucher</t>
  </si>
  <si>
    <t>CA Touchée</t>
  </si>
  <si>
    <t>Bonus</t>
  </si>
  <si>
    <t>Dégâts (P-M / G)</t>
  </si>
  <si>
    <t>Ajust Magie</t>
  </si>
  <si>
    <t>Autres</t>
  </si>
  <si>
    <t>Sauve.</t>
  </si>
  <si>
    <t>Ajustement au Touché</t>
  </si>
  <si>
    <t>Non Compétent</t>
  </si>
  <si>
    <t>Spécialiste</t>
  </si>
  <si>
    <t>Maîtrise</t>
  </si>
  <si>
    <t>Combattant</t>
  </si>
  <si>
    <t>Class/niv</t>
  </si>
  <si>
    <t>BASE TAC0</t>
  </si>
  <si>
    <t>Final</t>
  </si>
  <si>
    <t>Remplir Automatiquement?</t>
  </si>
  <si>
    <t>Bourse</t>
  </si>
  <si>
    <t>Poids</t>
  </si>
  <si>
    <t>Système de mesure</t>
  </si>
  <si>
    <t>Nbr.</t>
  </si>
  <si>
    <t>Poids des pièces d'or</t>
  </si>
  <si>
    <t>Pièces</t>
  </si>
  <si>
    <t>Ratio:PO</t>
  </si>
  <si>
    <t>100:1</t>
  </si>
  <si>
    <t>10:1</t>
  </si>
  <si>
    <t>2:1</t>
  </si>
  <si>
    <t>1:1</t>
  </si>
  <si>
    <t>1:5</t>
  </si>
  <si>
    <t>Objets Portés</t>
  </si>
  <si>
    <t>Tête :</t>
  </si>
  <si>
    <t>Cou :</t>
  </si>
  <si>
    <t>Torse :</t>
  </si>
  <si>
    <t>Corps :</t>
  </si>
  <si>
    <t>Taille :</t>
  </si>
  <si>
    <t>Dos :</t>
  </si>
  <si>
    <t>Bras :</t>
  </si>
  <si>
    <t>Mains :</t>
  </si>
  <si>
    <t>Doigt 1 :</t>
  </si>
  <si>
    <t>Doigt 2 :</t>
  </si>
  <si>
    <t>Pieds :</t>
  </si>
  <si>
    <t>Sac à Dos</t>
  </si>
  <si>
    <t>Compagnons d'armes/Animaux</t>
  </si>
  <si>
    <t>Race/Classe</t>
  </si>
  <si>
    <t>DV/Niv</t>
  </si>
  <si>
    <t>#att</t>
  </si>
  <si>
    <t>Dégâts/Effets</t>
  </si>
  <si>
    <t>PV</t>
  </si>
  <si>
    <t>Talent</t>
  </si>
  <si>
    <t>Notes:</t>
  </si>
  <si>
    <t>Historique</t>
  </si>
  <si>
    <t>Gemmes:</t>
  </si>
  <si>
    <t>Vivres</t>
  </si>
  <si>
    <t>Eaux:</t>
  </si>
  <si>
    <t>Vins:</t>
  </si>
  <si>
    <t>Rations:</t>
  </si>
  <si>
    <t>Nourriture:</t>
  </si>
  <si>
    <t>Capacités Spéciales</t>
  </si>
  <si>
    <t>Niveau Classe 1</t>
  </si>
  <si>
    <t>Niveau Classe 2</t>
  </si>
  <si>
    <t>Niveau Classe 3</t>
  </si>
  <si>
    <t>Niveaux</t>
  </si>
  <si>
    <t>Dés de Vie</t>
  </si>
  <si>
    <t>Points de Vie</t>
  </si>
  <si>
    <t>PV Actuels/Blessures</t>
  </si>
  <si>
    <t>PV Totaux</t>
  </si>
  <si>
    <t>Barde de la Monture</t>
  </si>
  <si>
    <t>Encombrement</t>
  </si>
  <si>
    <t>Vitesse de Base</t>
  </si>
  <si>
    <t>Léger</t>
  </si>
  <si>
    <t>Modéré</t>
  </si>
  <si>
    <t>Important</t>
  </si>
  <si>
    <t>Critique</t>
  </si>
  <si>
    <t>Poids Total Transporté</t>
  </si>
  <si>
    <t>+8</t>
  </si>
  <si>
    <t>+10</t>
  </si>
  <si>
    <t>+12</t>
  </si>
  <si>
    <t>+14</t>
  </si>
  <si>
    <t>+16</t>
  </si>
  <si>
    <t>+18</t>
  </si>
  <si>
    <t>+20</t>
  </si>
  <si>
    <t>+9</t>
  </si>
  <si>
    <t>+11</t>
  </si>
  <si>
    <t>+13</t>
  </si>
  <si>
    <t>35%</t>
  </si>
  <si>
    <t>40%</t>
  </si>
  <si>
    <t>45%</t>
  </si>
  <si>
    <t>50%</t>
  </si>
  <si>
    <t>55%</t>
  </si>
  <si>
    <t>60%</t>
  </si>
  <si>
    <t>65%</t>
  </si>
  <si>
    <t>70%</t>
  </si>
  <si>
    <t>75%</t>
  </si>
  <si>
    <t>85%</t>
  </si>
  <si>
    <t>95%</t>
  </si>
  <si>
    <t>96%</t>
  </si>
  <si>
    <t>97%</t>
  </si>
  <si>
    <t>98%</t>
  </si>
  <si>
    <t>99%</t>
  </si>
  <si>
    <t>100%</t>
  </si>
  <si>
    <t>25%</t>
  </si>
  <si>
    <t>30%</t>
  </si>
  <si>
    <t>80%</t>
  </si>
  <si>
    <t>88%</t>
  </si>
  <si>
    <t>90%</t>
  </si>
  <si>
    <t>92%</t>
  </si>
  <si>
    <t>94%</t>
  </si>
  <si>
    <t>Ajustement au Réflexe</t>
  </si>
  <si>
    <t>Bonus CON</t>
  </si>
  <si>
    <t>Expérience</t>
  </si>
  <si>
    <t>PX</t>
  </si>
  <si>
    <t>Prochain niveau</t>
  </si>
  <si>
    <t>Magie</t>
  </si>
  <si>
    <t>Classe d'Armure</t>
  </si>
  <si>
    <t>Capacités Raciales</t>
  </si>
  <si>
    <t>Liste d'armures</t>
  </si>
  <si>
    <t>Aucune</t>
  </si>
  <si>
    <t>Armure de cuir</t>
  </si>
  <si>
    <t>Armure Matelassée</t>
  </si>
  <si>
    <t>Armure de cuir cloutée</t>
  </si>
  <si>
    <t>Armure Annelée</t>
  </si>
  <si>
    <t>Brigandine</t>
  </si>
  <si>
    <t>Armure d'Écailles</t>
  </si>
  <si>
    <t>Cotte de Maille</t>
  </si>
  <si>
    <t>Armure Feuilleté</t>
  </si>
  <si>
    <t>Armure à Bandes</t>
  </si>
  <si>
    <t>Armure de Plates en Bronze</t>
  </si>
  <si>
    <t>Armure de Plate de Bataille</t>
  </si>
  <si>
    <t>Armure de Plate Complète</t>
  </si>
  <si>
    <t>Dex</t>
  </si>
  <si>
    <t>Bonus magique</t>
  </si>
  <si>
    <t>Anneau 1</t>
  </si>
  <si>
    <t>Anneau 2</t>
  </si>
  <si>
    <t>Boucliers/ Bracers</t>
  </si>
  <si>
    <t>Armure portée</t>
  </si>
  <si>
    <t>Cape 1</t>
  </si>
  <si>
    <t>Cape 2</t>
  </si>
  <si>
    <t>Amulette 1</t>
  </si>
  <si>
    <t>Amulette 2</t>
  </si>
  <si>
    <t>Autre 1</t>
  </si>
  <si>
    <t>Autre 2</t>
  </si>
  <si>
    <t>CA Surpris</t>
  </si>
  <si>
    <t>CA sans bouclier</t>
  </si>
  <si>
    <t>Bracelets</t>
  </si>
  <si>
    <t>CA base</t>
  </si>
  <si>
    <t>Compétent</t>
  </si>
  <si>
    <t>Expert</t>
  </si>
  <si>
    <t>Maître</t>
  </si>
  <si>
    <t>Grand Maître</t>
  </si>
  <si>
    <t>Compétence martiale coût</t>
  </si>
  <si>
    <t>coût</t>
  </si>
  <si>
    <t>jello</t>
  </si>
  <si>
    <t>Compétences Moteur</t>
  </si>
  <si>
    <t>aucune</t>
  </si>
  <si>
    <t>NPC</t>
  </si>
  <si>
    <t>LEVEL 1+</t>
  </si>
  <si>
    <t>Base+niveau</t>
  </si>
  <si>
    <t>160m</t>
  </si>
  <si>
    <t>30m/niv</t>
  </si>
  <si>
    <t>perm. → décl.</t>
  </si>
  <si>
    <t>3d4t+1t/niv</t>
  </si>
  <si>
    <t>8rnd+1d8rnd</t>
  </si>
  <si>
    <t>perm. → déch.</t>
  </si>
  <si>
    <t>1t+1t/niv</t>
  </si>
  <si>
    <t>3rounds</t>
  </si>
  <si>
    <t>Rayon de 120m</t>
  </si>
  <si>
    <t>1d4 perso. dans 7m³</t>
  </si>
  <si>
    <t>10m³/niveau</t>
  </si>
  <si>
    <t>30dm³/niveau</t>
  </si>
  <si>
    <t>1m³/niveau</t>
  </si>
  <si>
    <t>2m²/niv</t>
  </si>
  <si>
    <t>45m²+10m²/niveau</t>
  </si>
  <si>
    <t>20m²+5m²/niv</t>
  </si>
  <si>
    <t>13m³+3m³/niveau</t>
  </si>
  <si>
    <t>60dm³/niveau</t>
  </si>
  <si>
    <t>3m²</t>
  </si>
  <si>
    <t>10m²</t>
  </si>
  <si>
    <t>13m³, 1 créature/niv</t>
  </si>
  <si>
    <t>10m³</t>
  </si>
  <si>
    <t>7m³+3m³/niv</t>
  </si>
  <si>
    <t>1-4créature dans 13m³</t>
  </si>
  <si>
    <t>7m³, 1-4 personne</t>
  </si>
  <si>
    <t>≥1 créature dans 10m³</t>
  </si>
  <si>
    <t>7m³</t>
  </si>
  <si>
    <t>150cm³/niv</t>
  </si>
  <si>
    <t>≥1 créature dans 3m³</t>
  </si>
  <si>
    <t>3m³/niveau</t>
  </si>
  <si>
    <t>7m³/niveau</t>
  </si>
  <si>
    <t>15m³</t>
  </si>
  <si>
    <t>Maximum 1m³</t>
  </si>
  <si>
    <t>13m³</t>
  </si>
  <si>
    <t>1 obj, 0,216m³</t>
  </si>
  <si>
    <t>Max 7m³</t>
  </si>
  <si>
    <t>2 x 3m³</t>
  </si>
  <si>
    <t>13m³ maximum</t>
  </si>
  <si>
    <t>20m³ maximum</t>
  </si>
  <si>
    <t>3m³</t>
  </si>
  <si>
    <t>8 animaux dand 7m³</t>
  </si>
  <si>
    <t>60cm³/niveau</t>
  </si>
  <si>
    <t>1 créa/obj de 1m³/niv</t>
  </si>
  <si>
    <t>1m³ maximum</t>
  </si>
  <si>
    <t>2m³/niveau</t>
  </si>
  <si>
    <t>9m²</t>
  </si>
  <si>
    <t>36m²</t>
  </si>
  <si>
    <t>90cm²</t>
  </si>
  <si>
    <t>18cm²</t>
  </si>
  <si>
    <t>1m²</t>
  </si>
  <si>
    <t>3m²/niv x 60cm/niv</t>
  </si>
  <si>
    <t>3m²/niveau</t>
  </si>
  <si>
    <t>9d4km²</t>
  </si>
  <si>
    <t>1m²/niv</t>
  </si>
  <si>
    <t>30m²/niveau</t>
  </si>
  <si>
    <t>1.5m²/niv ou spécial</t>
  </si>
  <si>
    <t>3m²/niveau maximum</t>
  </si>
  <si>
    <t>3m²x1,50m/niveau</t>
  </si>
  <si>
    <t>max 9dm²</t>
  </si>
  <si>
    <t>1m²/niv, rayon de 13m</t>
  </si>
  <si>
    <t>30dm³/niv sur 3m²</t>
  </si>
  <si>
    <t>3m²/niv</t>
  </si>
  <si>
    <t>9m³ ou 1 objet</t>
  </si>
  <si>
    <t>Globe, 18m de rayon</t>
  </si>
  <si>
    <t>personne touchée</t>
  </si>
  <si>
    <t>Personne touchée</t>
  </si>
  <si>
    <t>Rayon de 18m</t>
  </si>
  <si>
    <t>10-100x une src. de feu</t>
  </si>
  <si>
    <t>Cercle dia.70cm+5/niv</t>
  </si>
  <si>
    <t>1d4 créature dans 7m³</t>
  </si>
  <si>
    <t>1m³+30cm³/niveau</t>
  </si>
  <si>
    <t>1d4 anim. dans 15m³</t>
  </si>
  <si>
    <t>120 m</t>
  </si>
  <si>
    <t>1 tour/niveau</t>
  </si>
  <si>
    <t>spéciale</t>
  </si>
  <si>
    <t>10 m</t>
  </si>
  <si>
    <t>1 round</t>
  </si>
  <si>
    <t>toucher</t>
  </si>
  <si>
    <t>créature touchée</t>
  </si>
  <si>
    <t>100 m/niv</t>
  </si>
  <si>
    <t>1 round/niveau</t>
  </si>
  <si>
    <t>2 heures</t>
  </si>
  <si>
    <t>30 m</t>
  </si>
  <si>
    <t>2 rounds/niveau</t>
  </si>
  <si>
    <t>0 </t>
  </si>
  <si>
    <t>80 m</t>
  </si>
  <si>
    <t>permanente</t>
  </si>
  <si>
    <t>20 m</t>
  </si>
  <si>
    <t>1 à 6 insectes</t>
  </si>
  <si>
    <t>rayon de 9 m</t>
  </si>
  <si>
    <t>le prêtre</t>
  </si>
  <si>
    <t>40 m</t>
  </si>
  <si>
    <t>4t+1t/niv</t>
  </si>
  <si>
    <t>1d4b+1/niv, dans 3m³</t>
  </si>
  <si>
    <t>Bâtons en Serpents</t>
  </si>
  <si>
    <t>Rayon de 3 m</t>
  </si>
  <si>
    <t>12m²/niv</t>
  </si>
  <si>
    <t>Rayon de 9 m</t>
  </si>
  <si>
    <t>Créa. Tou. ou 3m³/2niv</t>
  </si>
  <si>
    <t>3,5m²</t>
  </si>
  <si>
    <t>1 heure</t>
  </si>
  <si>
    <t>créature touchée (spéciale)</t>
  </si>
  <si>
    <t>60 m</t>
  </si>
  <si>
    <t>instantanée</t>
  </si>
  <si>
    <t>colonne de 5 pieds de rayon et 30 pieds de haut</t>
  </si>
  <si>
    <t>rayon de 13 m/niveau</t>
  </si>
  <si>
    <t>jusqu'à accomplissement</t>
  </si>
  <si>
    <t>maximum de 8 animaux dans une zone de 20 pieds de côté</t>
  </si>
  <si>
    <t>nuage de 180' de diamètre et 60' de haut</t>
  </si>
  <si>
    <t>1 heure + 1 tour/niveau</t>
  </si>
  <si>
    <t>3d4 tours+ 1tour/niveau</t>
  </si>
  <si>
    <t>carré de 3 m de côté par niveau, 1 épine par 30 cm de côté</t>
  </si>
  <si>
    <t>hémisphère de 4m50 de diamètre</t>
  </si>
  <si>
    <t>sphère de 1m50 de rayon (+ spéciale)</t>
  </si>
  <si>
    <t>160 m</t>
  </si>
  <si>
    <t>cube de 6 m d'arête/niveau</t>
  </si>
  <si>
    <t>1 pied cubique/niveau</t>
  </si>
  <si>
    <t>3 rounds/niveau</t>
  </si>
  <si>
    <t>1 jour/niveau</t>
  </si>
  <si>
    <t>1 chêne</t>
  </si>
  <si>
    <t>100 m/niveau</t>
  </si>
  <si>
    <t>hémisphère de 20' de diamètre</t>
  </si>
  <si>
    <t>1 individu/niveau</t>
  </si>
  <si>
    <t>un cube de 18 m d' arête/niveau</t>
  </si>
  <si>
    <t>le lanceur</t>
  </si>
  <si>
    <t>un cube de 3 m d'arête/niveau</t>
  </si>
  <si>
    <t>1 pied cubique de pierre</t>
  </si>
  <si>
    <t>chemin de 36 m de large, 6 m de long/niveau</t>
  </si>
  <si>
    <t>20 m/niveau</t>
  </si>
  <si>
    <t>1 m cubique/niveau</t>
  </si>
  <si>
    <t>60 décimètres cubiques/niveau</t>
  </si>
  <si>
    <t>1 jour</t>
  </si>
  <si>
    <t>le bâton du lanceur</t>
  </si>
  <si>
    <t>12 heure</t>
  </si>
  <si>
    <t>ld4 créatures dans un carré de 40' x 40'</t>
  </si>
  <si>
    <t>4d12 heures</t>
  </si>
  <si>
    <t>9d4 kilomètres carrés</t>
  </si>
  <si>
    <t>4 rounds/niveau</t>
  </si>
  <si>
    <t>1/2 heure</t>
  </si>
  <si>
    <t>10 m/niv</t>
  </si>
  <si>
    <t>1 + 1d4 rounds</t>
  </si>
  <si>
    <t>sphére de 1m50 de rayon</t>
  </si>
  <si>
    <t>3 rounds</t>
  </si>
  <si>
    <t>diamètre de 1m50/niveau</t>
  </si>
  <si>
    <t>2 cubes de 3 m d'arête/niveau, minimum 16 cubes de 3 m de côté.</t>
  </si>
  <si>
    <t>1 objet métallique</t>
  </si>
  <si>
    <t>1 heure/niveau</t>
  </si>
  <si>
    <t>Rayon de 15m</t>
  </si>
  <si>
    <t>60m/niv</t>
  </si>
  <si>
    <t>60m + 10m/niveau</t>
  </si>
  <si>
    <t>80 métres</t>
  </si>
  <si>
    <t>5 rounds + 1/niveau</t>
  </si>
  <si>
    <t>une créature, un objet, ou un carré de 3 m de côté</t>
  </si>
  <si>
    <t>cube de 1,5 m d'arête</t>
  </si>
  <si>
    <t>cube de 3 m d'arête/niveau</t>
  </si>
  <si>
    <t>2d10 rounds</t>
  </si>
  <si>
    <t>1 objet ou créature</t>
  </si>
  <si>
    <t>le lanceur de sorts</t>
  </si>
  <si>
    <t>240 m</t>
  </si>
  <si>
    <t>1 à 200 individus</t>
  </si>
  <si>
    <t>2 tours</t>
  </si>
  <si>
    <t>5 m/niv</t>
  </si>
  <si>
    <t>1 page/niveau</t>
  </si>
  <si>
    <t>Cadre de campagne</t>
  </si>
  <si>
    <t>Autre/Maison</t>
  </si>
  <si>
    <t>Demi-Elfe</t>
  </si>
  <si>
    <t>Métrique</t>
  </si>
  <si>
    <t>Psioniques 2.0</t>
  </si>
  <si>
    <t>Psioniques 2.5</t>
  </si>
  <si>
    <t>Talents Natifs</t>
  </si>
  <si>
    <t>Test</t>
  </si>
  <si>
    <t>Psioniques</t>
  </si>
  <si>
    <t>Psioniques?</t>
  </si>
  <si>
    <t>Personnage</t>
  </si>
  <si>
    <t>PFP?</t>
  </si>
  <si>
    <t>Tableaux de conversion monétaire</t>
  </si>
  <si>
    <t>AD&amp;D</t>
  </si>
  <si>
    <t>Aventures Orientales</t>
  </si>
  <si>
    <t>DragonLance</t>
  </si>
  <si>
    <t>TES:</t>
  </si>
  <si>
    <t>Ch'ien</t>
  </si>
  <si>
    <t>Ch'ao</t>
  </si>
  <si>
    <t>Tael</t>
  </si>
  <si>
    <t>Yuan</t>
  </si>
  <si>
    <t>Fen</t>
  </si>
  <si>
    <t>PF:</t>
  </si>
  <si>
    <t>PAc:</t>
  </si>
  <si>
    <t>Neutre</t>
  </si>
  <si>
    <t>Dégats</t>
  </si>
  <si>
    <t>Charge Max.</t>
  </si>
  <si>
    <t>B&amp;H</t>
  </si>
  <si>
    <t>END</t>
  </si>
  <si>
    <t>PUI</t>
  </si>
  <si>
    <t>Balance Caractéristiques</t>
  </si>
  <si>
    <t>Endurance +1</t>
  </si>
  <si>
    <t>Puissance +1</t>
  </si>
  <si>
    <t>Endurance +2</t>
  </si>
  <si>
    <t>Puissance +2</t>
  </si>
  <si>
    <t>PRÉ</t>
  </si>
  <si>
    <t>ÉQU</t>
  </si>
  <si>
    <t>RÉS</t>
  </si>
  <si>
    <t>VIG</t>
  </si>
  <si>
    <t>Régén.</t>
  </si>
  <si>
    <t>Poison</t>
  </si>
  <si>
    <t>Résurrection</t>
  </si>
  <si>
    <t>Guerrier?</t>
  </si>
  <si>
    <t>ÉRU</t>
  </si>
  <si>
    <t>% d'Apprendre</t>
  </si>
  <si>
    <t>VOL</t>
  </si>
  <si>
    <t>Def. Vs Magie</t>
  </si>
  <si>
    <t>Immunité aux sorts</t>
  </si>
  <si>
    <t>1×1</t>
  </si>
  <si>
    <t>2×1</t>
  </si>
  <si>
    <t>2×1; 1×2</t>
  </si>
  <si>
    <t>2×1; 2×2</t>
  </si>
  <si>
    <t>2×1; 2×2; 1×3</t>
  </si>
  <si>
    <t>2×1; 2×2; 1×3; 1×4</t>
  </si>
  <si>
    <t>3×1; 2×2; 1×3; 2×4</t>
  </si>
  <si>
    <t>3×1; 3×2; 1×3; 3×4</t>
  </si>
  <si>
    <t>3×1; 3×2; 2×3; 3×4; 1×5</t>
  </si>
  <si>
    <t>3×1; 3×2; 2×3; 4×4; 2×5</t>
  </si>
  <si>
    <t>3×1; 3×2; 2×3; 4×4; 4×5</t>
  </si>
  <si>
    <t>3×1; 3×2; 2×3; 4×4; 4×5; 2x6</t>
  </si>
  <si>
    <t>3×1; 3×2; 2×3; 4×4; 4×5; 3x6; 1×7</t>
  </si>
  <si>
    <t>Voir MdJ</t>
  </si>
  <si>
    <t>MAG</t>
  </si>
  <si>
    <t>Poids Bourse</t>
  </si>
  <si>
    <t>Poids Sac-à-Dos</t>
  </si>
  <si>
    <t xml:space="preserve"> </t>
  </si>
  <si>
    <t>Armure de Cuir</t>
  </si>
  <si>
    <t>Valid_Classe</t>
  </si>
  <si>
    <t>Ninja</t>
  </si>
  <si>
    <t>Shaman</t>
  </si>
  <si>
    <t>Inconnu</t>
  </si>
  <si>
    <t>7</t>
  </si>
  <si>
    <t>4</t>
  </si>
  <si>
    <t>5</t>
  </si>
  <si>
    <t>8</t>
  </si>
  <si>
    <t>CA Nat</t>
  </si>
  <si>
    <t>Goliath (Athasien)</t>
  </si>
  <si>
    <t>Les Oroboros</t>
  </si>
  <si>
    <t>Les Djaëzzins</t>
  </si>
  <si>
    <t>Casus Belli (Djarabân)</t>
  </si>
  <si>
    <t>Les patriarches</t>
  </si>
  <si>
    <t>Les prêtres du dieu Airain</t>
  </si>
  <si>
    <t>L'ordre des chevaliers d'Airain</t>
  </si>
  <si>
    <t>Les Skilkyss : Les hommes-dragons bleus</t>
  </si>
  <si>
    <t>Les Nains kâs</t>
  </si>
  <si>
    <t>Casus Belli (Rhadjabán)</t>
  </si>
  <si>
    <t>The Alliance of Kahn Shi'air</t>
  </si>
  <si>
    <t>The Alliance</t>
  </si>
  <si>
    <t>The Army of Set the Undying</t>
  </si>
  <si>
    <t>The Betrothed</t>
  </si>
  <si>
    <t>The Black Flame</t>
  </si>
  <si>
    <t>The Brotherhood of Alchamæ</t>
  </si>
  <si>
    <t>The Brotherhood of the Azure Robes</t>
  </si>
  <si>
    <t>The Circle of Five</t>
  </si>
  <si>
    <t>The Circle of Seven</t>
  </si>
  <si>
    <t>The Circle of Thirteen</t>
  </si>
  <si>
    <t>The Community of Thoth</t>
  </si>
  <si>
    <t>The Defiance</t>
  </si>
  <si>
    <t>The Divine Madness</t>
  </si>
  <si>
    <t>Eleusinian Consortium</t>
  </si>
  <si>
    <t>The Enlightenment</t>
  </si>
  <si>
    <t>The Eye</t>
  </si>
  <si>
    <t>The Fearsome Army of Madrid</t>
  </si>
  <si>
    <t>The Fellowship of the Crimson Dawn</t>
  </si>
  <si>
    <t>The Followers of the One</t>
  </si>
  <si>
    <t>The Followers of the Way</t>
  </si>
  <si>
    <t>The Fraternity of the Tattered Scroll</t>
  </si>
  <si>
    <t>The Hermetic Order of Mæjik</t>
  </si>
  <si>
    <t>The Hermetic Order of the Radiant Crescent</t>
  </si>
  <si>
    <t>The Interiad</t>
  </si>
  <si>
    <t>The Just and Might Order of Kahl</t>
  </si>
  <si>
    <t>The Keepers of the Left</t>
  </si>
  <si>
    <t>The Knights of Mars the Terrible</t>
  </si>
  <si>
    <t>The Lost Kingdom</t>
  </si>
  <si>
    <t>The Nation of Nine</t>
  </si>
  <si>
    <t>The Order of the Crimson Chalice</t>
  </si>
  <si>
    <t>The Order of the Endless Night</t>
  </si>
  <si>
    <t>The Phoenix</t>
  </si>
  <si>
    <t>The Pilgrims of Radiant Dawn</t>
  </si>
  <si>
    <t>The Pride</t>
  </si>
  <si>
    <t>PRIME</t>
  </si>
  <si>
    <t>The Sisterhood</t>
  </si>
  <si>
    <t>The Six-Fingered Hand</t>
  </si>
  <si>
    <t>The Society of Keepers</t>
  </si>
  <si>
    <t>The Stone</t>
  </si>
  <si>
    <t>The Students of the Reborn Truth</t>
  </si>
  <si>
    <t>The Seven</t>
  </si>
  <si>
    <t>The Sword That Has Been Drawn</t>
  </si>
  <si>
    <t>Those Who Have Seen</t>
  </si>
  <si>
    <t>The Transected Circle</t>
  </si>
  <si>
    <t>The Undying Flame</t>
  </si>
  <si>
    <t>The Unseen Hand</t>
  </si>
  <si>
    <t>The Vistani</t>
  </si>
  <si>
    <t>The Watchers (Die Wächtern)</t>
  </si>
  <si>
    <t>The White Legion</t>
  </si>
  <si>
    <t>The World Spiritual League</t>
  </si>
  <si>
    <t>Zemlak’s Children</t>
  </si>
  <si>
    <t>La Lumière</t>
  </si>
  <si>
    <t>Score+Coût ou niveau</t>
  </si>
  <si>
    <t>Mage/Prêtre</t>
  </si>
  <si>
    <t>Prêtre/psi</t>
  </si>
  <si>
    <t>Mage/Psi</t>
  </si>
  <si>
    <t>Clerc/Mage/Psi</t>
  </si>
  <si>
    <t>mage</t>
  </si>
  <si>
    <t>clerc</t>
  </si>
  <si>
    <t>psi</t>
  </si>
  <si>
    <t>aucun</t>
  </si>
  <si>
    <t>Score et Niveau</t>
  </si>
  <si>
    <t>Score+Coût+Niveau</t>
  </si>
  <si>
    <t>Homme-crabe</t>
  </si>
  <si>
    <t>Torve</t>
  </si>
  <si>
    <t>Homme-scorpion</t>
  </si>
  <si>
    <t>Moisissire (Végépygmée)</t>
  </si>
  <si>
    <t>Tasloï</t>
  </si>
  <si>
    <t>Vodyanoï</t>
  </si>
  <si>
    <t>Yéti</t>
  </si>
</sst>
</file>

<file path=xl/styles.xml><?xml version="1.0" encoding="utf-8"?>
<styleSheet xmlns="http://schemas.openxmlformats.org/spreadsheetml/2006/main">
  <numFmts count="2">
    <numFmt numFmtId="164" formatCode="0&quot;%&quot;"/>
    <numFmt numFmtId="165" formatCode="&quot;$&quot;#,##0_);\(&quot;$&quot;#,##0\)"/>
  </numFmts>
  <fonts count="30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0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sz val="8"/>
      <color indexed="8"/>
      <name val="Times New Roman"/>
      <family val="1"/>
    </font>
    <font>
      <sz val="1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Wingdings 2"/>
      <family val="1"/>
      <charset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FDFE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DF9F9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D7838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0" fillId="0" borderId="0"/>
    <xf numFmtId="0" fontId="29" fillId="0" borderId="0"/>
    <xf numFmtId="3" fontId="29" fillId="0" borderId="0"/>
    <xf numFmtId="165" fontId="29" fillId="0" borderId="0"/>
    <xf numFmtId="14" fontId="29" fillId="0" borderId="0"/>
    <xf numFmtId="2" fontId="29" fillId="0" borderId="0"/>
  </cellStyleXfs>
  <cellXfs count="425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0" fillId="7" borderId="0" xfId="0" applyFill="1" applyAlignment="1">
      <alignment horizontal="right"/>
    </xf>
    <xf numFmtId="0" fontId="0" fillId="0" borderId="1" xfId="0" applyBorder="1"/>
    <xf numFmtId="0" fontId="0" fillId="2" borderId="0" xfId="0" applyFill="1" applyBorder="1"/>
    <xf numFmtId="0" fontId="0" fillId="2" borderId="1" xfId="0" applyFill="1" applyBorder="1" applyAlignment="1">
      <alignment horizontal="center"/>
    </xf>
    <xf numFmtId="0" fontId="0" fillId="6" borderId="0" xfId="0" applyFill="1" applyAlignment="1"/>
    <xf numFmtId="0" fontId="0" fillId="2" borderId="0" xfId="0" applyFill="1" applyBorder="1" applyAlignment="1">
      <alignment horizontal="right"/>
    </xf>
    <xf numFmtId="0" fontId="0" fillId="10" borderId="0" xfId="0" applyFill="1" applyAlignment="1"/>
    <xf numFmtId="0" fontId="3" fillId="0" borderId="0" xfId="0" applyFont="1" applyFill="1" applyAlignment="1"/>
    <xf numFmtId="0" fontId="0" fillId="12" borderId="0" xfId="0" applyFill="1"/>
    <xf numFmtId="0" fontId="0" fillId="14" borderId="0" xfId="0" applyFill="1"/>
    <xf numFmtId="0" fontId="0" fillId="0" borderId="0" xfId="0" applyFill="1" applyBorder="1"/>
    <xf numFmtId="0" fontId="1" fillId="0" borderId="0" xfId="0" applyFont="1" applyFill="1" applyBorder="1" applyAlignment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right"/>
    </xf>
    <xf numFmtId="0" fontId="0" fillId="2" borderId="0" xfId="0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0" xfId="0" applyFill="1"/>
    <xf numFmtId="9" fontId="0" fillId="2" borderId="1" xfId="0" applyNumberFormat="1" applyFill="1" applyBorder="1"/>
    <xf numFmtId="0" fontId="0" fillId="2" borderId="7" xfId="0" applyNumberFormat="1" applyFill="1" applyBorder="1"/>
    <xf numFmtId="0" fontId="0" fillId="0" borderId="0" xfId="0" applyFill="1" applyBorder="1" applyAlignment="1">
      <alignment horizontal="center"/>
    </xf>
    <xf numFmtId="9" fontId="0" fillId="0" borderId="0" xfId="0" applyNumberFormat="1" applyFill="1" applyBorder="1"/>
    <xf numFmtId="0" fontId="4" fillId="11" borderId="1" xfId="0" applyFont="1" applyFill="1" applyBorder="1"/>
    <xf numFmtId="0" fontId="2" fillId="2" borderId="0" xfId="0" applyFont="1" applyFill="1"/>
    <xf numFmtId="0" fontId="2" fillId="9" borderId="0" xfId="0" applyFont="1" applyFill="1"/>
    <xf numFmtId="49" fontId="8" fillId="0" borderId="0" xfId="0" applyNumberFormat="1" applyFont="1" applyAlignment="1">
      <alignment horizontal="center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Border="1" applyAlignment="1">
      <alignment horizontal="left"/>
    </xf>
    <xf numFmtId="49" fontId="9" fillId="0" borderId="0" xfId="0" applyNumberFormat="1" applyFont="1" applyBorder="1" applyAlignment="1">
      <alignment horizontal="left"/>
    </xf>
    <xf numFmtId="0" fontId="9" fillId="0" borderId="0" xfId="1" applyFont="1" applyBorder="1" applyAlignment="1">
      <alignment horizont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Border="1" applyAlignment="1">
      <alignment horizontal="left"/>
    </xf>
    <xf numFmtId="49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left"/>
    </xf>
    <xf numFmtId="49" fontId="9" fillId="0" borderId="0" xfId="0" applyNumberFormat="1" applyFont="1"/>
    <xf numFmtId="49" fontId="9" fillId="0" borderId="0" xfId="0" applyNumberFormat="1" applyFont="1" applyBorder="1" applyAlignment="1">
      <alignment horizontal="center"/>
    </xf>
    <xf numFmtId="0" fontId="9" fillId="0" borderId="0" xfId="1" applyFont="1" applyAlignment="1">
      <alignment horizontal="left"/>
    </xf>
    <xf numFmtId="0" fontId="9" fillId="0" borderId="0" xfId="1" applyFont="1" applyAlignment="1">
      <alignment horizontal="center"/>
    </xf>
    <xf numFmtId="49" fontId="8" fillId="0" borderId="0" xfId="0" applyNumberFormat="1" applyFont="1"/>
    <xf numFmtId="49" fontId="11" fillId="0" borderId="0" xfId="0" applyNumberFormat="1" applyFont="1"/>
    <xf numFmtId="0" fontId="11" fillId="0" borderId="0" xfId="0" applyFont="1"/>
    <xf numFmtId="49" fontId="9" fillId="16" borderId="0" xfId="0" applyNumberFormat="1" applyFont="1" applyFill="1" applyAlignment="1">
      <alignment horizontal="center"/>
    </xf>
    <xf numFmtId="49" fontId="9" fillId="15" borderId="0" xfId="0" applyNumberFormat="1" applyFont="1" applyFill="1" applyAlignment="1">
      <alignment horizontal="center"/>
    </xf>
    <xf numFmtId="49" fontId="9" fillId="16" borderId="0" xfId="0" applyNumberFormat="1" applyFont="1" applyFill="1" applyBorder="1" applyAlignment="1">
      <alignment horizontal="center"/>
    </xf>
    <xf numFmtId="49" fontId="9" fillId="15" borderId="0" xfId="0" applyNumberFormat="1" applyFont="1" applyFill="1" applyBorder="1" applyAlignment="1">
      <alignment horizontal="center"/>
    </xf>
    <xf numFmtId="49" fontId="9" fillId="17" borderId="0" xfId="0" applyNumberFormat="1" applyFont="1" applyFill="1" applyAlignment="1">
      <alignment horizontal="center"/>
    </xf>
    <xf numFmtId="49" fontId="9" fillId="17" borderId="0" xfId="0" applyNumberFormat="1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/>
    </xf>
    <xf numFmtId="49" fontId="12" fillId="18" borderId="0" xfId="0" applyNumberFormat="1" applyFont="1" applyFill="1" applyAlignment="1">
      <alignment horizontal="center"/>
    </xf>
    <xf numFmtId="0" fontId="0" fillId="0" borderId="0" xfId="0" applyNumberFormat="1"/>
    <xf numFmtId="0" fontId="0" fillId="2" borderId="1" xfId="0" applyFill="1" applyBorder="1" applyAlignment="1">
      <alignment horizontal="right"/>
    </xf>
    <xf numFmtId="49" fontId="0" fillId="2" borderId="0" xfId="0" applyNumberFormat="1" applyFill="1" applyAlignment="1">
      <alignment horizontal="right"/>
    </xf>
    <xf numFmtId="49" fontId="0" fillId="9" borderId="0" xfId="0" applyNumberFormat="1" applyFill="1" applyAlignment="1">
      <alignment horizontal="right"/>
    </xf>
    <xf numFmtId="0" fontId="0" fillId="9" borderId="0" xfId="0" applyFill="1" applyAlignment="1">
      <alignment horizontal="right"/>
    </xf>
    <xf numFmtId="49" fontId="0" fillId="10" borderId="0" xfId="0" applyNumberFormat="1" applyFill="1" applyAlignment="1"/>
    <xf numFmtId="0" fontId="0" fillId="2" borderId="0" xfId="0" applyFill="1" applyAlignment="1"/>
    <xf numFmtId="0" fontId="16" fillId="2" borderId="0" xfId="0" applyFont="1" applyFill="1" applyBorder="1"/>
    <xf numFmtId="0" fontId="0" fillId="2" borderId="0" xfId="0" applyFill="1" applyBorder="1" applyAlignment="1"/>
    <xf numFmtId="0" fontId="0" fillId="13" borderId="0" xfId="0" applyFont="1" applyFill="1" applyAlignment="1"/>
    <xf numFmtId="0" fontId="0" fillId="13" borderId="0" xfId="0" applyFill="1" applyAlignment="1"/>
    <xf numFmtId="0" fontId="13" fillId="2" borderId="0" xfId="0" applyFont="1" applyFill="1" applyBorder="1"/>
    <xf numFmtId="0" fontId="0" fillId="2" borderId="1" xfId="0" applyFill="1" applyBorder="1" applyAlignment="1">
      <alignment horizontal="right"/>
    </xf>
    <xf numFmtId="0" fontId="0" fillId="2" borderId="0" xfId="0" applyNumberFormat="1" applyFill="1" applyAlignment="1">
      <alignment horizontal="right"/>
    </xf>
    <xf numFmtId="0" fontId="0" fillId="9" borderId="0" xfId="0" applyNumberFormat="1" applyFill="1" applyAlignment="1">
      <alignment horizontal="right"/>
    </xf>
    <xf numFmtId="0" fontId="0" fillId="2" borderId="1" xfId="0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2" fillId="2" borderId="0" xfId="0" applyFont="1" applyFill="1" applyBorder="1" applyAlignment="1"/>
    <xf numFmtId="0" fontId="2" fillId="2" borderId="0" xfId="0" applyFont="1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0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9" fillId="0" borderId="0" xfId="0" applyFont="1" applyFill="1"/>
    <xf numFmtId="49" fontId="9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center"/>
    </xf>
    <xf numFmtId="49" fontId="9" fillId="0" borderId="0" xfId="0" applyNumberFormat="1" applyFont="1" applyFill="1"/>
    <xf numFmtId="0" fontId="19" fillId="24" borderId="0" xfId="0" applyFont="1" applyFill="1"/>
    <xf numFmtId="0" fontId="4" fillId="24" borderId="0" xfId="0" applyFont="1" applyFill="1"/>
    <xf numFmtId="0" fontId="19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  <xf numFmtId="9" fontId="0" fillId="10" borderId="0" xfId="0" applyNumberFormat="1" applyFill="1"/>
    <xf numFmtId="9" fontId="0" fillId="9" borderId="0" xfId="0" applyNumberFormat="1" applyFill="1"/>
    <xf numFmtId="0" fontId="0" fillId="0" borderId="11" xfId="0" applyBorder="1"/>
    <xf numFmtId="0" fontId="0" fillId="0" borderId="5" xfId="0" applyBorder="1"/>
    <xf numFmtId="0" fontId="0" fillId="0" borderId="19" xfId="0" applyBorder="1"/>
    <xf numFmtId="0" fontId="0" fillId="0" borderId="18" xfId="0" applyBorder="1"/>
    <xf numFmtId="49" fontId="9" fillId="0" borderId="18" xfId="0" applyNumberFormat="1" applyFont="1" applyFill="1" applyBorder="1" applyAlignment="1">
      <alignment horizontal="left"/>
    </xf>
    <xf numFmtId="0" fontId="9" fillId="0" borderId="0" xfId="0" applyNumberFormat="1" applyFont="1" applyBorder="1" applyAlignment="1">
      <alignment horizontal="center"/>
    </xf>
    <xf numFmtId="0" fontId="0" fillId="23" borderId="0" xfId="0" applyFill="1" applyBorder="1"/>
    <xf numFmtId="49" fontId="9" fillId="23" borderId="18" xfId="0" applyNumberFormat="1" applyFont="1" applyFill="1" applyBorder="1"/>
    <xf numFmtId="49" fontId="9" fillId="23" borderId="18" xfId="0" applyNumberFormat="1" applyFont="1" applyFill="1" applyBorder="1" applyAlignment="1">
      <alignment horizontal="left"/>
    </xf>
    <xf numFmtId="0" fontId="9" fillId="0" borderId="18" xfId="0" applyFont="1" applyFill="1" applyBorder="1"/>
    <xf numFmtId="0" fontId="9" fillId="19" borderId="18" xfId="0" applyFont="1" applyFill="1" applyBorder="1"/>
    <xf numFmtId="0" fontId="0" fillId="19" borderId="0" xfId="0" applyFill="1" applyBorder="1"/>
    <xf numFmtId="49" fontId="12" fillId="18" borderId="0" xfId="0" applyNumberFormat="1" applyFont="1" applyFill="1" applyBorder="1" applyAlignment="1">
      <alignment horizontal="center"/>
    </xf>
    <xf numFmtId="0" fontId="9" fillId="23" borderId="18" xfId="0" applyFont="1" applyFill="1" applyBorder="1"/>
    <xf numFmtId="49" fontId="9" fillId="19" borderId="18" xfId="0" applyNumberFormat="1" applyFont="1" applyFill="1" applyBorder="1" applyAlignment="1">
      <alignment horizontal="left"/>
    </xf>
    <xf numFmtId="49" fontId="9" fillId="23" borderId="9" xfId="0" applyNumberFormat="1" applyFont="1" applyFill="1" applyBorder="1" applyAlignment="1">
      <alignment horizontal="left"/>
    </xf>
    <xf numFmtId="0" fontId="0" fillId="0" borderId="8" xfId="0" applyFill="1" applyBorder="1"/>
    <xf numFmtId="49" fontId="9" fillId="16" borderId="8" xfId="0" applyNumberFormat="1" applyFont="1" applyFill="1" applyBorder="1" applyAlignment="1">
      <alignment horizontal="center"/>
    </xf>
    <xf numFmtId="49" fontId="9" fillId="0" borderId="8" xfId="0" applyNumberFormat="1" applyFont="1" applyBorder="1" applyAlignment="1">
      <alignment horizontal="center"/>
    </xf>
    <xf numFmtId="49" fontId="9" fillId="15" borderId="8" xfId="0" applyNumberFormat="1" applyFont="1" applyFill="1" applyBorder="1" applyAlignment="1">
      <alignment horizontal="center"/>
    </xf>
    <xf numFmtId="9" fontId="0" fillId="0" borderId="0" xfId="0" applyNumberFormat="1" applyBorder="1"/>
    <xf numFmtId="9" fontId="0" fillId="0" borderId="20" xfId="0" applyNumberFormat="1" applyBorder="1"/>
    <xf numFmtId="9" fontId="0" fillId="0" borderId="8" xfId="0" applyNumberFormat="1" applyBorder="1"/>
    <xf numFmtId="9" fontId="0" fillId="0" borderId="10" xfId="0" applyNumberFormat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/>
    <xf numFmtId="0" fontId="0" fillId="0" borderId="0" xfId="0" applyAlignment="1">
      <alignment horizontal="center"/>
    </xf>
    <xf numFmtId="0" fontId="0" fillId="28" borderId="0" xfId="0" applyFill="1" applyAlignment="1"/>
    <xf numFmtId="0" fontId="0" fillId="29" borderId="0" xfId="0" applyFill="1" applyAlignment="1"/>
    <xf numFmtId="0" fontId="0" fillId="26" borderId="0" xfId="0" applyFill="1" applyBorder="1" applyAlignment="1">
      <alignment wrapText="1"/>
    </xf>
    <xf numFmtId="0" fontId="0" fillId="27" borderId="0" xfId="0" applyFill="1" applyBorder="1" applyAlignment="1"/>
    <xf numFmtId="0" fontId="4" fillId="0" borderId="0" xfId="0" applyFont="1" applyFill="1" applyBorder="1" applyAlignment="1"/>
    <xf numFmtId="0" fontId="0" fillId="13" borderId="0" xfId="0" applyFill="1"/>
    <xf numFmtId="0" fontId="0" fillId="12" borderId="0" xfId="0" applyFill="1" applyBorder="1" applyAlignment="1"/>
    <xf numFmtId="0" fontId="0" fillId="0" borderId="0" xfId="0" applyAlignment="1">
      <alignment horizontal="center"/>
    </xf>
    <xf numFmtId="0" fontId="0" fillId="0" borderId="0" xfId="0" applyFill="1" applyBorder="1" applyAlignme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9" fontId="3" fillId="0" borderId="0" xfId="0" applyNumberFormat="1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/>
    <xf numFmtId="0" fontId="0" fillId="0" borderId="0" xfId="0" applyNumberFormat="1" applyAlignment="1">
      <alignment horizontal="center"/>
    </xf>
    <xf numFmtId="0" fontId="0" fillId="0" borderId="0" xfId="0" applyNumberFormat="1" applyAlignment="1"/>
    <xf numFmtId="0" fontId="0" fillId="0" borderId="0" xfId="0" applyNumberFormat="1" applyFill="1"/>
    <xf numFmtId="0" fontId="0" fillId="0" borderId="0" xfId="0" applyNumberFormat="1" applyFont="1"/>
    <xf numFmtId="0" fontId="9" fillId="0" borderId="0" xfId="0" applyFont="1" applyAlignment="1">
      <alignment horizontal="center"/>
    </xf>
    <xf numFmtId="0" fontId="23" fillId="0" borderId="0" xfId="0" applyNumberFormat="1" applyFont="1"/>
    <xf numFmtId="49" fontId="0" fillId="0" borderId="0" xfId="0" applyNumberFormat="1" applyFill="1"/>
    <xf numFmtId="0" fontId="0" fillId="2" borderId="3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3" borderId="0" xfId="0" applyFill="1"/>
    <xf numFmtId="0" fontId="0" fillId="0" borderId="0" xfId="0" applyFill="1" applyAlignment="1">
      <alignment horizontal="center"/>
    </xf>
    <xf numFmtId="0" fontId="0" fillId="23" borderId="0" xfId="0" applyNumberFormat="1" applyFill="1"/>
    <xf numFmtId="0" fontId="0" fillId="0" borderId="0" xfId="0" applyAlignment="1">
      <alignment horizontal="center"/>
    </xf>
    <xf numFmtId="16" fontId="0" fillId="0" borderId="0" xfId="0" applyNumberFormat="1" applyFill="1"/>
    <xf numFmtId="0" fontId="0" fillId="0" borderId="0" xfId="0" applyFill="1" applyAlignmen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right"/>
    </xf>
    <xf numFmtId="0" fontId="0" fillId="0" borderId="1" xfId="0" applyBorder="1"/>
    <xf numFmtId="0" fontId="0" fillId="30" borderId="0" xfId="0" applyFill="1"/>
    <xf numFmtId="0" fontId="2" fillId="31" borderId="0" xfId="0" applyFont="1" applyFill="1"/>
    <xf numFmtId="0" fontId="2" fillId="12" borderId="0" xfId="0" applyFont="1" applyFill="1"/>
    <xf numFmtId="0" fontId="0" fillId="2" borderId="1" xfId="0" applyFill="1" applyBorder="1" applyProtection="1">
      <protection locked="0"/>
    </xf>
    <xf numFmtId="0" fontId="0" fillId="2" borderId="3" xfId="0" applyFill="1" applyBorder="1" applyAlignment="1" applyProtection="1">
      <alignment horizontal="center"/>
      <protection locked="0"/>
    </xf>
    <xf numFmtId="49" fontId="0" fillId="2" borderId="3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 applyNumberFormat="1" applyFill="1" applyAlignment="1"/>
    <xf numFmtId="1" fontId="0" fillId="0" borderId="1" xfId="0" applyNumberFormat="1" applyBorder="1"/>
    <xf numFmtId="0" fontId="0" fillId="0" borderId="1" xfId="0" applyBorder="1"/>
    <xf numFmtId="0" fontId="13" fillId="2" borderId="1" xfId="0" applyFont="1" applyFill="1" applyBorder="1"/>
    <xf numFmtId="0" fontId="4" fillId="11" borderId="2" xfId="0" applyFont="1" applyFill="1" applyBorder="1" applyAlignment="1"/>
    <xf numFmtId="0" fontId="0" fillId="2" borderId="0" xfId="0" applyFill="1" applyBorder="1" applyAlignment="1" applyProtection="1">
      <protection locked="0"/>
    </xf>
    <xf numFmtId="0" fontId="13" fillId="2" borderId="0" xfId="0" applyFont="1" applyFill="1" applyBorder="1" applyAlignment="1" applyProtection="1">
      <protection locked="0"/>
    </xf>
    <xf numFmtId="0" fontId="5" fillId="2" borderId="0" xfId="0" applyFont="1" applyFill="1" applyAlignment="1">
      <alignment vertical="center"/>
    </xf>
    <xf numFmtId="0" fontId="5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0" fillId="2" borderId="7" xfId="0" applyFill="1" applyBorder="1"/>
    <xf numFmtId="0" fontId="16" fillId="2" borderId="2" xfId="0" applyFont="1" applyFill="1" applyBorder="1" applyAlignment="1" applyProtection="1">
      <protection locked="0"/>
    </xf>
    <xf numFmtId="0" fontId="16" fillId="2" borderId="6" xfId="0" applyFont="1" applyFill="1" applyBorder="1" applyAlignment="1" applyProtection="1">
      <protection locked="0"/>
    </xf>
    <xf numFmtId="0" fontId="16" fillId="2" borderId="4" xfId="0" applyFont="1" applyFill="1" applyBorder="1" applyAlignment="1" applyProtection="1">
      <protection locked="0"/>
    </xf>
    <xf numFmtId="0" fontId="16" fillId="2" borderId="0" xfId="0" applyFont="1" applyFill="1" applyBorder="1" applyAlignment="1" applyProtection="1">
      <protection locked="0"/>
    </xf>
    <xf numFmtId="0" fontId="0" fillId="2" borderId="7" xfId="0" applyFill="1" applyBorder="1" applyProtection="1">
      <protection locked="0"/>
    </xf>
    <xf numFmtId="0" fontId="13" fillId="2" borderId="1" xfId="0" applyFont="1" applyFill="1" applyBorder="1" applyAlignment="1"/>
    <xf numFmtId="49" fontId="13" fillId="2" borderId="1" xfId="0" applyNumberFormat="1" applyFont="1" applyFill="1" applyBorder="1" applyAlignment="1"/>
    <xf numFmtId="0" fontId="4" fillId="11" borderId="15" xfId="0" applyFont="1" applyFill="1" applyBorder="1"/>
    <xf numFmtId="0" fontId="0" fillId="3" borderId="1" xfId="0" applyFont="1" applyFill="1" applyBorder="1"/>
    <xf numFmtId="0" fontId="3" fillId="2" borderId="0" xfId="0" applyFont="1" applyFill="1" applyBorder="1"/>
    <xf numFmtId="0" fontId="3" fillId="2" borderId="0" xfId="0" applyFont="1" applyFill="1"/>
    <xf numFmtId="49" fontId="0" fillId="14" borderId="0" xfId="0" applyNumberFormat="1" applyFill="1" applyAlignment="1">
      <alignment horizontal="center"/>
    </xf>
    <xf numFmtId="49" fontId="0" fillId="12" borderId="0" xfId="0" applyNumberFormat="1" applyFill="1" applyAlignment="1">
      <alignment horizontal="center"/>
    </xf>
    <xf numFmtId="49" fontId="0" fillId="8" borderId="0" xfId="0" applyNumberFormat="1" applyFill="1"/>
    <xf numFmtId="49" fontId="0" fillId="7" borderId="0" xfId="0" applyNumberFormat="1" applyFill="1"/>
    <xf numFmtId="49" fontId="0" fillId="2" borderId="0" xfId="0" applyNumberFormat="1" applyFill="1"/>
    <xf numFmtId="49" fontId="0" fillId="9" borderId="0" xfId="0" applyNumberFormat="1" applyFill="1"/>
    <xf numFmtId="9" fontId="0" fillId="2" borderId="0" xfId="0" applyNumberFormat="1" applyFill="1"/>
    <xf numFmtId="0" fontId="0" fillId="0" borderId="1" xfId="0" applyBorder="1"/>
    <xf numFmtId="0" fontId="24" fillId="11" borderId="0" xfId="0" applyFont="1" applyFill="1"/>
    <xf numFmtId="0" fontId="0" fillId="0" borderId="1" xfId="0" applyNumberFormat="1" applyBorder="1"/>
    <xf numFmtId="0" fontId="0" fillId="0" borderId="7" xfId="0" applyFill="1" applyBorder="1"/>
    <xf numFmtId="0" fontId="0" fillId="21" borderId="1" xfId="0" applyFill="1" applyBorder="1"/>
    <xf numFmtId="0" fontId="0" fillId="14" borderId="1" xfId="0" applyFill="1" applyBorder="1"/>
    <xf numFmtId="0" fontId="24" fillId="11" borderId="1" xfId="0" applyFont="1" applyFill="1" applyBorder="1"/>
    <xf numFmtId="0" fontId="24" fillId="11" borderId="3" xfId="0" applyFont="1" applyFill="1" applyBorder="1"/>
    <xf numFmtId="0" fontId="24" fillId="11" borderId="7" xfId="0" applyFont="1" applyFill="1" applyBorder="1"/>
    <xf numFmtId="0" fontId="13" fillId="0" borderId="0" xfId="0" applyFont="1" applyFill="1" applyBorder="1"/>
    <xf numFmtId="0" fontId="13" fillId="0" borderId="0" xfId="0" applyFont="1" applyFill="1" applyBorder="1" applyAlignment="1">
      <alignment vertical="center"/>
    </xf>
    <xf numFmtId="0" fontId="25" fillId="0" borderId="0" xfId="0" applyFont="1" applyFill="1" applyBorder="1" applyAlignment="1" applyProtection="1">
      <protection locked="0"/>
    </xf>
    <xf numFmtId="0" fontId="0" fillId="0" borderId="0" xfId="0" applyNumberFormat="1" applyFill="1" applyBorder="1"/>
    <xf numFmtId="0" fontId="4" fillId="11" borderId="0" xfId="0" applyNumberFormat="1" applyFont="1" applyFill="1" applyBorder="1"/>
    <xf numFmtId="0" fontId="4" fillId="11" borderId="0" xfId="0" applyNumberFormat="1" applyFont="1" applyFill="1"/>
    <xf numFmtId="0" fontId="0" fillId="0" borderId="1" xfId="0" applyNumberFormat="1" applyFill="1" applyBorder="1"/>
    <xf numFmtId="0" fontId="0" fillId="0" borderId="2" xfId="0" applyNumberFormat="1" applyBorder="1"/>
    <xf numFmtId="0" fontId="0" fillId="0" borderId="0" xfId="0" applyAlignment="1">
      <alignment horizontal="center"/>
    </xf>
    <xf numFmtId="0" fontId="0" fillId="2" borderId="1" xfId="0" applyNumberFormat="1" applyFill="1" applyBorder="1"/>
    <xf numFmtId="0" fontId="0" fillId="0" borderId="1" xfId="0" applyBorder="1"/>
    <xf numFmtId="0" fontId="4" fillId="0" borderId="0" xfId="0" applyFont="1" applyFill="1" applyBorder="1" applyAlignment="1">
      <alignment vertical="center"/>
    </xf>
    <xf numFmtId="0" fontId="24" fillId="11" borderId="2" xfId="0" applyFont="1" applyFill="1" applyBorder="1" applyAlignment="1">
      <alignment vertical="center"/>
    </xf>
    <xf numFmtId="0" fontId="4" fillId="11" borderId="1" xfId="0" applyFont="1" applyFill="1" applyBorder="1" applyAlignment="1"/>
    <xf numFmtId="0" fontId="7" fillId="2" borderId="0" xfId="0" applyFont="1" applyFill="1" applyBorder="1" applyAlignment="1">
      <alignment vertical="center" wrapText="1"/>
    </xf>
    <xf numFmtId="0" fontId="16" fillId="2" borderId="14" xfId="0" applyFont="1" applyFill="1" applyBorder="1" applyAlignment="1">
      <alignment horizontal="left" vertical="top"/>
    </xf>
    <xf numFmtId="0" fontId="4" fillId="11" borderId="3" xfId="0" applyFont="1" applyFill="1" applyBorder="1"/>
    <xf numFmtId="0" fontId="0" fillId="0" borderId="7" xfId="0" applyBorder="1"/>
    <xf numFmtId="0" fontId="0" fillId="0" borderId="12" xfId="0" applyBorder="1"/>
    <xf numFmtId="0" fontId="5" fillId="11" borderId="1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164" fontId="0" fillId="2" borderId="0" xfId="0" applyNumberFormat="1" applyFill="1" applyBorder="1" applyAlignment="1"/>
    <xf numFmtId="0" fontId="0" fillId="2" borderId="0" xfId="0" applyFill="1" applyBorder="1" applyAlignment="1">
      <alignment wrapText="1"/>
    </xf>
    <xf numFmtId="0" fontId="0" fillId="2" borderId="1" xfId="0" applyFill="1" applyBorder="1" applyAlignment="1">
      <alignment horizontal="center"/>
    </xf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left"/>
    </xf>
    <xf numFmtId="0" fontId="9" fillId="0" borderId="0" xfId="0" applyNumberFormat="1" applyFont="1" applyFill="1" applyBorder="1" applyAlignment="1">
      <alignment horizontal="center"/>
    </xf>
    <xf numFmtId="0" fontId="9" fillId="23" borderId="0" xfId="0" applyNumberFormat="1" applyFont="1" applyFill="1" applyBorder="1" applyAlignment="1">
      <alignment horizontal="center"/>
    </xf>
    <xf numFmtId="0" fontId="9" fillId="32" borderId="0" xfId="0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0" fontId="4" fillId="11" borderId="1" xfId="0" applyFont="1" applyFill="1" applyBorder="1" applyAlignment="1"/>
    <xf numFmtId="0" fontId="4" fillId="11" borderId="26" xfId="0" applyFont="1" applyFill="1" applyBorder="1" applyAlignment="1">
      <alignment horizontal="center"/>
    </xf>
    <xf numFmtId="0" fontId="4" fillId="11" borderId="27" xfId="0" applyFont="1" applyFill="1" applyBorder="1" applyAlignment="1">
      <alignment horizontal="center"/>
    </xf>
    <xf numFmtId="0" fontId="26" fillId="11" borderId="27" xfId="0" applyFont="1" applyFill="1" applyBorder="1" applyAlignment="1">
      <alignment horizontal="center"/>
    </xf>
    <xf numFmtId="0" fontId="4" fillId="4" borderId="27" xfId="0" applyFont="1" applyFill="1" applyBorder="1" applyAlignment="1">
      <alignment horizontal="center"/>
    </xf>
    <xf numFmtId="0" fontId="4" fillId="4" borderId="28" xfId="0" applyFont="1" applyFill="1" applyBorder="1" applyAlignment="1">
      <alignment horizontal="center"/>
    </xf>
    <xf numFmtId="0" fontId="5" fillId="11" borderId="27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4" fillId="11" borderId="14" xfId="0" applyFont="1" applyFill="1" applyBorder="1" applyAlignment="1">
      <alignment horizontal="center"/>
    </xf>
    <xf numFmtId="49" fontId="0" fillId="2" borderId="1" xfId="0" applyNumberFormat="1" applyFill="1" applyBorder="1" applyAlignment="1" applyProtection="1">
      <alignment horizontal="center" vertical="top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7" xfId="0" applyFill="1" applyBorder="1" applyAlignment="1">
      <alignment horizontal="center"/>
    </xf>
    <xf numFmtId="0" fontId="0" fillId="2" borderId="37" xfId="0" applyFill="1" applyBorder="1" applyAlignment="1" applyProtection="1">
      <alignment horizontal="center"/>
      <protection locked="0"/>
    </xf>
    <xf numFmtId="0" fontId="4" fillId="11" borderId="21" xfId="0" applyFont="1" applyFill="1" applyBorder="1" applyAlignment="1">
      <alignment horizontal="center"/>
    </xf>
    <xf numFmtId="0" fontId="4" fillId="11" borderId="13" xfId="0" applyFont="1" applyFill="1" applyBorder="1" applyAlignment="1">
      <alignment horizontal="center"/>
    </xf>
    <xf numFmtId="0" fontId="4" fillId="11" borderId="39" xfId="0" applyFont="1" applyFill="1" applyBorder="1" applyAlignment="1">
      <alignment horizontal="center"/>
    </xf>
    <xf numFmtId="0" fontId="13" fillId="2" borderId="35" xfId="0" applyFont="1" applyFill="1" applyBorder="1" applyAlignment="1"/>
    <xf numFmtId="0" fontId="0" fillId="0" borderId="6" xfId="0" applyBorder="1" applyAlignment="1"/>
    <xf numFmtId="0" fontId="0" fillId="2" borderId="30" xfId="0" applyFill="1" applyBorder="1" applyAlignment="1">
      <alignment horizontal="center"/>
    </xf>
    <xf numFmtId="0" fontId="4" fillId="11" borderId="5" xfId="0" applyFont="1" applyFill="1" applyBorder="1" applyAlignment="1">
      <alignment horizontal="center"/>
    </xf>
    <xf numFmtId="0" fontId="4" fillId="11" borderId="19" xfId="0" applyFont="1" applyFill="1" applyBorder="1" applyAlignment="1">
      <alignment horizontal="center"/>
    </xf>
    <xf numFmtId="0" fontId="13" fillId="2" borderId="11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3" fillId="2" borderId="19" xfId="0" applyFont="1" applyFill="1" applyBorder="1" applyAlignment="1">
      <alignment horizontal="center"/>
    </xf>
    <xf numFmtId="0" fontId="13" fillId="2" borderId="35" xfId="0" applyFont="1" applyFill="1" applyBorder="1" applyAlignment="1">
      <alignment vertical="top"/>
    </xf>
    <xf numFmtId="0" fontId="13" fillId="2" borderId="6" xfId="0" applyFont="1" applyFill="1" applyBorder="1" applyAlignment="1">
      <alignment vertical="top"/>
    </xf>
    <xf numFmtId="0" fontId="13" fillId="2" borderId="30" xfId="0" applyFont="1" applyFill="1" applyBorder="1" applyAlignment="1">
      <alignment vertical="top"/>
    </xf>
    <xf numFmtId="0" fontId="13" fillId="2" borderId="36" xfId="0" applyFont="1" applyFill="1" applyBorder="1" applyAlignment="1">
      <alignment vertical="top"/>
    </xf>
    <xf numFmtId="0" fontId="13" fillId="2" borderId="40" xfId="0" applyFont="1" applyFill="1" applyBorder="1" applyAlignment="1">
      <alignment vertical="top"/>
    </xf>
    <xf numFmtId="0" fontId="13" fillId="2" borderId="38" xfId="0" applyFont="1" applyFill="1" applyBorder="1" applyAlignment="1">
      <alignment vertical="top"/>
    </xf>
    <xf numFmtId="0" fontId="16" fillId="2" borderId="1" xfId="0" applyFont="1" applyFill="1" applyBorder="1" applyAlignment="1" applyProtection="1">
      <alignment vertical="top"/>
      <protection locked="0"/>
    </xf>
    <xf numFmtId="0" fontId="4" fillId="11" borderId="11" xfId="0" applyFont="1" applyFill="1" applyBorder="1" applyAlignment="1">
      <alignment horizontal="center"/>
    </xf>
    <xf numFmtId="0" fontId="4" fillId="11" borderId="2" xfId="0" applyFont="1" applyFill="1" applyBorder="1" applyAlignment="1">
      <alignment horizontal="center"/>
    </xf>
    <xf numFmtId="0" fontId="4" fillId="11" borderId="6" xfId="0" applyFont="1" applyFill="1" applyBorder="1" applyAlignment="1">
      <alignment horizontal="center"/>
    </xf>
    <xf numFmtId="0" fontId="4" fillId="11" borderId="4" xfId="0" applyFont="1" applyFill="1" applyBorder="1" applyAlignment="1">
      <alignment horizontal="center"/>
    </xf>
    <xf numFmtId="0" fontId="16" fillId="2" borderId="1" xfId="0" applyFont="1" applyFill="1" applyBorder="1" applyAlignment="1" applyProtection="1">
      <alignment horizontal="center"/>
      <protection locked="0"/>
    </xf>
    <xf numFmtId="0" fontId="16" fillId="2" borderId="1" xfId="0" applyFont="1" applyFill="1" applyBorder="1" applyAlignment="1" applyProtection="1">
      <alignment horizontal="left" vertical="top"/>
      <protection locked="0"/>
    </xf>
    <xf numFmtId="0" fontId="16" fillId="2" borderId="11" xfId="0" applyFont="1" applyFill="1" applyBorder="1" applyAlignment="1" applyProtection="1">
      <alignment vertical="top"/>
      <protection locked="0"/>
    </xf>
    <xf numFmtId="0" fontId="16" fillId="2" borderId="5" xfId="0" applyFont="1" applyFill="1" applyBorder="1" applyAlignment="1" applyProtection="1">
      <alignment vertical="top"/>
      <protection locked="0"/>
    </xf>
    <xf numFmtId="0" fontId="16" fillId="2" borderId="19" xfId="0" applyFont="1" applyFill="1" applyBorder="1" applyAlignment="1" applyProtection="1">
      <alignment vertical="top"/>
      <protection locked="0"/>
    </xf>
    <xf numFmtId="0" fontId="16" fillId="2" borderId="18" xfId="0" applyFont="1" applyFill="1" applyBorder="1" applyAlignment="1" applyProtection="1">
      <alignment vertical="top"/>
      <protection locked="0"/>
    </xf>
    <xf numFmtId="0" fontId="16" fillId="2" borderId="0" xfId="0" applyFont="1" applyFill="1" applyBorder="1" applyAlignment="1" applyProtection="1">
      <alignment vertical="top"/>
      <protection locked="0"/>
    </xf>
    <xf numFmtId="0" fontId="16" fillId="2" borderId="20" xfId="0" applyFont="1" applyFill="1" applyBorder="1" applyAlignment="1" applyProtection="1">
      <alignment vertical="top"/>
      <protection locked="0"/>
    </xf>
    <xf numFmtId="0" fontId="16" fillId="2" borderId="9" xfId="0" applyFont="1" applyFill="1" applyBorder="1" applyAlignment="1" applyProtection="1">
      <alignment vertical="top"/>
      <protection locked="0"/>
    </xf>
    <xf numFmtId="0" fontId="16" fillId="2" borderId="8" xfId="0" applyFont="1" applyFill="1" applyBorder="1" applyAlignment="1" applyProtection="1">
      <alignment vertical="top"/>
      <protection locked="0"/>
    </xf>
    <xf numFmtId="0" fontId="16" fillId="2" borderId="10" xfId="0" applyFont="1" applyFill="1" applyBorder="1" applyAlignment="1" applyProtection="1">
      <alignment vertical="top"/>
      <protection locked="0"/>
    </xf>
    <xf numFmtId="0" fontId="16" fillId="2" borderId="1" xfId="0" applyFont="1" applyFill="1" applyBorder="1" applyAlignment="1" applyProtection="1">
      <protection locked="0"/>
    </xf>
    <xf numFmtId="0" fontId="15" fillId="2" borderId="1" xfId="0" applyFont="1" applyFill="1" applyBorder="1" applyAlignment="1" applyProtection="1">
      <alignment horizontal="center"/>
      <protection locked="0"/>
    </xf>
    <xf numFmtId="0" fontId="16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2" borderId="14" xfId="0" applyFont="1" applyFill="1" applyBorder="1" applyAlignment="1">
      <alignment vertical="top"/>
    </xf>
    <xf numFmtId="0" fontId="13" fillId="2" borderId="1" xfId="0" applyFont="1" applyFill="1" applyBorder="1" applyAlignment="1">
      <alignment vertical="top"/>
    </xf>
    <xf numFmtId="0" fontId="13" fillId="2" borderId="15" xfId="0" applyFont="1" applyFill="1" applyBorder="1" applyAlignment="1">
      <alignment vertical="top"/>
    </xf>
    <xf numFmtId="0" fontId="13" fillId="2" borderId="29" xfId="0" applyFont="1" applyFill="1" applyBorder="1" applyAlignment="1">
      <alignment vertical="top"/>
    </xf>
    <xf numFmtId="0" fontId="13" fillId="2" borderId="3" xfId="0" applyFont="1" applyFill="1" applyBorder="1" applyAlignment="1">
      <alignment vertical="top"/>
    </xf>
    <xf numFmtId="0" fontId="13" fillId="2" borderId="31" xfId="0" applyFont="1" applyFill="1" applyBorder="1" applyAlignment="1">
      <alignment vertical="top"/>
    </xf>
    <xf numFmtId="0" fontId="4" fillId="11" borderId="32" xfId="0" applyFont="1" applyFill="1" applyBorder="1" applyAlignment="1">
      <alignment horizontal="center"/>
    </xf>
    <xf numFmtId="0" fontId="4" fillId="11" borderId="33" xfId="0" applyFont="1" applyFill="1" applyBorder="1" applyAlignment="1">
      <alignment horizontal="center"/>
    </xf>
    <xf numFmtId="0" fontId="4" fillId="11" borderId="34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4" fillId="11" borderId="22" xfId="0" applyFont="1" applyFill="1" applyBorder="1" applyAlignment="1">
      <alignment horizontal="center"/>
    </xf>
    <xf numFmtId="0" fontId="13" fillId="2" borderId="1" xfId="0" applyFont="1" applyFill="1" applyBorder="1" applyAlignment="1"/>
    <xf numFmtId="0" fontId="13" fillId="2" borderId="4" xfId="0" applyFont="1" applyFill="1" applyBorder="1" applyAlignment="1">
      <alignment horizontal="right"/>
    </xf>
    <xf numFmtId="0" fontId="13" fillId="2" borderId="1" xfId="0" applyFont="1" applyFill="1" applyBorder="1" applyAlignment="1">
      <alignment horizontal="right"/>
    </xf>
    <xf numFmtId="49" fontId="13" fillId="2" borderId="1" xfId="0" applyNumberFormat="1" applyFont="1" applyFill="1" applyBorder="1" applyAlignment="1">
      <alignment horizontal="center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>
      <alignment horizontal="center" vertical="center"/>
    </xf>
    <xf numFmtId="0" fontId="4" fillId="11" borderId="23" xfId="0" applyFont="1" applyFill="1" applyBorder="1" applyAlignment="1">
      <alignment horizontal="center"/>
    </xf>
    <xf numFmtId="0" fontId="5" fillId="25" borderId="1" xfId="0" applyFont="1" applyFill="1" applyBorder="1" applyAlignment="1">
      <alignment horizontal="center" vertical="center"/>
    </xf>
    <xf numFmtId="0" fontId="5" fillId="25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right"/>
    </xf>
    <xf numFmtId="0" fontId="13" fillId="2" borderId="3" xfId="0" applyFont="1" applyFill="1" applyBorder="1" applyAlignment="1">
      <alignment horizontal="right"/>
    </xf>
    <xf numFmtId="0" fontId="5" fillId="11" borderId="12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 wrapText="1"/>
    </xf>
    <xf numFmtId="0" fontId="4" fillId="11" borderId="10" xfId="0" applyFont="1" applyFill="1" applyBorder="1" applyAlignment="1">
      <alignment horizontal="center"/>
    </xf>
    <xf numFmtId="0" fontId="4" fillId="11" borderId="12" xfId="0" applyFont="1" applyFill="1" applyBorder="1" applyAlignment="1">
      <alignment horizontal="center"/>
    </xf>
    <xf numFmtId="0" fontId="4" fillId="11" borderId="9" xfId="0" applyFont="1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4" fillId="11" borderId="1" xfId="0" applyFon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/>
    </xf>
    <xf numFmtId="0" fontId="5" fillId="11" borderId="4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4" fillId="11" borderId="25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4" fillId="11" borderId="15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1" xfId="0" applyBorder="1"/>
    <xf numFmtId="9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horizontal="right"/>
    </xf>
    <xf numFmtId="0" fontId="4" fillId="11" borderId="3" xfId="0" applyFont="1" applyFill="1" applyBorder="1" applyAlignment="1">
      <alignment horizontal="center"/>
    </xf>
    <xf numFmtId="0" fontId="0" fillId="2" borderId="2" xfId="0" applyNumberFormat="1" applyFill="1" applyBorder="1" applyAlignment="1">
      <alignment horizontal="left"/>
    </xf>
    <xf numFmtId="0" fontId="0" fillId="2" borderId="6" xfId="0" applyNumberFormat="1" applyFill="1" applyBorder="1" applyAlignment="1">
      <alignment horizontal="left"/>
    </xf>
    <xf numFmtId="0" fontId="0" fillId="2" borderId="4" xfId="0" applyNumberFormat="1" applyFill="1" applyBorder="1" applyAlignment="1">
      <alignment horizontal="left"/>
    </xf>
    <xf numFmtId="0" fontId="0" fillId="2" borderId="8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6" fillId="11" borderId="24" xfId="0" applyFont="1" applyFill="1" applyBorder="1" applyAlignment="1">
      <alignment horizontal="center" vertical="center" wrapText="1"/>
    </xf>
    <xf numFmtId="0" fontId="6" fillId="11" borderId="12" xfId="0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4" fillId="11" borderId="1" xfId="0" applyFont="1" applyFill="1" applyBorder="1" applyAlignment="1">
      <alignment horizontal="right"/>
    </xf>
    <xf numFmtId="0" fontId="13" fillId="2" borderId="1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/>
    <xf numFmtId="0" fontId="1" fillId="2" borderId="1" xfId="0" applyFont="1" applyFill="1" applyBorder="1" applyAlignment="1">
      <alignment horizontal="center"/>
    </xf>
    <xf numFmtId="0" fontId="16" fillId="2" borderId="2" xfId="0" applyFont="1" applyFill="1" applyBorder="1" applyAlignment="1" applyProtection="1">
      <alignment horizontal="left"/>
      <protection locked="0"/>
    </xf>
    <xf numFmtId="0" fontId="16" fillId="2" borderId="4" xfId="0" applyFont="1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49" fontId="0" fillId="2" borderId="1" xfId="0" applyNumberFormat="1" applyFont="1" applyFill="1" applyBorder="1" applyAlignment="1" applyProtection="1">
      <alignment horizontal="center" vertical="center"/>
      <protection locked="0"/>
    </xf>
    <xf numFmtId="0" fontId="4" fillId="11" borderId="0" xfId="0" applyFont="1" applyFill="1" applyBorder="1" applyAlignment="1">
      <alignment horizontal="center"/>
    </xf>
    <xf numFmtId="0" fontId="4" fillId="11" borderId="18" xfId="0" applyFont="1" applyFill="1" applyBorder="1" applyAlignment="1">
      <alignment horizontal="center"/>
    </xf>
    <xf numFmtId="0" fontId="4" fillId="11" borderId="20" xfId="0" applyFont="1" applyFill="1" applyBorder="1" applyAlignment="1">
      <alignment horizontal="center"/>
    </xf>
    <xf numFmtId="0" fontId="4" fillId="11" borderId="1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horizontal="center" wrapText="1"/>
    </xf>
    <xf numFmtId="0" fontId="16" fillId="2" borderId="0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/>
    </xf>
    <xf numFmtId="0" fontId="16" fillId="0" borderId="1" xfId="0" applyFont="1" applyBorder="1"/>
    <xf numFmtId="0" fontId="13" fillId="2" borderId="1" xfId="0" applyFon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4" fillId="11" borderId="11" xfId="0" applyFont="1" applyFill="1" applyBorder="1" applyAlignment="1">
      <alignment horizontal="center" vertical="top"/>
    </xf>
    <xf numFmtId="0" fontId="4" fillId="11" borderId="5" xfId="0" applyFont="1" applyFill="1" applyBorder="1" applyAlignment="1">
      <alignment horizontal="center" vertical="top"/>
    </xf>
    <xf numFmtId="0" fontId="4" fillId="11" borderId="19" xfId="0" applyFont="1" applyFill="1" applyBorder="1" applyAlignment="1">
      <alignment horizontal="center" vertical="top"/>
    </xf>
    <xf numFmtId="0" fontId="13" fillId="2" borderId="0" xfId="0" applyFont="1" applyFill="1" applyBorder="1" applyAlignment="1">
      <alignment horizontal="center"/>
    </xf>
    <xf numFmtId="0" fontId="1" fillId="2" borderId="0" xfId="0" applyFont="1" applyFill="1" applyBorder="1" applyAlignment="1" applyProtection="1">
      <alignment horizontal="left"/>
      <protection locked="0"/>
    </xf>
    <xf numFmtId="0" fontId="3" fillId="13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4" fillId="11" borderId="0" xfId="0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0" fontId="0" fillId="13" borderId="0" xfId="0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4" fillId="11" borderId="8" xfId="0" applyFont="1" applyFill="1" applyBorder="1" applyAlignment="1">
      <alignment horizontal="center"/>
    </xf>
    <xf numFmtId="0" fontId="0" fillId="30" borderId="0" xfId="0" applyFill="1" applyAlignment="1">
      <alignment horizontal="left"/>
    </xf>
    <xf numFmtId="0" fontId="0" fillId="3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28" borderId="0" xfId="0" applyFill="1" applyAlignment="1">
      <alignment horizontal="center"/>
    </xf>
    <xf numFmtId="0" fontId="3" fillId="26" borderId="0" xfId="0" applyFont="1" applyFill="1" applyBorder="1" applyAlignment="1">
      <alignment horizontal="left"/>
    </xf>
    <xf numFmtId="49" fontId="9" fillId="0" borderId="18" xfId="0" applyNumberFormat="1" applyFont="1" applyFill="1" applyBorder="1"/>
    <xf numFmtId="0" fontId="18" fillId="2" borderId="0" xfId="0" applyFont="1" applyFill="1" applyBorder="1" applyAlignment="1">
      <alignment horizontal="center" vertical="center"/>
    </xf>
  </cellXfs>
  <cellStyles count="7">
    <cellStyle name="Comma0" xfId="3"/>
    <cellStyle name="Currency0" xfId="4"/>
    <cellStyle name="Date" xfId="5"/>
    <cellStyle name="Fixed" xfId="6"/>
    <cellStyle name="Normal" xfId="0" builtinId="0"/>
    <cellStyle name="Normal 2" xfId="2"/>
    <cellStyle name="Table" xfId="1"/>
  </cellStyles>
  <dxfs count="22">
    <dxf>
      <fill>
        <patternFill>
          <bgColor rgb="FF339966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339966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429461"/>
        </patternFill>
      </fill>
    </dxf>
    <dxf>
      <fill>
        <patternFill>
          <bgColor rgb="FFD48A88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339966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429461"/>
        </patternFill>
      </fill>
    </dxf>
    <dxf>
      <fill>
        <patternFill>
          <bgColor rgb="FFD48A88"/>
        </patternFill>
      </fill>
    </dxf>
    <dxf>
      <fill>
        <patternFill>
          <bgColor theme="0" tint="-0.24994659260841701"/>
        </patternFill>
      </fill>
    </dxf>
    <dxf>
      <numFmt numFmtId="166" formatCode="0&quot; lbs&quot;"/>
      <fill>
        <patternFill patternType="none">
          <bgColor auto="1"/>
        </patternFill>
      </fill>
    </dxf>
    <dxf>
      <numFmt numFmtId="167" formatCode="0&quot; kg&quot;"/>
    </dxf>
    <dxf>
      <numFmt numFmtId="168" formatCode="&quot;+&quot;0"/>
    </dxf>
    <dxf>
      <numFmt numFmtId="168" formatCode="&quot;+&quot;0"/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FDF9F9"/>
      <color rgb="FF339966"/>
      <color rgb="FF429461"/>
      <color rgb="FF35935B"/>
      <color rgb="FFD48A88"/>
      <color rgb="FF32965F"/>
      <color rgb="FF2E8A58"/>
      <color rgb="FF239551"/>
      <color rgb="FFD18381"/>
      <color rgb="FFFCFDFE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R920"/>
  <sheetViews>
    <sheetView tabSelected="1" topLeftCell="A94" workbookViewId="0">
      <selection activeCell="AB100" sqref="AB100:AL110"/>
    </sheetView>
  </sheetViews>
  <sheetFormatPr defaultRowHeight="15"/>
  <cols>
    <col min="1" max="9" width="3.7109375" style="1" customWidth="1"/>
    <col min="10" max="18" width="3.7109375" style="78" customWidth="1"/>
    <col min="19" max="26" width="3.7109375" style="1" customWidth="1"/>
    <col min="27" max="27" width="8.28515625" style="1" customWidth="1"/>
    <col min="28" max="28" width="9.140625" style="1"/>
    <col min="29" max="29" width="8.5703125" style="1" customWidth="1"/>
    <col min="30" max="30" width="8.28515625" style="1" customWidth="1"/>
    <col min="31" max="31" width="8" style="1" customWidth="1"/>
    <col min="32" max="32" width="9.140625" style="1" customWidth="1"/>
    <col min="33" max="33" width="9.28515625" style="1" customWidth="1"/>
    <col min="34" max="34" width="9.140625" style="1"/>
    <col min="35" max="35" width="8.7109375" style="1" customWidth="1"/>
    <col min="36" max="36" width="8.140625" style="1" customWidth="1"/>
    <col min="37" max="37" width="10.140625" style="1" customWidth="1"/>
    <col min="38" max="38" width="7.7109375" style="1" customWidth="1"/>
    <col min="39" max="39" width="8.140625" style="1" customWidth="1"/>
    <col min="40" max="40" width="8.5703125" style="1" customWidth="1"/>
    <col min="41" max="41" width="9" style="1" customWidth="1"/>
    <col min="42" max="42" width="9.7109375" style="1" customWidth="1"/>
    <col min="43" max="43" width="8.42578125" style="1" customWidth="1"/>
    <col min="44" max="44" width="8.85546875" style="1" customWidth="1"/>
    <col min="45" max="46" width="10.85546875" style="1" customWidth="1"/>
    <col min="47" max="47" width="10.140625" style="1" customWidth="1"/>
    <col min="48" max="48" width="11.28515625" style="1" customWidth="1"/>
    <col min="49" max="49" width="10.140625" style="1" customWidth="1"/>
    <col min="50" max="50" width="10" style="1" customWidth="1"/>
    <col min="51" max="16384" width="9.140625" style="1"/>
  </cols>
  <sheetData>
    <row r="1" spans="1:46">
      <c r="A1" s="373" t="s">
        <v>16</v>
      </c>
      <c r="B1" s="373"/>
      <c r="C1" s="373"/>
      <c r="D1" s="373"/>
      <c r="E1" s="369"/>
      <c r="F1" s="356"/>
      <c r="G1" s="356"/>
      <c r="H1" s="356"/>
      <c r="I1" s="356"/>
      <c r="J1" s="356"/>
      <c r="K1" s="356"/>
      <c r="L1" s="356"/>
      <c r="M1" s="373" t="s">
        <v>22</v>
      </c>
      <c r="N1" s="373"/>
      <c r="O1" s="373"/>
      <c r="P1" s="373"/>
      <c r="Q1" s="369"/>
      <c r="R1" s="356"/>
      <c r="S1" s="356"/>
      <c r="T1" s="356"/>
      <c r="U1" s="356"/>
      <c r="V1" s="356"/>
      <c r="W1" s="356"/>
      <c r="X1" s="356"/>
      <c r="Y1" s="356"/>
      <c r="Z1" s="356"/>
    </row>
    <row r="2" spans="1:46">
      <c r="A2" s="373" t="s">
        <v>18</v>
      </c>
      <c r="B2" s="373"/>
      <c r="C2" s="373"/>
      <c r="D2" s="373"/>
      <c r="E2" s="381"/>
      <c r="F2" s="382"/>
      <c r="G2" s="382"/>
      <c r="H2" s="382"/>
      <c r="I2" s="382"/>
      <c r="J2" s="382"/>
      <c r="K2" s="382"/>
      <c r="L2" s="383"/>
      <c r="M2" s="373" t="s">
        <v>58</v>
      </c>
      <c r="N2" s="373"/>
      <c r="O2" s="373"/>
      <c r="P2" s="373"/>
      <c r="Q2" s="369"/>
      <c r="R2" s="356"/>
      <c r="S2" s="356"/>
      <c r="T2" s="356"/>
      <c r="U2" s="356"/>
      <c r="V2" s="356"/>
      <c r="W2" s="356"/>
      <c r="X2" s="356"/>
      <c r="Y2" s="356"/>
      <c r="Z2" s="356"/>
    </row>
    <row r="3" spans="1:46">
      <c r="A3" s="373" t="s">
        <v>17</v>
      </c>
      <c r="B3" s="373"/>
      <c r="C3" s="373"/>
      <c r="D3" s="373"/>
      <c r="E3" s="369"/>
      <c r="F3" s="356"/>
      <c r="G3" s="356"/>
      <c r="H3" s="356"/>
      <c r="I3" s="356"/>
      <c r="J3" s="356"/>
      <c r="K3" s="356"/>
      <c r="L3" s="356"/>
      <c r="M3" s="343" t="s">
        <v>3580</v>
      </c>
      <c r="N3" s="343"/>
      <c r="O3" s="343"/>
      <c r="P3" s="343"/>
      <c r="Q3" s="343"/>
      <c r="R3" s="307"/>
      <c r="S3" s="307"/>
      <c r="T3" s="307"/>
      <c r="U3" s="373" t="str">
        <f>IF(Psionique?=TRUE,"PFP:","")</f>
        <v/>
      </c>
      <c r="V3" s="373"/>
      <c r="W3" s="374" t="str">
        <f>IF(NPC=TRUE,IF(psio_version="aucune","",IF(AND(OR(Classe="Psioniste",Classe2="Psioniste",Classe3="Psioniste"),AND(Score_CON&lt;&gt;0,Score_INT&lt;&gt;0,Score_SAG&lt;&gt;0)),IF(AH7=TRUE,"  "&amp;"/"&amp;PFP_psioniste_talent,"  "&amp;"/"&amp;PFP_Psioniste),IF(AH7=TRUE,"  "&amp;"/"&amp;PFP_talent_natif,""))),"")</f>
        <v/>
      </c>
      <c r="X3" s="374"/>
      <c r="Y3" s="374"/>
      <c r="Z3" s="374"/>
      <c r="AM3" s="78"/>
      <c r="AN3" s="78"/>
      <c r="AR3" s="187"/>
      <c r="AS3" s="187"/>
      <c r="AT3" s="187"/>
    </row>
    <row r="4" spans="1:46">
      <c r="A4" s="373" t="s">
        <v>162</v>
      </c>
      <c r="B4" s="373"/>
      <c r="C4" s="373"/>
      <c r="D4" s="373"/>
      <c r="E4" s="369"/>
      <c r="F4" s="356"/>
      <c r="G4" s="356"/>
      <c r="H4" s="356"/>
      <c r="I4" s="356"/>
      <c r="J4" s="356"/>
      <c r="K4" s="356"/>
      <c r="L4" s="356"/>
      <c r="M4" s="343" t="s">
        <v>3581</v>
      </c>
      <c r="N4" s="343"/>
      <c r="O4" s="343"/>
      <c r="P4" s="343"/>
      <c r="Q4" s="343"/>
      <c r="R4" s="307"/>
      <c r="S4" s="307"/>
      <c r="T4" s="307"/>
      <c r="U4" s="373" t="str">
        <f>IF(AND(Psionique?=TRUE,psio_version&lt;&gt;"2.0"),"TAC0P:","")</f>
        <v/>
      </c>
      <c r="V4" s="373"/>
      <c r="W4" s="251"/>
      <c r="X4" s="251"/>
      <c r="Y4" s="251"/>
      <c r="Z4" s="251"/>
      <c r="AA4" s="186"/>
      <c r="AB4" s="248" t="s">
        <v>3538</v>
      </c>
      <c r="AC4" s="249"/>
      <c r="AD4" s="250"/>
      <c r="AE4" s="177" t="b">
        <v>0</v>
      </c>
      <c r="AM4" s="188"/>
      <c r="AN4" s="188"/>
      <c r="AO4" s="188"/>
      <c r="AP4" s="187"/>
      <c r="AQ4" s="187"/>
      <c r="AR4" s="187"/>
      <c r="AS4" s="78"/>
    </row>
    <row r="5" spans="1:46">
      <c r="A5" s="373" t="s">
        <v>161</v>
      </c>
      <c r="B5" s="356"/>
      <c r="C5" s="356"/>
      <c r="D5" s="356"/>
      <c r="E5" s="369"/>
      <c r="F5" s="356"/>
      <c r="G5" s="356"/>
      <c r="H5" s="356"/>
      <c r="I5" s="356"/>
      <c r="J5" s="356"/>
      <c r="K5" s="356"/>
      <c r="L5" s="356"/>
      <c r="M5" s="343" t="s">
        <v>3582</v>
      </c>
      <c r="N5" s="343"/>
      <c r="O5" s="343"/>
      <c r="P5" s="343"/>
      <c r="Q5" s="343"/>
      <c r="R5" s="307"/>
      <c r="S5" s="307"/>
      <c r="T5" s="307"/>
      <c r="U5" s="373" t="str">
        <f>IF(AND(Psionique?=TRUE,psio_version&lt;&gt;"2.0"),"CAP:","")</f>
        <v/>
      </c>
      <c r="V5" s="373"/>
      <c r="W5" s="252"/>
      <c r="X5" s="252"/>
      <c r="Y5" s="252"/>
      <c r="Z5" s="252"/>
      <c r="AA5" s="16"/>
      <c r="AB5" s="16"/>
      <c r="AD5" s="191" t="s">
        <v>2399</v>
      </c>
      <c r="AE5" s="178" t="s">
        <v>3260</v>
      </c>
      <c r="AF5" s="252" t="s">
        <v>3543</v>
      </c>
      <c r="AG5" s="252"/>
      <c r="AH5" s="228"/>
      <c r="AM5" s="189"/>
      <c r="AN5" s="189"/>
      <c r="AO5" s="189"/>
      <c r="AP5" s="187"/>
      <c r="AQ5" s="187"/>
      <c r="AR5" s="187"/>
      <c r="AS5" s="78"/>
    </row>
    <row r="6" spans="1:46">
      <c r="A6" s="373" t="s">
        <v>163</v>
      </c>
      <c r="B6" s="373"/>
      <c r="C6" s="373"/>
      <c r="D6" s="373"/>
      <c r="E6" s="369"/>
      <c r="F6" s="356"/>
      <c r="G6" s="356"/>
      <c r="H6" s="356"/>
      <c r="I6" s="356"/>
      <c r="J6" s="356"/>
      <c r="K6" s="356"/>
      <c r="L6" s="356"/>
      <c r="M6" s="373" t="s">
        <v>19</v>
      </c>
      <c r="N6" s="373"/>
      <c r="O6" s="373"/>
      <c r="P6" s="369"/>
      <c r="Q6" s="369"/>
      <c r="R6" s="369"/>
      <c r="S6" s="375" t="str">
        <f>IF(OR(Classe="Rôdeur",Classe2="Rôdeur",Classe3="Rôdeur",NPC=FALSE),"Anti:","")</f>
        <v>Anti:</v>
      </c>
      <c r="T6" s="375"/>
      <c r="U6" s="375"/>
      <c r="V6" s="376"/>
      <c r="W6" s="376"/>
      <c r="X6" s="376"/>
      <c r="Y6" s="376"/>
      <c r="Z6" s="376"/>
      <c r="AA6" s="16"/>
      <c r="AB6" s="16"/>
      <c r="AC6" s="306" t="s">
        <v>2474</v>
      </c>
      <c r="AD6" s="306"/>
      <c r="AE6" s="177" t="s">
        <v>1834</v>
      </c>
      <c r="AF6" s="252" t="s">
        <v>3541</v>
      </c>
      <c r="AG6" s="252"/>
      <c r="AH6" s="252" t="s">
        <v>3845</v>
      </c>
      <c r="AI6" s="252"/>
      <c r="AM6" s="188"/>
      <c r="AN6" s="188"/>
      <c r="AO6" s="188"/>
      <c r="AP6" s="73"/>
      <c r="AQ6" s="73"/>
      <c r="AR6" s="73"/>
      <c r="AS6" s="78"/>
    </row>
    <row r="7" spans="1:46">
      <c r="A7" s="373" t="s">
        <v>54</v>
      </c>
      <c r="B7" s="373"/>
      <c r="C7" s="373"/>
      <c r="D7" s="373"/>
      <c r="E7" s="399"/>
      <c r="F7" s="400"/>
      <c r="G7" s="400"/>
      <c r="H7" s="400"/>
      <c r="I7" s="400"/>
      <c r="J7" s="400"/>
      <c r="K7" s="400"/>
      <c r="L7" s="400"/>
      <c r="M7" s="343" t="str">
        <f>IF(Campagne="Ravenloft","Test de puissance:","")</f>
        <v/>
      </c>
      <c r="N7" s="343"/>
      <c r="O7" s="343"/>
      <c r="P7" s="343"/>
      <c r="Q7" s="343"/>
      <c r="R7" s="343"/>
      <c r="S7" s="343"/>
      <c r="T7" s="349"/>
      <c r="U7" s="349"/>
      <c r="V7" s="349"/>
      <c r="W7" s="349"/>
      <c r="X7" s="349"/>
      <c r="Y7" s="349"/>
      <c r="Z7" s="349"/>
      <c r="AD7" s="158" t="s">
        <v>3055</v>
      </c>
      <c r="AE7" s="179" t="s">
        <v>3282</v>
      </c>
      <c r="AF7" s="371" t="s">
        <v>3437</v>
      </c>
      <c r="AG7" s="371"/>
      <c r="AH7" s="196" t="b">
        <v>0</v>
      </c>
      <c r="AM7" s="190"/>
      <c r="AN7" s="190"/>
      <c r="AO7" s="190"/>
      <c r="AP7" s="187"/>
      <c r="AQ7" s="187"/>
      <c r="AR7" s="187"/>
      <c r="AS7" s="187"/>
      <c r="AT7" s="187"/>
    </row>
    <row r="8" spans="1:46" ht="15.75" customHeight="1">
      <c r="A8" s="384" t="s">
        <v>197</v>
      </c>
      <c r="B8" s="384"/>
      <c r="C8" s="384"/>
      <c r="D8" s="384"/>
      <c r="E8" s="388"/>
      <c r="F8" s="389"/>
      <c r="G8" s="389"/>
      <c r="H8" s="238" t="s">
        <v>3870</v>
      </c>
      <c r="I8" s="370" t="str">
        <f>IF(Score_FOR=0,"",IF(OR(LEFT(E9,3)=H8,LEFT(E9,3)=H9),VLOOKUP(VLOOKUP(Score_FOR,FOR_bonus,2,FALSE),Force,VLOOKUP(E9,FOR_balance,2,FALSE),FALSE),Score_FOR))</f>
        <v/>
      </c>
      <c r="J8" s="370"/>
      <c r="K8" s="331" t="s">
        <v>2122</v>
      </c>
      <c r="L8" s="331"/>
      <c r="M8" s="331"/>
      <c r="N8" s="330" t="s">
        <v>3867</v>
      </c>
      <c r="O8" s="330"/>
      <c r="P8" s="330"/>
      <c r="Q8" s="331" t="s">
        <v>26</v>
      </c>
      <c r="R8" s="331"/>
      <c r="S8" s="331"/>
      <c r="T8" s="330" t="s">
        <v>3868</v>
      </c>
      <c r="U8" s="330"/>
      <c r="V8" s="330"/>
      <c r="W8" s="331" t="s">
        <v>873</v>
      </c>
      <c r="X8" s="331"/>
      <c r="Y8" s="331" t="s">
        <v>3869</v>
      </c>
      <c r="Z8" s="331"/>
      <c r="AC8" s="358" t="s">
        <v>3279</v>
      </c>
      <c r="AD8" s="358"/>
      <c r="AE8" s="180" t="s">
        <v>3673</v>
      </c>
      <c r="AF8" s="372" t="s">
        <v>3468</v>
      </c>
      <c r="AG8" s="372"/>
      <c r="AH8" s="372"/>
      <c r="AI8" s="177"/>
      <c r="AM8" s="190"/>
      <c r="AN8" s="190"/>
      <c r="AO8" s="190"/>
      <c r="AP8" s="187"/>
      <c r="AQ8" s="187"/>
      <c r="AR8" s="187"/>
      <c r="AS8" s="187"/>
      <c r="AT8" s="187"/>
    </row>
    <row r="9" spans="1:46">
      <c r="A9" s="329" t="s">
        <v>727</v>
      </c>
      <c r="B9" s="329"/>
      <c r="C9" s="329"/>
      <c r="D9" s="329"/>
      <c r="E9" s="387"/>
      <c r="F9" s="387"/>
      <c r="G9" s="387"/>
      <c r="H9" s="238" t="s">
        <v>3871</v>
      </c>
      <c r="I9" s="370" t="str">
        <f>IF(Score_FOR=0,"",IF(OR(LEFT(E9,3)=H8,LEFT(E9,3)=H9),VLOOKUP(VLOOKUP(Score_FOR,FOR_bonus,2,FALSE),Force,VLOOKUP(E9,FOR_balance,3,FALSE),FALSE),Score_FOR))</f>
        <v/>
      </c>
      <c r="J9" s="370"/>
      <c r="K9" s="252" t="str">
        <f>IF(OR(Score_PUI=0,Score_PUI=""),"",VLOOKUP(VLOOKUP(TEXT(Score_PUI,"@"),FOR_bonus,2,FALSE),Force,2,FALSE))</f>
        <v/>
      </c>
      <c r="L9" s="252"/>
      <c r="M9" s="252"/>
      <c r="N9" s="252" t="str">
        <f>IF(OR(Score_PUI=0,Score_PUI=""),"",VLOOKUP(VLOOKUP(TEXT(Score_PUI,"@"),FOR_bonus,2,FALSE),Force,3,FALSE))</f>
        <v/>
      </c>
      <c r="O9" s="252"/>
      <c r="P9" s="252"/>
      <c r="Q9" s="252" t="str">
        <f>IF(OR(Score_END=0,Score_END=""),"",VLOOKUP(VLOOKUP(TEXT(Score_END,"@"),FOR_bonus,2,FALSE),Force,4,FALSE))</f>
        <v/>
      </c>
      <c r="R9" s="252"/>
      <c r="S9" s="252"/>
      <c r="T9" s="252" t="str">
        <f>IF(OR(Score_PUI=0,Score_PUI=""),"",VLOOKUP(VLOOKUP(TEXT(Score_PUI,"@"),FOR_bonus,2,FALSE),Force,5,FALSE))</f>
        <v/>
      </c>
      <c r="U9" s="252"/>
      <c r="V9" s="252"/>
      <c r="W9" s="252" t="str">
        <f>IF(OR(Score_PUI=0,Score_PUI=""),"",VLOOKUP(VLOOKUP(TEXT(Score_PUI,"@"),FOR_bonus,2,FALSE),Force,6,FALSE)&amp;IF(VLOOKUP(VLOOKUP(TEXT(Score_PUI,"@"),FOR_bonus,2,FALSE),Force,7,FALSE)&lt;&gt;0,"("&amp;VLOOKUP(VLOOKUP(TEXT(Score_PUI,"@"),FOR_bonus,2,FALSE),Force,7,FALSE)&amp;")",))</f>
        <v/>
      </c>
      <c r="X9" s="252"/>
      <c r="Y9" s="344" t="str">
        <f>IF(OR(Score_PUI=0,Score_PUI=""),"",VLOOKUP(VLOOKUP(TEXT(Score_PUI,"@"),FOR_bonus,2,FALSE),Force,8,FALSE))</f>
        <v/>
      </c>
      <c r="Z9" s="344"/>
      <c r="AC9" s="252" t="s">
        <v>3842</v>
      </c>
      <c r="AD9" s="252"/>
      <c r="AE9" s="252"/>
      <c r="AF9" s="252"/>
      <c r="AG9" s="252"/>
      <c r="AH9" s="252"/>
    </row>
    <row r="10" spans="1:46" ht="15" customHeight="1">
      <c r="A10" s="384" t="s">
        <v>198</v>
      </c>
      <c r="B10" s="384"/>
      <c r="C10" s="384"/>
      <c r="D10" s="384"/>
      <c r="E10" s="385"/>
      <c r="F10" s="385"/>
      <c r="G10" s="385"/>
      <c r="H10" s="238" t="s">
        <v>3877</v>
      </c>
      <c r="I10" s="370" t="str">
        <f>IF(Score_DEX=0,"",IF(OR(LEFT(E11,3)=H10,LEFT(E11,3)=H11),IF(LEFT(E11,3)=H10,IF(Score_DEX+1&lt;25,Score_DEX+RIGHT(E11,1),25),IF(Score_DEX-1&gt;1,Score_DEX-RIGHT(E11,1),1)),Score_DEX))</f>
        <v/>
      </c>
      <c r="J10" s="370"/>
      <c r="K10" s="331" t="s">
        <v>32</v>
      </c>
      <c r="L10" s="331"/>
      <c r="M10" s="331"/>
      <c r="N10" s="331"/>
      <c r="O10" s="331"/>
      <c r="P10" s="331"/>
      <c r="Q10" s="331" t="s">
        <v>3629</v>
      </c>
      <c r="R10" s="331"/>
      <c r="S10" s="331"/>
      <c r="T10" s="331"/>
      <c r="U10" s="331"/>
      <c r="V10" s="331" t="s">
        <v>33</v>
      </c>
      <c r="W10" s="331"/>
      <c r="X10" s="331"/>
      <c r="Y10" s="331"/>
      <c r="Z10" s="331"/>
    </row>
    <row r="11" spans="1:46" ht="15" customHeight="1">
      <c r="A11" s="329" t="s">
        <v>727</v>
      </c>
      <c r="B11" s="329"/>
      <c r="C11" s="329"/>
      <c r="D11" s="329"/>
      <c r="E11" s="387"/>
      <c r="F11" s="387"/>
      <c r="G11" s="387"/>
      <c r="H11" s="238" t="s">
        <v>3878</v>
      </c>
      <c r="I11" s="370" t="str">
        <f>IF(Score_DEX=0,"",IF(OR(LEFT(E11,3)=H10,LEFT(E11,3)=H11),IF(LEFT(E11,3)=H11,IF(Score_DEX+1&lt;25,Score_DEX+RIGHT(E11,1),25),IF(Score_DEX-1&gt;1,Score_DEX-RIGHT(E11,1),1)),Score_DEX))</f>
        <v/>
      </c>
      <c r="J11" s="370"/>
      <c r="K11" s="394" t="str">
        <f>IF(OR(Score_PRE=0,Score_PRE=""),"",VLOOKUP(Score_PRE,DEX,3,FALSE))</f>
        <v/>
      </c>
      <c r="L11" s="394"/>
      <c r="M11" s="394"/>
      <c r="N11" s="394"/>
      <c r="O11" s="394"/>
      <c r="P11" s="394"/>
      <c r="Q11" s="394" t="str">
        <f>IF(OR(Score_EQU=0,Score_EQU=""),"",VLOOKUP(Score_EQU,DEX,2,FALSE))</f>
        <v/>
      </c>
      <c r="R11" s="394"/>
      <c r="S11" s="394"/>
      <c r="T11" s="394"/>
      <c r="U11" s="394"/>
      <c r="V11" s="394" t="str">
        <f>IF(OR(Score_EQU=0,Score_EQU=""),"",VLOOKUP(Score_EQU,DEX,4,FALSE))</f>
        <v/>
      </c>
      <c r="W11" s="394"/>
      <c r="X11" s="394"/>
      <c r="Y11" s="394"/>
      <c r="Z11" s="394"/>
    </row>
    <row r="12" spans="1:46" ht="15.75" customHeight="1">
      <c r="A12" s="384" t="s">
        <v>199</v>
      </c>
      <c r="B12" s="384"/>
      <c r="C12" s="384"/>
      <c r="D12" s="384"/>
      <c r="E12" s="385"/>
      <c r="F12" s="385"/>
      <c r="G12" s="385"/>
      <c r="H12" s="238" t="s">
        <v>3879</v>
      </c>
      <c r="I12" s="370" t="str">
        <f>IF(Score_CON=0,"",IF(OR(LEFT(E13,3)=H12,LEFT(E13,3)=H13),IF(LEFT(E13,3)=H12,IF(Score_CON+1&lt;25,Score_CON+RIGHT(E13,1),25),IF(Score_CON-1&gt;1,Score_CON-RIGHT(E13,1),1)),Score_CON))</f>
        <v/>
      </c>
      <c r="J12" s="370"/>
      <c r="K12" s="331" t="s">
        <v>34</v>
      </c>
      <c r="L12" s="331"/>
      <c r="M12" s="331"/>
      <c r="N12" s="331"/>
      <c r="O12" s="330" t="s">
        <v>35</v>
      </c>
      <c r="P12" s="330"/>
      <c r="Q12" s="330"/>
      <c r="R12" s="330"/>
      <c r="S12" s="330" t="s">
        <v>3883</v>
      </c>
      <c r="T12" s="330"/>
      <c r="U12" s="330"/>
      <c r="V12" s="330"/>
      <c r="W12" s="330" t="s">
        <v>3882</v>
      </c>
      <c r="X12" s="330"/>
      <c r="Y12" s="330" t="s">
        <v>3881</v>
      </c>
      <c r="Z12" s="330"/>
      <c r="AD12" s="1">
        <f>Score_FOR+Score_DEX+Score_CON+Score_INT+Score_SAG+Score_CHA-72</f>
        <v>-72</v>
      </c>
      <c r="AJ12" s="16"/>
      <c r="AK12" s="16"/>
      <c r="AL12" s="16"/>
      <c r="AM12" s="16"/>
      <c r="AN12" s="16"/>
      <c r="AO12" s="16"/>
      <c r="AP12" s="16"/>
    </row>
    <row r="13" spans="1:46" ht="15" customHeight="1">
      <c r="A13" s="329" t="s">
        <v>727</v>
      </c>
      <c r="B13" s="329"/>
      <c r="C13" s="329"/>
      <c r="D13" s="329"/>
      <c r="E13" s="387"/>
      <c r="F13" s="387"/>
      <c r="G13" s="387"/>
      <c r="H13" s="238" t="s">
        <v>3880</v>
      </c>
      <c r="I13" s="370" t="str">
        <f>IF(Score_CON=0,"",IF(OR(LEFT(E13,3)=H12,LEFT(E13,3)=H13),IF(LEFT(E13,3)=H13,IF(Score_CON+1&lt;25,Score_CON+RIGHT(E13,1),25),IF(Score_CON-1&gt;1,Score_CON-RIGHT(E13,1),1)),Score_CON))</f>
        <v/>
      </c>
      <c r="J13" s="370"/>
      <c r="K13" s="394" t="str">
        <f>IF(OR(Score_VIG=0,Score_VIG=""),"",IF(Combattant?=TRUE,VLOOKUP(Score_VIG,CON,3,FALSE),VLOOKUP(Score_VIG,CON,2,FALSE)))</f>
        <v/>
      </c>
      <c r="L13" s="394"/>
      <c r="M13" s="394"/>
      <c r="N13" s="394"/>
      <c r="O13" s="394" t="str">
        <f>IF(OR(Score_RES=0,Score_RES=""),"",VLOOKUP(Score_RES,CON,4,FALSE))</f>
        <v/>
      </c>
      <c r="P13" s="394"/>
      <c r="Q13" s="394"/>
      <c r="R13" s="394"/>
      <c r="S13" s="394" t="str">
        <f>IF(OR(Score_VIG=0,Score_VIG=""),"",VLOOKUP(Score_VIG,CON,5,FALSE))</f>
        <v/>
      </c>
      <c r="T13" s="394"/>
      <c r="U13" s="394"/>
      <c r="V13" s="394"/>
      <c r="W13" s="394" t="str">
        <f>IF(OR(Score_RES=0,Score_RES=""),"",VLOOKUP(Score_RES,CON,6,FALSE))</f>
        <v/>
      </c>
      <c r="X13" s="394"/>
      <c r="Y13" s="394" t="str">
        <f>IF(OR(Score_VIG=0,Score_VIG=""),"",VLOOKUP(Score_VIG,CON,7,FALSE))</f>
        <v/>
      </c>
      <c r="Z13" s="394"/>
      <c r="AC13" s="16"/>
      <c r="AD13" s="16"/>
      <c r="AE13" s="16"/>
      <c r="AF13" s="16"/>
      <c r="AJ13" s="16"/>
      <c r="AK13" s="16"/>
      <c r="AL13" s="16"/>
      <c r="AM13" s="16"/>
      <c r="AN13" s="16"/>
      <c r="AO13" s="16"/>
      <c r="AP13" s="16"/>
    </row>
    <row r="14" spans="1:46" ht="15" customHeight="1">
      <c r="A14" s="384" t="s">
        <v>194</v>
      </c>
      <c r="B14" s="384"/>
      <c r="C14" s="384"/>
      <c r="D14" s="384"/>
      <c r="E14" s="385"/>
      <c r="F14" s="385"/>
      <c r="G14" s="385"/>
      <c r="H14" s="238" t="s">
        <v>194</v>
      </c>
      <c r="I14" s="370" t="str">
        <f>IF(Score_INT=0,"",IF(OR(LEFT(E15,3)=H14,LEFT(E15,3)=H15),IF(LEFT(E15,3)=H14,IF(Score_INT+1&lt;25,Score_INT+RIGHT(E15,1),25),IF(Score_INT-1&gt;1,Score_INT-RIGHT(E15,1),1)),Score_INT))</f>
        <v/>
      </c>
      <c r="J14" s="370"/>
      <c r="K14" s="331" t="s">
        <v>1902</v>
      </c>
      <c r="L14" s="331"/>
      <c r="M14" s="331" t="s">
        <v>3886</v>
      </c>
      <c r="N14" s="331"/>
      <c r="O14" s="331"/>
      <c r="P14" s="331" t="s">
        <v>39</v>
      </c>
      <c r="Q14" s="331"/>
      <c r="R14" s="331"/>
      <c r="S14" s="330" t="s">
        <v>874</v>
      </c>
      <c r="T14" s="330"/>
      <c r="U14" s="330"/>
      <c r="V14" s="330"/>
      <c r="W14" s="330" t="s">
        <v>717</v>
      </c>
      <c r="X14" s="330"/>
      <c r="Y14" s="330"/>
      <c r="Z14" s="330"/>
      <c r="AJ14" s="16"/>
      <c r="AK14" s="189"/>
      <c r="AL14" s="189"/>
      <c r="AM14" s="189"/>
      <c r="AN14" s="189"/>
      <c r="AO14" s="16"/>
      <c r="AP14" s="16"/>
    </row>
    <row r="15" spans="1:46">
      <c r="A15" s="329" t="s">
        <v>727</v>
      </c>
      <c r="B15" s="329"/>
      <c r="C15" s="329"/>
      <c r="D15" s="329"/>
      <c r="E15" s="387"/>
      <c r="F15" s="387"/>
      <c r="G15" s="387"/>
      <c r="H15" s="238" t="s">
        <v>3885</v>
      </c>
      <c r="I15" s="370" t="str">
        <f>IF(Score_INT=0,"",IF(OR(LEFT(E15,3)=H14,LEFT(E15,3)=H15),IF(LEFT(E15,3)=H15,IF(Score_INT+1&lt;25,Score_INT+RIGHT(E15,1),25),IF(Score_INT-1&gt;1,Score_INT-RIGHT(E15,1),1)),Score_INT))</f>
        <v/>
      </c>
      <c r="J15" s="370"/>
      <c r="K15" s="252" t="str">
        <f>IF(OR(Score_ERU=0,Score_ERU=""),"",VLOOKUP(Score_ERU,INT,2,FALSE))</f>
        <v/>
      </c>
      <c r="L15" s="252"/>
      <c r="M15" s="252" t="str">
        <f>IF(OR(Score_ERU=0,Score_ERU=""),"",VLOOKUP(Score_ERU,INT,4,FALSE))</f>
        <v/>
      </c>
      <c r="N15" s="252"/>
      <c r="O15" s="252"/>
      <c r="P15" s="252" t="str">
        <f>IF(OR(Score_INTct=0,Score_INTct=""),"",VLOOKUP(Score_INTct,INT,3,FALSE))</f>
        <v/>
      </c>
      <c r="Q15" s="252"/>
      <c r="R15" s="252"/>
      <c r="S15" s="252" t="str">
        <f>IF(OR(Score_INTct=0,Score_INTct=""),"",VLOOKUP(Score_INTct,INT,5,FALSE))</f>
        <v/>
      </c>
      <c r="T15" s="252"/>
      <c r="U15" s="252"/>
      <c r="V15" s="252"/>
      <c r="W15" s="372" t="str">
        <f>IF(OR(Score_INTct=0,Score_INTct=""),"",VLOOKUP(Score_INTct,INT,6,FALSE))</f>
        <v/>
      </c>
      <c r="X15" s="372"/>
      <c r="Y15" s="372"/>
      <c r="Z15" s="372"/>
      <c r="AJ15" s="16"/>
      <c r="AK15" s="75"/>
      <c r="AL15" s="75"/>
      <c r="AM15" s="75"/>
      <c r="AN15" s="75"/>
      <c r="AO15" s="16"/>
      <c r="AP15" s="16"/>
    </row>
    <row r="16" spans="1:46" ht="15.75" customHeight="1">
      <c r="A16" s="384" t="s">
        <v>195</v>
      </c>
      <c r="B16" s="384"/>
      <c r="C16" s="384"/>
      <c r="D16" s="384"/>
      <c r="E16" s="385"/>
      <c r="F16" s="385"/>
      <c r="G16" s="385"/>
      <c r="H16" s="238" t="s">
        <v>3887</v>
      </c>
      <c r="I16" s="370" t="str">
        <f>IF(Score_SAG=0,"",IF(OR(LEFT(E17,3)=H16,LEFT(E17,3)=H17),IF(LEFT(E17,3)=H16,IF(Score_SAG+1&lt;25,Score_SAG+RIGHT(E17,1),25),IF(Score_SAG-1&gt;1,Score_SAG-RIGHT(E17,1),1)),Score_SAG))</f>
        <v/>
      </c>
      <c r="J16" s="370"/>
      <c r="K16" s="330" t="s">
        <v>3888</v>
      </c>
      <c r="L16" s="330"/>
      <c r="M16" s="330"/>
      <c r="N16" s="331" t="s">
        <v>47</v>
      </c>
      <c r="O16" s="331"/>
      <c r="P16" s="331"/>
      <c r="Q16" s="331"/>
      <c r="R16" s="331"/>
      <c r="S16" s="331"/>
      <c r="T16" s="331"/>
      <c r="U16" s="330" t="s">
        <v>875</v>
      </c>
      <c r="V16" s="330"/>
      <c r="W16" s="330" t="s">
        <v>3889</v>
      </c>
      <c r="X16" s="330"/>
      <c r="Y16" s="330"/>
      <c r="Z16" s="330"/>
      <c r="AC16" s="16"/>
      <c r="AH16" s="16"/>
      <c r="AI16" s="16"/>
      <c r="AJ16" s="16"/>
      <c r="AK16" s="16"/>
      <c r="AL16" s="16"/>
      <c r="AM16" s="239"/>
      <c r="AN16" s="239"/>
      <c r="AO16" s="239"/>
      <c r="AP16" s="16"/>
    </row>
    <row r="17" spans="1:42" ht="15" customHeight="1">
      <c r="A17" s="329" t="s">
        <v>727</v>
      </c>
      <c r="B17" s="329"/>
      <c r="C17" s="329"/>
      <c r="D17" s="329"/>
      <c r="E17" s="387"/>
      <c r="F17" s="387"/>
      <c r="G17" s="387"/>
      <c r="H17" s="238" t="s">
        <v>194</v>
      </c>
      <c r="I17" s="370" t="str">
        <f>IF(Score_SAG=0,"",IF(OR(LEFT(E17,3)=H16,LEFT(E17,3)=H17),IF(LEFT(E17,3)=H17,IF(Score_SAG+1&lt;25,Score_SAG+RIGHT(E17,1),25),IF(Score_SAG-1&gt;1,Score_SAG-RIGHT(E17,1),1)),Score_SAG))</f>
        <v/>
      </c>
      <c r="J17" s="370"/>
      <c r="K17" s="394" t="str">
        <f>IF(OR(Score_VOL=0,Score_VOL=""),"",VLOOKUP(I16,SAG,2,FALSE))</f>
        <v/>
      </c>
      <c r="L17" s="394"/>
      <c r="M17" s="394"/>
      <c r="N17" s="378" t="str">
        <f>IF(OR(Score_INTtion=0,Score_INTtion=""),"",VLOOKUP(I17,SAG,3,FALSE))</f>
        <v/>
      </c>
      <c r="O17" s="378"/>
      <c r="P17" s="378"/>
      <c r="Q17" s="378"/>
      <c r="R17" s="378"/>
      <c r="S17" s="378"/>
      <c r="T17" s="378"/>
      <c r="U17" s="394" t="str">
        <f>IF(OR(Score_INTtion=0,Score_INTtion=""),"",VLOOKUP(I17,SAG,4,FALSE))</f>
        <v/>
      </c>
      <c r="V17" s="394"/>
      <c r="W17" s="398" t="str">
        <f>IF(OR(Score_VOL=0,Score_VOL=""),"",VLOOKUP(Score_VOL,SAG,5,FALSE))</f>
        <v/>
      </c>
      <c r="X17" s="398"/>
      <c r="Y17" s="398"/>
      <c r="Z17" s="398"/>
      <c r="AC17" s="16"/>
      <c r="AH17" s="16"/>
      <c r="AI17" s="16"/>
      <c r="AJ17" s="16"/>
      <c r="AK17" s="16"/>
      <c r="AL17" s="16"/>
      <c r="AM17" s="240"/>
      <c r="AN17" s="240"/>
      <c r="AO17" s="240"/>
      <c r="AP17" s="16"/>
    </row>
    <row r="18" spans="1:42" ht="15" customHeight="1">
      <c r="A18" s="384" t="s">
        <v>196</v>
      </c>
      <c r="B18" s="384"/>
      <c r="C18" s="384"/>
      <c r="D18" s="384"/>
      <c r="E18" s="385"/>
      <c r="F18" s="385"/>
      <c r="G18" s="385"/>
      <c r="H18" s="238" t="s">
        <v>196</v>
      </c>
      <c r="I18" s="370" t="str">
        <f>IF(Score_CHA=0,"",IF(OR(LEFT(E19,3)=H18,LEFT(E19,3)=H19),IF(LEFT(E19,3)=H18,IF(Score_CHA+1&lt;25,Score_CHA+RIGHT(E19,1),25),IF(Score_CHA-1&gt;1,Score_CHA-RIGHT(E19,1),1)),Score_CHA))</f>
        <v/>
      </c>
      <c r="J18" s="370"/>
      <c r="K18" s="331" t="s">
        <v>876</v>
      </c>
      <c r="L18" s="331"/>
      <c r="M18" s="331"/>
      <c r="N18" s="331"/>
      <c r="O18" s="331"/>
      <c r="P18" s="331"/>
      <c r="Q18" s="331"/>
      <c r="R18" s="331" t="s">
        <v>878</v>
      </c>
      <c r="S18" s="331"/>
      <c r="T18" s="331"/>
      <c r="U18" s="331"/>
      <c r="V18" s="331" t="s">
        <v>877</v>
      </c>
      <c r="W18" s="331"/>
      <c r="X18" s="331"/>
      <c r="Y18" s="331"/>
      <c r="Z18" s="331"/>
      <c r="AG18" s="16"/>
      <c r="AH18" s="16"/>
      <c r="AI18" s="16"/>
      <c r="AJ18" s="16"/>
      <c r="AK18" s="16"/>
      <c r="AL18" s="16"/>
      <c r="AM18" s="16"/>
      <c r="AN18" s="16"/>
      <c r="AO18" s="16"/>
      <c r="AP18" s="16"/>
    </row>
    <row r="19" spans="1:42" ht="15.75" customHeight="1">
      <c r="A19" s="329" t="s">
        <v>727</v>
      </c>
      <c r="B19" s="329"/>
      <c r="C19" s="329"/>
      <c r="D19" s="329"/>
      <c r="E19" s="385"/>
      <c r="F19" s="385"/>
      <c r="G19" s="385"/>
      <c r="H19" s="238" t="s">
        <v>3904</v>
      </c>
      <c r="I19" s="370" t="str">
        <f>IF(Score_CHA=0,"",IF(OR(LEFT(E19,3)=H18,LEFT(E19,3)=H19),IF(LEFT(E19,3)=H19,IF(Score_CHA+1&lt;25,Score_CHA+RIGHT(E19,1),25),IF(Score_CHA-1&gt;1,Score_CHA-RIGHT(E19,1),1)),Score_CHA))</f>
        <v/>
      </c>
      <c r="J19" s="370"/>
      <c r="K19" s="252" t="str">
        <f>IF(OR(Score_CHAr=0,Score_CHAr=""),"",VLOOKUP(I18,CHA,4,FALSE))</f>
        <v/>
      </c>
      <c r="L19" s="356"/>
      <c r="M19" s="356"/>
      <c r="N19" s="356"/>
      <c r="O19" s="356"/>
      <c r="P19" s="356"/>
      <c r="Q19" s="356"/>
      <c r="R19" s="252" t="str">
        <f>IF(OR(Score_MAG=0,Score_MAG=""),"",VLOOKUP(I19,CHA,2,FALSE))</f>
        <v/>
      </c>
      <c r="S19" s="356"/>
      <c r="T19" s="356"/>
      <c r="U19" s="356"/>
      <c r="V19" s="252" t="str">
        <f>IF(OR(Score_MAG=0,Score_MAG=""),"",VLOOKUP(I19,CHA,3,FALSE))</f>
        <v/>
      </c>
      <c r="W19" s="356"/>
      <c r="X19" s="356"/>
      <c r="Y19" s="356"/>
      <c r="Z19" s="356"/>
      <c r="AG19" s="75"/>
      <c r="AH19" s="75"/>
      <c r="AI19" s="75"/>
      <c r="AJ19" s="16"/>
      <c r="AK19" s="189"/>
      <c r="AL19" s="189"/>
      <c r="AM19" s="189"/>
      <c r="AN19" s="189"/>
      <c r="AO19" s="189"/>
      <c r="AP19" s="16"/>
    </row>
    <row r="20" spans="1:42" ht="15" customHeight="1">
      <c r="A20" s="253" t="s">
        <v>3520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3"/>
      <c r="M20" s="253"/>
      <c r="N20" s="253"/>
      <c r="O20" s="253"/>
      <c r="P20" s="253"/>
      <c r="Q20" s="253"/>
      <c r="R20" s="253"/>
      <c r="S20" s="253"/>
      <c r="T20" s="253"/>
      <c r="U20" s="253"/>
      <c r="V20" s="253"/>
      <c r="W20" s="253"/>
      <c r="X20" s="253"/>
      <c r="Y20" s="253"/>
      <c r="Z20" s="253"/>
      <c r="AC20" s="16"/>
      <c r="AD20" s="239"/>
      <c r="AE20" s="239"/>
      <c r="AF20" s="239"/>
      <c r="AG20" s="239"/>
      <c r="AH20" s="239"/>
      <c r="AI20" s="239"/>
      <c r="AJ20" s="239"/>
      <c r="AK20" s="239"/>
      <c r="AL20" s="241"/>
      <c r="AM20" s="241"/>
      <c r="AN20" s="241"/>
      <c r="AO20" s="241"/>
      <c r="AP20" s="16"/>
    </row>
    <row r="21" spans="1:42" ht="15" customHeight="1">
      <c r="A21" s="396" t="s">
        <v>3524</v>
      </c>
      <c r="B21" s="396"/>
      <c r="C21" s="396"/>
      <c r="D21" s="396"/>
      <c r="E21" s="396"/>
      <c r="F21" s="200">
        <v>10</v>
      </c>
      <c r="G21" s="200">
        <v>9</v>
      </c>
      <c r="H21" s="200">
        <v>8</v>
      </c>
      <c r="I21" s="200">
        <v>7</v>
      </c>
      <c r="J21" s="200">
        <v>6</v>
      </c>
      <c r="K21" s="200">
        <v>5</v>
      </c>
      <c r="L21" s="200">
        <v>4</v>
      </c>
      <c r="M21" s="200">
        <v>3</v>
      </c>
      <c r="N21" s="200">
        <v>2</v>
      </c>
      <c r="O21" s="200">
        <v>1</v>
      </c>
      <c r="P21" s="200">
        <v>0</v>
      </c>
      <c r="Q21" s="200">
        <v>-1</v>
      </c>
      <c r="R21" s="200">
        <v>-2</v>
      </c>
      <c r="S21" s="200">
        <v>-3</v>
      </c>
      <c r="T21" s="200">
        <v>-4</v>
      </c>
      <c r="U21" s="200">
        <v>-5</v>
      </c>
      <c r="V21" s="200">
        <v>-6</v>
      </c>
      <c r="W21" s="200">
        <v>-7</v>
      </c>
      <c r="X21" s="200">
        <v>-8</v>
      </c>
      <c r="Y21" s="200">
        <v>-9</v>
      </c>
      <c r="Z21" s="200">
        <v>-10</v>
      </c>
      <c r="AC21" s="16"/>
      <c r="AD21" s="233"/>
      <c r="AE21" s="233"/>
      <c r="AF21" s="233"/>
      <c r="AG21" s="233"/>
      <c r="AH21" s="233"/>
      <c r="AI21" s="233"/>
      <c r="AJ21" s="233"/>
      <c r="AK21" s="233"/>
      <c r="AL21" s="16"/>
      <c r="AM21" s="189"/>
      <c r="AN21" s="189"/>
      <c r="AO21" s="189"/>
      <c r="AP21" s="16"/>
    </row>
    <row r="22" spans="1:42" ht="15" customHeight="1">
      <c r="A22" s="252" t="s">
        <v>3523</v>
      </c>
      <c r="B22" s="252"/>
      <c r="C22" s="252"/>
      <c r="D22" s="252"/>
      <c r="E22" s="252"/>
      <c r="F22" s="184" t="str">
        <f t="shared" ref="F22:N22" si="0">IF(G22="","",G22-1)</f>
        <v/>
      </c>
      <c r="G22" s="184" t="str">
        <f t="shared" si="0"/>
        <v/>
      </c>
      <c r="H22" s="184" t="str">
        <f t="shared" si="0"/>
        <v/>
      </c>
      <c r="I22" s="184" t="str">
        <f t="shared" si="0"/>
        <v/>
      </c>
      <c r="J22" s="184" t="str">
        <f t="shared" si="0"/>
        <v/>
      </c>
      <c r="K22" s="184" t="str">
        <f t="shared" si="0"/>
        <v/>
      </c>
      <c r="L22" s="184" t="str">
        <f t="shared" si="0"/>
        <v/>
      </c>
      <c r="M22" s="184" t="str">
        <f t="shared" si="0"/>
        <v/>
      </c>
      <c r="N22" s="184" t="str">
        <f t="shared" si="0"/>
        <v/>
      </c>
      <c r="O22" s="184" t="str">
        <f>IF(P22="","",P22-1)</f>
        <v/>
      </c>
      <c r="P22" s="184" t="str">
        <f>IF(NPC=FALSE,"",Base_TAC02)</f>
        <v/>
      </c>
      <c r="Q22" s="184" t="str">
        <f>IF(P22="","",P22+1)</f>
        <v/>
      </c>
      <c r="R22" s="184" t="str">
        <f t="shared" ref="R22:Z22" si="1">IF(Q22="","",Q22+1)</f>
        <v/>
      </c>
      <c r="S22" s="184" t="str">
        <f t="shared" si="1"/>
        <v/>
      </c>
      <c r="T22" s="184" t="str">
        <f t="shared" si="1"/>
        <v/>
      </c>
      <c r="U22" s="184" t="str">
        <f t="shared" si="1"/>
        <v/>
      </c>
      <c r="V22" s="184" t="str">
        <f t="shared" si="1"/>
        <v/>
      </c>
      <c r="W22" s="184" t="str">
        <f t="shared" si="1"/>
        <v/>
      </c>
      <c r="X22" s="184" t="str">
        <f t="shared" si="1"/>
        <v/>
      </c>
      <c r="Y22" s="184" t="str">
        <f t="shared" si="1"/>
        <v/>
      </c>
      <c r="Z22" s="184" t="str">
        <f t="shared" si="1"/>
        <v/>
      </c>
      <c r="AC22" s="233"/>
      <c r="AD22" s="233"/>
      <c r="AE22" s="233"/>
      <c r="AF22" s="233"/>
      <c r="AG22" s="233"/>
      <c r="AH22" s="233"/>
      <c r="AI22" s="233"/>
      <c r="AJ22" s="233"/>
      <c r="AK22" s="233"/>
      <c r="AL22" s="16"/>
      <c r="AM22" s="241"/>
      <c r="AN22" s="241"/>
      <c r="AO22" s="241"/>
      <c r="AP22" s="16"/>
    </row>
    <row r="23" spans="1:42" ht="15.75" customHeight="1">
      <c r="A23" s="253" t="s">
        <v>3530</v>
      </c>
      <c r="B23" s="253"/>
      <c r="C23" s="253"/>
      <c r="D23" s="253"/>
      <c r="E23" s="253"/>
      <c r="F23" s="253"/>
      <c r="G23" s="253"/>
      <c r="H23" s="253"/>
      <c r="I23" s="253"/>
      <c r="J23" s="253"/>
      <c r="K23" s="253"/>
      <c r="L23" s="253"/>
      <c r="M23" s="253"/>
      <c r="N23" s="253"/>
      <c r="O23" s="253"/>
      <c r="P23" s="253"/>
      <c r="Q23" s="253"/>
      <c r="R23" s="253"/>
      <c r="S23" s="253"/>
      <c r="T23" s="253"/>
      <c r="U23" s="253"/>
      <c r="V23" s="253"/>
      <c r="W23" s="253"/>
      <c r="X23" s="253"/>
      <c r="Y23" s="253"/>
      <c r="Z23" s="253"/>
      <c r="AC23" s="233"/>
      <c r="AD23" s="233"/>
      <c r="AE23" s="233"/>
      <c r="AF23" s="233"/>
      <c r="AG23" s="233"/>
      <c r="AH23" s="233"/>
      <c r="AI23" s="233"/>
      <c r="AJ23" s="233"/>
      <c r="AK23" s="233"/>
      <c r="AL23" s="241"/>
      <c r="AM23" s="241"/>
      <c r="AN23" s="241"/>
      <c r="AO23" s="16"/>
      <c r="AP23" s="16"/>
    </row>
    <row r="24" spans="1:42" ht="14.25" customHeight="1">
      <c r="A24" s="368" t="s">
        <v>3531</v>
      </c>
      <c r="B24" s="368"/>
      <c r="C24" s="368"/>
      <c r="D24" s="368"/>
      <c r="E24" s="368"/>
      <c r="F24" s="368"/>
      <c r="G24" s="368"/>
      <c r="H24" s="368"/>
      <c r="I24" s="368"/>
      <c r="J24" s="368"/>
      <c r="K24" s="307" t="str">
        <f>IF(N(Compétences!P10)+N(K9)=0,"",N(Compétences!P10)+N(K9))</f>
        <v/>
      </c>
      <c r="L24" s="307"/>
      <c r="M24" s="307"/>
      <c r="N24" s="368" t="s">
        <v>3533</v>
      </c>
      <c r="O24" s="368"/>
      <c r="P24" s="368"/>
      <c r="Q24" s="368"/>
      <c r="R24" s="368"/>
      <c r="S24" s="368"/>
      <c r="T24" s="368"/>
      <c r="U24" s="368"/>
      <c r="V24" s="368"/>
      <c r="W24" s="368"/>
      <c r="X24" s="307" t="str">
        <f>"+3"</f>
        <v>+3</v>
      </c>
      <c r="Y24" s="307"/>
      <c r="Z24" s="307"/>
      <c r="AC24" s="233"/>
      <c r="AD24" s="233"/>
      <c r="AE24" s="233"/>
      <c r="AF24" s="233"/>
      <c r="AG24" s="233"/>
      <c r="AH24" s="233"/>
      <c r="AI24" s="233"/>
      <c r="AJ24" s="233"/>
      <c r="AK24" s="233"/>
      <c r="AL24" s="16"/>
      <c r="AM24" s="16"/>
      <c r="AN24" s="16"/>
      <c r="AO24" s="16"/>
      <c r="AP24" s="16"/>
    </row>
    <row r="25" spans="1:42" ht="15" customHeight="1">
      <c r="A25" s="368" t="s">
        <v>3532</v>
      </c>
      <c r="B25" s="368"/>
      <c r="C25" s="368"/>
      <c r="D25" s="368"/>
      <c r="E25" s="368"/>
      <c r="F25" s="368"/>
      <c r="G25" s="368"/>
      <c r="H25" s="368"/>
      <c r="I25" s="368"/>
      <c r="J25" s="368"/>
      <c r="K25" s="307" t="str">
        <f>"+1"</f>
        <v>+1</v>
      </c>
      <c r="L25" s="307"/>
      <c r="M25" s="307"/>
      <c r="N25" s="368" t="s">
        <v>857</v>
      </c>
      <c r="O25" s="368"/>
      <c r="P25" s="368"/>
      <c r="Q25" s="368"/>
      <c r="R25" s="368"/>
      <c r="S25" s="368"/>
      <c r="T25" s="368"/>
      <c r="U25" s="368"/>
      <c r="V25" s="368"/>
      <c r="W25" s="368"/>
      <c r="X25" s="307"/>
      <c r="Y25" s="307"/>
      <c r="Z25" s="307"/>
      <c r="AC25" s="233"/>
      <c r="AD25" s="233"/>
      <c r="AE25" s="233"/>
      <c r="AF25" s="233"/>
      <c r="AG25" s="233"/>
      <c r="AH25" s="233"/>
      <c r="AI25" s="233"/>
      <c r="AJ25" s="233"/>
      <c r="AK25" s="233"/>
      <c r="AL25" s="16"/>
      <c r="AM25" s="16"/>
      <c r="AN25" s="16"/>
      <c r="AO25" s="16"/>
      <c r="AP25" s="16"/>
    </row>
    <row r="26" spans="1:42" ht="15" customHeight="1">
      <c r="A26" s="253" t="s">
        <v>734</v>
      </c>
      <c r="B26" s="253"/>
      <c r="C26" s="253"/>
      <c r="D26" s="253"/>
      <c r="E26" s="253"/>
      <c r="F26" s="253"/>
      <c r="G26" s="253"/>
      <c r="H26" s="253"/>
      <c r="I26" s="253"/>
      <c r="J26" s="253"/>
      <c r="K26" s="253"/>
      <c r="L26" s="253"/>
      <c r="M26" s="253"/>
      <c r="N26" s="253"/>
      <c r="O26" s="253"/>
      <c r="P26" s="253"/>
      <c r="Q26" s="253"/>
      <c r="R26" s="253"/>
      <c r="S26" s="253"/>
      <c r="T26" s="253"/>
      <c r="U26" s="253"/>
      <c r="V26" s="253"/>
      <c r="W26" s="253"/>
      <c r="X26" s="253"/>
      <c r="Y26" s="253"/>
      <c r="Z26" s="253"/>
      <c r="AC26" s="233"/>
    </row>
    <row r="27" spans="1:42" ht="15.75" customHeight="1">
      <c r="A27" s="329" t="s">
        <v>728</v>
      </c>
      <c r="B27" s="329"/>
      <c r="C27" s="329"/>
      <c r="D27" s="329"/>
      <c r="E27" s="329"/>
      <c r="F27" s="329"/>
      <c r="G27" s="329"/>
      <c r="H27" s="329"/>
      <c r="I27" s="329" t="s">
        <v>209</v>
      </c>
      <c r="J27" s="329"/>
      <c r="K27" s="329" t="s">
        <v>730</v>
      </c>
      <c r="L27" s="329"/>
      <c r="M27" s="329" t="s">
        <v>731</v>
      </c>
      <c r="N27" s="329"/>
      <c r="O27" s="329" t="s">
        <v>729</v>
      </c>
      <c r="P27" s="329"/>
      <c r="Q27" s="329" t="s">
        <v>3525</v>
      </c>
      <c r="R27" s="329"/>
      <c r="S27" s="329" t="s">
        <v>3634</v>
      </c>
      <c r="T27" s="329"/>
      <c r="U27" s="329" t="s">
        <v>3526</v>
      </c>
      <c r="V27" s="329"/>
      <c r="W27" s="329"/>
      <c r="X27" s="329"/>
      <c r="Y27" s="329"/>
      <c r="Z27" s="329"/>
      <c r="AC27" s="233"/>
    </row>
    <row r="28" spans="1:42" ht="15" customHeight="1">
      <c r="A28" s="386"/>
      <c r="B28" s="386"/>
      <c r="C28" s="386"/>
      <c r="D28" s="386"/>
      <c r="E28" s="386"/>
      <c r="F28" s="386"/>
      <c r="G28" s="386"/>
      <c r="H28" s="386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67"/>
      <c r="T28" s="367"/>
      <c r="U28" s="367"/>
      <c r="V28" s="367"/>
      <c r="W28" s="367"/>
      <c r="X28" s="367"/>
      <c r="Y28" s="367"/>
      <c r="Z28" s="367"/>
      <c r="AC28" s="16"/>
    </row>
    <row r="29" spans="1:42" ht="15" customHeight="1">
      <c r="A29" s="386"/>
      <c r="B29" s="386"/>
      <c r="C29" s="386"/>
      <c r="D29" s="386"/>
      <c r="E29" s="386"/>
      <c r="F29" s="386"/>
      <c r="G29" s="386"/>
      <c r="H29" s="386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7"/>
      <c r="T29" s="367"/>
      <c r="U29" s="367"/>
      <c r="V29" s="367"/>
      <c r="W29" s="367"/>
      <c r="X29" s="367"/>
      <c r="Y29" s="367"/>
      <c r="Z29" s="367"/>
      <c r="AC29" s="16"/>
    </row>
    <row r="30" spans="1:42" ht="15" customHeight="1">
      <c r="A30" s="386"/>
      <c r="B30" s="386"/>
      <c r="C30" s="386"/>
      <c r="D30" s="386"/>
      <c r="E30" s="386"/>
      <c r="F30" s="386"/>
      <c r="G30" s="386"/>
      <c r="H30" s="386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7"/>
      <c r="U30" s="367"/>
      <c r="V30" s="367"/>
      <c r="W30" s="367"/>
      <c r="X30" s="367"/>
      <c r="Y30" s="367"/>
      <c r="Z30" s="367"/>
      <c r="AC30" s="16"/>
    </row>
    <row r="31" spans="1:42" ht="15.75" customHeight="1">
      <c r="A31" s="386"/>
      <c r="B31" s="386"/>
      <c r="C31" s="386"/>
      <c r="D31" s="386"/>
      <c r="E31" s="386"/>
      <c r="F31" s="386"/>
      <c r="G31" s="386"/>
      <c r="H31" s="386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7"/>
      <c r="T31" s="367"/>
      <c r="U31" s="367"/>
      <c r="V31" s="367"/>
      <c r="W31" s="367"/>
      <c r="X31" s="367"/>
      <c r="Y31" s="367"/>
      <c r="Z31" s="367"/>
    </row>
    <row r="32" spans="1:42">
      <c r="A32" s="253" t="s">
        <v>248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 t="str">
        <f>IF(A33="Bracelets","CA","Ajust Magie")</f>
        <v>Ajust Magie</v>
      </c>
      <c r="L32" s="253"/>
      <c r="M32" s="253"/>
      <c r="N32" s="253"/>
      <c r="O32" s="253" t="s">
        <v>3635</v>
      </c>
      <c r="P32" s="253"/>
      <c r="Q32" s="253"/>
      <c r="R32" s="253"/>
      <c r="S32" s="253"/>
      <c r="T32" s="253"/>
      <c r="U32" s="253" t="s">
        <v>48</v>
      </c>
      <c r="V32" s="253"/>
      <c r="W32" s="253"/>
      <c r="X32" s="253"/>
      <c r="Y32" s="253"/>
      <c r="Z32" s="253"/>
    </row>
    <row r="33" spans="1:43" ht="15" customHeight="1">
      <c r="A33" s="251"/>
      <c r="B33" s="251"/>
      <c r="C33" s="251"/>
      <c r="D33" s="251"/>
      <c r="E33" s="251"/>
      <c r="F33" s="251"/>
      <c r="G33" s="251"/>
      <c r="H33" s="251"/>
      <c r="I33" s="251"/>
      <c r="J33" s="251"/>
      <c r="K33" s="370"/>
      <c r="L33" s="370"/>
      <c r="M33" s="370"/>
      <c r="N33" s="370"/>
      <c r="O33" s="377" t="str">
        <f>"CA: "&amp;IF(NPC=FALSE,"",Autres!Q57)</f>
        <v xml:space="preserve">CA: </v>
      </c>
      <c r="P33" s="377"/>
      <c r="Q33" s="377"/>
      <c r="R33" s="377"/>
      <c r="S33" s="377"/>
      <c r="T33" s="377"/>
      <c r="U33" s="253" t="s">
        <v>3262</v>
      </c>
      <c r="V33" s="253"/>
      <c r="W33" s="253" t="s">
        <v>3529</v>
      </c>
      <c r="X33" s="253"/>
      <c r="Y33" s="253" t="s">
        <v>3525</v>
      </c>
      <c r="Z33" s="253"/>
    </row>
    <row r="34" spans="1:43">
      <c r="A34" s="393" t="s">
        <v>1787</v>
      </c>
      <c r="B34" s="393"/>
      <c r="C34" s="393"/>
      <c r="D34" s="393"/>
      <c r="E34" s="393"/>
      <c r="F34" s="393"/>
      <c r="G34" s="393"/>
      <c r="H34" s="393"/>
      <c r="I34" s="393"/>
      <c r="J34" s="393"/>
      <c r="K34" s="253" t="s">
        <v>3527</v>
      </c>
      <c r="L34" s="253"/>
      <c r="M34" s="253"/>
      <c r="N34" s="253"/>
      <c r="O34" s="377" t="str">
        <f>"Sans Bouclier: "&amp;IF(NPC=FALSE,"",Autres!Q58)</f>
        <v xml:space="preserve">Sans Bouclier: </v>
      </c>
      <c r="P34" s="377"/>
      <c r="Q34" s="377"/>
      <c r="R34" s="377"/>
      <c r="S34" s="377"/>
      <c r="T34" s="377"/>
      <c r="U34" s="358" t="s">
        <v>49</v>
      </c>
      <c r="V34" s="358"/>
      <c r="W34" s="252" t="str">
        <f>IF('Saving Throws'!K1=TRUE,'Saving Throws'!I6,"")</f>
        <v/>
      </c>
      <c r="X34" s="252"/>
      <c r="Y34" s="364"/>
      <c r="Z34" s="364"/>
    </row>
    <row r="35" spans="1:43" ht="15" customHeight="1">
      <c r="A35" s="251"/>
      <c r="B35" s="251"/>
      <c r="C35" s="251"/>
      <c r="D35" s="251"/>
      <c r="E35" s="251"/>
      <c r="F35" s="251"/>
      <c r="G35" s="251"/>
      <c r="H35" s="251"/>
      <c r="I35" s="251"/>
      <c r="J35" s="251"/>
      <c r="K35" s="370"/>
      <c r="L35" s="370"/>
      <c r="M35" s="370"/>
      <c r="N35" s="370"/>
      <c r="O35" s="377" t="str">
        <f>"CA de Dos: "&amp;IF(NPC=FALSE,"",Autres!Q58)</f>
        <v xml:space="preserve">CA de Dos: </v>
      </c>
      <c r="P35" s="377"/>
      <c r="Q35" s="377"/>
      <c r="R35" s="377"/>
      <c r="S35" s="377"/>
      <c r="T35" s="377"/>
      <c r="U35" s="358" t="s">
        <v>50</v>
      </c>
      <c r="V35" s="358"/>
      <c r="W35" s="252" t="str">
        <f>IF('Saving Throws'!K1=TRUE,'Saving Throws'!I7,"")</f>
        <v/>
      </c>
      <c r="X35" s="252"/>
      <c r="Y35" s="364"/>
      <c r="Z35" s="364"/>
    </row>
    <row r="36" spans="1:43">
      <c r="A36" s="393" t="s">
        <v>3528</v>
      </c>
      <c r="B36" s="393"/>
      <c r="C36" s="393"/>
      <c r="D36" s="393"/>
      <c r="E36" s="393"/>
      <c r="F36" s="393"/>
      <c r="G36" s="393"/>
      <c r="H36" s="393"/>
      <c r="I36" s="393"/>
      <c r="J36" s="393"/>
      <c r="K36" s="253" t="s">
        <v>3527</v>
      </c>
      <c r="L36" s="253"/>
      <c r="M36" s="253"/>
      <c r="N36" s="253"/>
      <c r="O36" s="377" t="str">
        <f>"Suprise: "&amp;IF(NPC=FALSE,"",Autres!Q59)</f>
        <v xml:space="preserve">Suprise: </v>
      </c>
      <c r="P36" s="377"/>
      <c r="Q36" s="377"/>
      <c r="R36" s="377"/>
      <c r="S36" s="377"/>
      <c r="T36" s="377"/>
      <c r="U36" s="358" t="s">
        <v>51</v>
      </c>
      <c r="V36" s="358"/>
      <c r="W36" s="252" t="str">
        <f>IF('Saving Throws'!K1=TRUE,'Saving Throws'!I8,"")</f>
        <v/>
      </c>
      <c r="X36" s="252"/>
      <c r="Y36" s="364"/>
      <c r="Z36" s="364"/>
    </row>
    <row r="37" spans="1:43">
      <c r="A37" s="251"/>
      <c r="B37" s="251"/>
      <c r="C37" s="251"/>
      <c r="D37" s="251"/>
      <c r="E37" s="251"/>
      <c r="F37" s="251"/>
      <c r="G37" s="251"/>
      <c r="H37" s="251"/>
      <c r="I37" s="251"/>
      <c r="J37" s="251"/>
      <c r="K37" s="370"/>
      <c r="L37" s="370"/>
      <c r="M37" s="370"/>
      <c r="N37" s="370"/>
      <c r="O37" s="360" t="str">
        <f>"Base: "&amp;IF(NPC=FALSE,"",Autres!Q60)</f>
        <v xml:space="preserve">Base: </v>
      </c>
      <c r="P37" s="361"/>
      <c r="Q37" s="361"/>
      <c r="R37" s="361"/>
      <c r="S37" s="361"/>
      <c r="T37" s="362"/>
      <c r="U37" s="358" t="s">
        <v>52</v>
      </c>
      <c r="V37" s="358"/>
      <c r="W37" s="252" t="str">
        <f>IF('Saving Throws'!K1=TRUE,'Saving Throws'!I9,"")</f>
        <v/>
      </c>
      <c r="X37" s="252"/>
      <c r="Y37" s="364"/>
      <c r="Z37" s="364"/>
    </row>
    <row r="38" spans="1:43">
      <c r="A38" s="251"/>
      <c r="B38" s="251"/>
      <c r="C38" s="251"/>
      <c r="D38" s="251"/>
      <c r="E38" s="251"/>
      <c r="F38" s="251"/>
      <c r="G38" s="251"/>
      <c r="H38" s="251"/>
      <c r="I38" s="251"/>
      <c r="J38" s="251"/>
      <c r="K38" s="370"/>
      <c r="L38" s="370"/>
      <c r="M38" s="370"/>
      <c r="N38" s="370"/>
      <c r="O38" s="360" t="str">
        <f>"CA Naturelle: "&amp;IF(NPC=FALSE,"",IF(ISTEXT(VLOOKUP(Race,Race_stats,9,FALSE)),10,VLOOKUP(Race,Race_stats,9,FALSE)))</f>
        <v xml:space="preserve">CA Naturelle: </v>
      </c>
      <c r="P38" s="361"/>
      <c r="Q38" s="361"/>
      <c r="R38" s="361"/>
      <c r="S38" s="361"/>
      <c r="T38" s="362"/>
      <c r="U38" s="358" t="s">
        <v>53</v>
      </c>
      <c r="V38" s="358"/>
      <c r="W38" s="252" t="str">
        <f>IF('Saving Throws'!K1=TRUE,'Saving Throws'!I10,"")</f>
        <v/>
      </c>
      <c r="X38" s="252"/>
      <c r="Y38" s="364"/>
      <c r="Z38" s="364"/>
    </row>
    <row r="39" spans="1:43">
      <c r="A39" s="253" t="s">
        <v>3584</v>
      </c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 t="s">
        <v>3585</v>
      </c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</row>
    <row r="40" spans="1:43">
      <c r="A40" s="253" t="s">
        <v>3583</v>
      </c>
      <c r="B40" s="253"/>
      <c r="C40" s="253"/>
      <c r="D40" s="36">
        <v>1</v>
      </c>
      <c r="E40" s="36">
        <v>2</v>
      </c>
      <c r="F40" s="36">
        <v>3</v>
      </c>
      <c r="G40" s="36">
        <v>4</v>
      </c>
      <c r="H40" s="36">
        <v>5</v>
      </c>
      <c r="I40" s="36">
        <v>6</v>
      </c>
      <c r="J40" s="36">
        <v>7</v>
      </c>
      <c r="K40" s="36">
        <v>8</v>
      </c>
      <c r="L40" s="36">
        <v>9</v>
      </c>
      <c r="M40" s="36">
        <v>10</v>
      </c>
      <c r="N40" s="253" t="s">
        <v>3586</v>
      </c>
      <c r="O40" s="253"/>
      <c r="P40" s="253"/>
      <c r="Q40" s="253"/>
      <c r="R40" s="253"/>
      <c r="S40" s="253"/>
      <c r="T40" s="253"/>
      <c r="U40" s="253" t="s">
        <v>3587</v>
      </c>
      <c r="V40" s="253"/>
      <c r="W40" s="253"/>
      <c r="X40" s="253"/>
      <c r="Y40" s="253"/>
      <c r="Z40" s="253"/>
    </row>
    <row r="41" spans="1:43">
      <c r="A41" s="252" t="str">
        <f>IF(Classe=0,"",Classe)</f>
        <v/>
      </c>
      <c r="B41" s="252"/>
      <c r="C41" s="252"/>
      <c r="D41" s="2"/>
      <c r="E41" s="2"/>
      <c r="F41" s="2"/>
      <c r="G41" s="2"/>
      <c r="H41" s="2"/>
      <c r="I41" s="2"/>
      <c r="J41" s="184"/>
      <c r="K41" s="184"/>
      <c r="L41" s="184"/>
      <c r="M41" s="184"/>
      <c r="N41" s="401"/>
      <c r="O41" s="401"/>
      <c r="P41" s="401"/>
      <c r="Q41" s="401"/>
      <c r="R41" s="401"/>
      <c r="S41" s="401"/>
      <c r="T41" s="401"/>
      <c r="U41" s="402"/>
      <c r="V41" s="402"/>
      <c r="W41" s="402"/>
      <c r="X41" s="402"/>
      <c r="Y41" s="402"/>
      <c r="Z41" s="402"/>
    </row>
    <row r="42" spans="1:43">
      <c r="A42" s="252" t="str">
        <f>IF(Classe2=0,"",Classe2)</f>
        <v/>
      </c>
      <c r="B42" s="252"/>
      <c r="C42" s="252"/>
      <c r="D42" s="2"/>
      <c r="E42" s="2"/>
      <c r="F42" s="2"/>
      <c r="G42" s="2"/>
      <c r="H42" s="2"/>
      <c r="I42" s="2"/>
      <c r="J42" s="184"/>
      <c r="K42" s="184"/>
      <c r="L42" s="184"/>
      <c r="M42" s="184"/>
      <c r="N42" s="403" t="s">
        <v>3631</v>
      </c>
      <c r="O42" s="404"/>
      <c r="P42" s="404"/>
      <c r="Q42" s="404"/>
      <c r="R42" s="404"/>
      <c r="S42" s="404"/>
      <c r="T42" s="404"/>
      <c r="U42" s="404"/>
      <c r="V42" s="404"/>
      <c r="W42" s="404"/>
      <c r="X42" s="404"/>
      <c r="Y42" s="404"/>
      <c r="Z42" s="405"/>
    </row>
    <row r="43" spans="1:43">
      <c r="A43" s="252" t="str">
        <f>IF(Classe3=0,"",Classe3)</f>
        <v/>
      </c>
      <c r="B43" s="252"/>
      <c r="C43" s="252"/>
      <c r="D43" s="2"/>
      <c r="E43" s="2"/>
      <c r="F43" s="2"/>
      <c r="G43" s="2"/>
      <c r="H43" s="2"/>
      <c r="I43" s="2"/>
      <c r="J43" s="184"/>
      <c r="K43" s="184"/>
      <c r="L43" s="184"/>
      <c r="M43" s="184"/>
      <c r="N43" s="307" t="s">
        <v>156</v>
      </c>
      <c r="O43" s="307"/>
      <c r="P43" s="307"/>
      <c r="Q43" s="401" t="s">
        <v>3525</v>
      </c>
      <c r="R43" s="401"/>
      <c r="S43" s="401" t="s">
        <v>3632</v>
      </c>
      <c r="T43" s="401"/>
      <c r="U43" s="401"/>
      <c r="V43" s="401"/>
      <c r="W43" s="402" t="s">
        <v>3633</v>
      </c>
      <c r="X43" s="402"/>
      <c r="Y43" s="402"/>
      <c r="Z43" s="402"/>
    </row>
    <row r="44" spans="1:43">
      <c r="A44" s="252" t="s">
        <v>3630</v>
      </c>
      <c r="B44" s="252"/>
      <c r="C44" s="252"/>
      <c r="D44" s="2"/>
      <c r="E44" s="2"/>
      <c r="F44" s="2"/>
      <c r="G44" s="2"/>
      <c r="H44" s="2"/>
      <c r="I44" s="2"/>
      <c r="J44" s="184"/>
      <c r="K44" s="184"/>
      <c r="L44" s="184"/>
      <c r="M44" s="184"/>
      <c r="N44" s="252" t="str">
        <f>IF(Classe=0,"",Classe)</f>
        <v/>
      </c>
      <c r="O44" s="252"/>
      <c r="P44" s="252"/>
      <c r="Q44" s="401"/>
      <c r="R44" s="401"/>
      <c r="S44" s="401"/>
      <c r="T44" s="401"/>
      <c r="U44" s="401"/>
      <c r="V44" s="401"/>
      <c r="W44" s="402"/>
      <c r="X44" s="402"/>
      <c r="Y44" s="402"/>
      <c r="Z44" s="402"/>
    </row>
    <row r="45" spans="1:43">
      <c r="A45" s="391" t="s">
        <v>732</v>
      </c>
      <c r="B45" s="390"/>
      <c r="C45" s="390"/>
      <c r="D45" s="390"/>
      <c r="E45" s="390"/>
      <c r="F45" s="390"/>
      <c r="G45" s="390"/>
      <c r="H45" s="390"/>
      <c r="I45" s="390"/>
      <c r="J45" s="390"/>
      <c r="K45" s="390"/>
      <c r="L45" s="390"/>
      <c r="M45" s="392"/>
      <c r="N45" s="252" t="str">
        <f>IF(Classe2=0,"",Classe2)</f>
        <v/>
      </c>
      <c r="O45" s="252"/>
      <c r="P45" s="252"/>
      <c r="Q45" s="401"/>
      <c r="R45" s="401"/>
      <c r="S45" s="401"/>
      <c r="T45" s="401"/>
      <c r="U45" s="401"/>
      <c r="V45" s="401"/>
      <c r="W45" s="402"/>
      <c r="X45" s="402"/>
      <c r="Y45" s="402"/>
      <c r="Z45" s="402"/>
    </row>
    <row r="46" spans="1:43">
      <c r="A46" s="252" t="s">
        <v>733</v>
      </c>
      <c r="B46" s="252"/>
      <c r="C46" s="252"/>
      <c r="D46" s="252"/>
      <c r="E46" s="252"/>
      <c r="F46" s="252"/>
      <c r="G46" s="252"/>
      <c r="H46" s="252"/>
      <c r="I46" s="252"/>
      <c r="J46" s="252"/>
      <c r="K46" s="252" t="s">
        <v>3542</v>
      </c>
      <c r="L46" s="252"/>
      <c r="M46" s="252"/>
      <c r="N46" s="250" t="str">
        <f>IF(Classe3=0,"",Classe3)</f>
        <v/>
      </c>
      <c r="O46" s="252"/>
      <c r="P46" s="252"/>
      <c r="Q46" s="401"/>
      <c r="R46" s="401"/>
      <c r="S46" s="401"/>
      <c r="T46" s="401"/>
      <c r="U46" s="401"/>
      <c r="V46" s="401"/>
      <c r="W46" s="402"/>
      <c r="X46" s="402"/>
      <c r="Y46" s="402"/>
      <c r="Z46" s="402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</row>
    <row r="47" spans="1:43">
      <c r="A47" s="252"/>
      <c r="B47" s="252"/>
      <c r="C47" s="252"/>
      <c r="D47" s="252"/>
      <c r="E47" s="252"/>
      <c r="F47" s="252"/>
      <c r="G47" s="252"/>
      <c r="H47" s="252"/>
      <c r="I47" s="252"/>
      <c r="J47" s="252"/>
      <c r="K47" s="252"/>
      <c r="L47" s="252"/>
      <c r="M47" s="252"/>
      <c r="N47" s="390" t="s">
        <v>1902</v>
      </c>
      <c r="O47" s="390"/>
      <c r="P47" s="390"/>
      <c r="Q47" s="390"/>
      <c r="R47" s="390"/>
      <c r="S47" s="390"/>
      <c r="T47" s="390"/>
      <c r="U47" s="390"/>
      <c r="V47" s="390"/>
      <c r="W47" s="390"/>
      <c r="X47" s="390"/>
      <c r="Y47" s="390"/>
      <c r="Z47" s="390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</row>
    <row r="48" spans="1:43">
      <c r="A48" s="252"/>
      <c r="B48" s="252"/>
      <c r="C48" s="252"/>
      <c r="D48" s="252"/>
      <c r="E48" s="252"/>
      <c r="F48" s="252"/>
      <c r="G48" s="252"/>
      <c r="H48" s="252"/>
      <c r="I48" s="252"/>
      <c r="J48" s="252"/>
      <c r="K48" s="252"/>
      <c r="L48" s="252"/>
      <c r="M48" s="252"/>
      <c r="N48" s="397"/>
      <c r="O48" s="307"/>
      <c r="P48" s="307"/>
      <c r="Q48" s="307"/>
      <c r="R48" s="307"/>
      <c r="S48" s="307"/>
      <c r="T48" s="307"/>
      <c r="U48" s="307"/>
      <c r="V48" s="307"/>
      <c r="W48" s="307"/>
      <c r="X48" s="307"/>
      <c r="Y48" s="307"/>
      <c r="Z48" s="307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</row>
    <row r="49" spans="1:43">
      <c r="A49" s="252"/>
      <c r="B49" s="252"/>
      <c r="C49" s="252"/>
      <c r="D49" s="252"/>
      <c r="E49" s="252"/>
      <c r="F49" s="252"/>
      <c r="G49" s="252"/>
      <c r="H49" s="252"/>
      <c r="I49" s="252"/>
      <c r="J49" s="252"/>
      <c r="K49" s="252"/>
      <c r="L49" s="252"/>
      <c r="M49" s="252"/>
      <c r="N49" s="397"/>
      <c r="O49" s="307"/>
      <c r="P49" s="307"/>
      <c r="Q49" s="307"/>
      <c r="R49" s="307"/>
      <c r="S49" s="307"/>
      <c r="T49" s="307"/>
      <c r="U49" s="307"/>
      <c r="V49" s="307"/>
      <c r="W49" s="307"/>
      <c r="X49" s="307"/>
      <c r="Y49" s="307"/>
      <c r="Z49" s="307"/>
      <c r="AB49" s="16"/>
      <c r="AC49" s="348"/>
      <c r="AD49" s="348"/>
      <c r="AE49" s="348"/>
      <c r="AF49" s="348"/>
      <c r="AG49" s="348"/>
      <c r="AH49" s="348"/>
      <c r="AI49" s="348"/>
      <c r="AJ49" s="348"/>
      <c r="AK49" s="348"/>
      <c r="AL49" s="348"/>
      <c r="AM49" s="348"/>
      <c r="AN49" s="348"/>
      <c r="AO49" s="348"/>
      <c r="AP49" s="16"/>
      <c r="AQ49" s="16"/>
    </row>
    <row r="50" spans="1:43">
      <c r="A50" s="252"/>
      <c r="B50" s="252"/>
      <c r="C50" s="252"/>
      <c r="D50" s="252"/>
      <c r="E50" s="252"/>
      <c r="F50" s="252"/>
      <c r="G50" s="252"/>
      <c r="H50" s="252"/>
      <c r="I50" s="252"/>
      <c r="J50" s="252"/>
      <c r="K50" s="252"/>
      <c r="L50" s="252"/>
      <c r="M50" s="252"/>
      <c r="N50" s="397"/>
      <c r="O50" s="307"/>
      <c r="P50" s="307"/>
      <c r="Q50" s="307"/>
      <c r="R50" s="307"/>
      <c r="S50" s="307"/>
      <c r="T50" s="307"/>
      <c r="U50" s="307"/>
      <c r="V50" s="307"/>
      <c r="W50" s="307"/>
      <c r="X50" s="307"/>
      <c r="Y50" s="307"/>
      <c r="Z50" s="307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</row>
    <row r="51" spans="1:43">
      <c r="A51" s="16"/>
      <c r="G51" s="395" t="str">
        <f>IF(NPC=FALSE,"","Armure:")</f>
        <v/>
      </c>
      <c r="H51" s="395"/>
      <c r="I51" s="407" t="s">
        <v>251</v>
      </c>
      <c r="J51" s="407"/>
      <c r="K51" s="407"/>
      <c r="L51" s="407"/>
      <c r="M51" s="407"/>
      <c r="N51" s="407"/>
      <c r="O51" s="407"/>
      <c r="P51" s="407"/>
      <c r="Q51" s="407"/>
      <c r="R51" s="407"/>
      <c r="S51" s="407"/>
      <c r="T51" s="407"/>
      <c r="U51" s="1" t="str">
        <f>IF(NPC=TRUE,IF(Attributs!$T$150=TRUE,"Points "&amp;ROUND(60+(level-1)*30-SUM(U53:W65)*100,0),IF(OR(Classe="Barde",Classe2="Barde",Classe3="Barde"),40,0)-SUM(U53:W65)),"")</f>
        <v/>
      </c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</row>
    <row r="52" spans="1:43">
      <c r="A52" s="290" t="s">
        <v>207</v>
      </c>
      <c r="B52" s="291"/>
      <c r="C52" s="291"/>
      <c r="D52" s="291"/>
      <c r="E52" s="291"/>
      <c r="F52" s="291"/>
      <c r="G52" s="291"/>
      <c r="H52" s="291"/>
      <c r="I52" s="291"/>
      <c r="J52" s="291"/>
      <c r="K52" s="278" t="s">
        <v>247</v>
      </c>
      <c r="L52" s="359"/>
      <c r="M52" s="359" t="s">
        <v>179</v>
      </c>
      <c r="N52" s="359"/>
      <c r="O52" s="359" t="s">
        <v>198</v>
      </c>
      <c r="P52" s="359"/>
      <c r="Q52" s="359"/>
      <c r="R52" s="359" t="s">
        <v>248</v>
      </c>
      <c r="S52" s="359"/>
      <c r="T52" s="359"/>
      <c r="U52" s="359" t="s">
        <v>250</v>
      </c>
      <c r="V52" s="359"/>
      <c r="W52" s="359"/>
      <c r="X52" s="359" t="s">
        <v>249</v>
      </c>
      <c r="Y52" s="359"/>
      <c r="Z52" s="359"/>
      <c r="AB52" s="16"/>
      <c r="AC52" s="16"/>
      <c r="AD52" s="16"/>
      <c r="AE52" s="16"/>
    </row>
    <row r="53" spans="1:43">
      <c r="A53" s="252" t="s">
        <v>239</v>
      </c>
      <c r="B53" s="252"/>
      <c r="C53" s="252"/>
      <c r="D53" s="252"/>
      <c r="E53" s="252"/>
      <c r="F53" s="252"/>
      <c r="G53" s="252"/>
      <c r="H53" s="252"/>
      <c r="I53" s="252"/>
      <c r="J53" s="252"/>
      <c r="K53" s="344" t="str">
        <f t="shared" ref="K53:K65" si="2">IF(NPC=FALSE,"",IF(OR(Classe="Voleur",Classe2="Voleur",Classe3="Voleur"),VLOOKUP(A53,Tab_comp_voleur,4,FALSE),IF(OR(Classe="Barde",Classe2="Barde",Classe3="Barde"),VLOOKUP(A53,Tab_comp_voleur,5,FALSE),0)))</f>
        <v/>
      </c>
      <c r="L53" s="344"/>
      <c r="M53" s="344" t="str">
        <f>IF(NPC=FALSE,"",VLOOKUP(Race,Race_stats,10,FALSE))</f>
        <v/>
      </c>
      <c r="N53" s="356"/>
      <c r="O53" s="344" t="str">
        <f>IF(NPC=FALSE,"",VLOOKUP(Score_DEX,Tab_comp_voleur_dex,2))</f>
        <v/>
      </c>
      <c r="P53" s="344"/>
      <c r="Q53" s="344"/>
      <c r="R53" s="344" t="str">
        <f t="shared" ref="R53:R65" si="3">IF(NPC=FALSE,"",VLOOKUP($A53,Tab_comp_voleur,HLOOKUP($I$51,Tab_comp_voleur,16,FALSE),FALSE))</f>
        <v/>
      </c>
      <c r="S53" s="344" t="str">
        <f>IF(NPC=FALSE,"",VLOOKUP(#REF!,Tab_comp_voleur,HLOOKUP(A51,Tab_comp_voleur,16,FALSE),FALSE))</f>
        <v/>
      </c>
      <c r="T53" s="344" t="str">
        <f>IF(NPC=FALSE,"",VLOOKUP(#REF!,Tab_comp_voleur,HLOOKUP(B51,Tab_comp_voleur,16,FALSE),FALSE))</f>
        <v/>
      </c>
      <c r="U53" s="357"/>
      <c r="V53" s="357"/>
      <c r="W53" s="357"/>
      <c r="X53" s="344" t="str">
        <f t="shared" ref="X53:X65" si="4">IF(NPC=FALSE,"",$K53+$M53+$O53+$R53+$U53)</f>
        <v/>
      </c>
      <c r="Y53" s="344"/>
      <c r="Z53" s="344"/>
      <c r="AA53" s="209"/>
      <c r="AB53" s="209"/>
    </row>
    <row r="54" spans="1:43">
      <c r="A54" s="252" t="s">
        <v>240</v>
      </c>
      <c r="B54" s="252"/>
      <c r="C54" s="252"/>
      <c r="D54" s="252"/>
      <c r="E54" s="252"/>
      <c r="F54" s="252"/>
      <c r="G54" s="252"/>
      <c r="H54" s="252"/>
      <c r="I54" s="252"/>
      <c r="J54" s="252"/>
      <c r="K54" s="344" t="str">
        <f t="shared" si="2"/>
        <v/>
      </c>
      <c r="L54" s="344"/>
      <c r="M54" s="344" t="str">
        <f>IF(NPC=FALSE,"",VLOOKUP(Race,Race_stats,11,FALSE))</f>
        <v/>
      </c>
      <c r="N54" s="356"/>
      <c r="O54" s="344" t="str">
        <f>IF(NPC=FALSE,"",VLOOKUP(Score_DEX,Tab_comp_voleur_dex,3))</f>
        <v/>
      </c>
      <c r="P54" s="344"/>
      <c r="Q54" s="344"/>
      <c r="R54" s="344" t="str">
        <f t="shared" si="3"/>
        <v/>
      </c>
      <c r="S54" s="344" t="str">
        <f>IF(NPC=FALSE,"",VLOOKUP(#REF!,Tab_comp_voleur,HLOOKUP(A52,Tab_comp_voleur,16,FALSE),FALSE))</f>
        <v/>
      </c>
      <c r="T54" s="344" t="str">
        <f>IF(NPC=FALSE,"",VLOOKUP(#REF!,Tab_comp_voleur,HLOOKUP(B52,Tab_comp_voleur,16,FALSE),FALSE))</f>
        <v/>
      </c>
      <c r="U54" s="357"/>
      <c r="V54" s="357"/>
      <c r="W54" s="357"/>
      <c r="X54" s="344" t="str">
        <f t="shared" si="4"/>
        <v/>
      </c>
      <c r="Y54" s="344"/>
      <c r="Z54" s="344"/>
      <c r="AC54" s="209"/>
    </row>
    <row r="55" spans="1:43">
      <c r="A55" s="252" t="s">
        <v>241</v>
      </c>
      <c r="B55" s="252"/>
      <c r="C55" s="252"/>
      <c r="D55" s="252"/>
      <c r="E55" s="252"/>
      <c r="F55" s="252"/>
      <c r="G55" s="252"/>
      <c r="H55" s="252"/>
      <c r="I55" s="252"/>
      <c r="J55" s="252"/>
      <c r="K55" s="344" t="str">
        <f t="shared" si="2"/>
        <v/>
      </c>
      <c r="L55" s="344"/>
      <c r="M55" s="344" t="str">
        <f>IF(NPC=FALSE,"",VLOOKUP(Race,Race_stats,12,FALSE))</f>
        <v/>
      </c>
      <c r="N55" s="356"/>
      <c r="O55" s="344" t="str">
        <f>IF(NPC=FALSE,"",VLOOKUP(Score_DEX,Tab_comp_voleur_dex,4))</f>
        <v/>
      </c>
      <c r="P55" s="344"/>
      <c r="Q55" s="344"/>
      <c r="R55" s="344" t="str">
        <f t="shared" si="3"/>
        <v/>
      </c>
      <c r="S55" s="344" t="str">
        <f>IF(NPC=FALSE,"",VLOOKUP(#REF!,Tab_comp_voleur,HLOOKUP(A53,Tab_comp_voleur,16,FALSE),FALSE))</f>
        <v/>
      </c>
      <c r="T55" s="344" t="str">
        <f>IF(NPC=FALSE,"",VLOOKUP(#REF!,Tab_comp_voleur,HLOOKUP(B53,Tab_comp_voleur,16,FALSE),FALSE))</f>
        <v/>
      </c>
      <c r="U55" s="357"/>
      <c r="V55" s="357"/>
      <c r="W55" s="357"/>
      <c r="X55" s="344" t="str">
        <f t="shared" si="4"/>
        <v/>
      </c>
      <c r="Y55" s="344"/>
      <c r="Z55" s="344"/>
    </row>
    <row r="56" spans="1:43">
      <c r="A56" s="252" t="s">
        <v>242</v>
      </c>
      <c r="B56" s="252"/>
      <c r="C56" s="252"/>
      <c r="D56" s="252"/>
      <c r="E56" s="252"/>
      <c r="F56" s="252"/>
      <c r="G56" s="252"/>
      <c r="H56" s="252"/>
      <c r="I56" s="252"/>
      <c r="J56" s="252"/>
      <c r="K56" s="344" t="str">
        <f t="shared" si="2"/>
        <v/>
      </c>
      <c r="L56" s="344"/>
      <c r="M56" s="344" t="str">
        <f>IF(NPC=FALSE,"",VLOOKUP(Race,Race_stats,13,FALSE))</f>
        <v/>
      </c>
      <c r="N56" s="356"/>
      <c r="O56" s="344" t="str">
        <f>IF(NPC=FALSE,"",VLOOKUP(Score_DEX,Tab_comp_voleur_dex,5))</f>
        <v/>
      </c>
      <c r="P56" s="344"/>
      <c r="Q56" s="344"/>
      <c r="R56" s="344" t="str">
        <f t="shared" si="3"/>
        <v/>
      </c>
      <c r="S56" s="344" t="str">
        <f>IF(NPC=FALSE,"",VLOOKUP(#REF!,Tab_comp_voleur,HLOOKUP(A54,Tab_comp_voleur,16,FALSE),FALSE))</f>
        <v/>
      </c>
      <c r="T56" s="344" t="str">
        <f>IF(NPC=FALSE,"",VLOOKUP(#REF!,Tab_comp_voleur,HLOOKUP(B54,Tab_comp_voleur,16,FALSE),FALSE))</f>
        <v/>
      </c>
      <c r="U56" s="357"/>
      <c r="V56" s="357"/>
      <c r="W56" s="357"/>
      <c r="X56" s="344" t="str">
        <f t="shared" si="4"/>
        <v/>
      </c>
      <c r="Y56" s="344"/>
      <c r="Z56" s="344"/>
    </row>
    <row r="57" spans="1:43">
      <c r="A57" s="252" t="s">
        <v>243</v>
      </c>
      <c r="B57" s="252"/>
      <c r="C57" s="252"/>
      <c r="D57" s="252"/>
      <c r="E57" s="252"/>
      <c r="F57" s="252"/>
      <c r="G57" s="252"/>
      <c r="H57" s="252"/>
      <c r="I57" s="252"/>
      <c r="J57" s="252"/>
      <c r="K57" s="344" t="str">
        <f t="shared" si="2"/>
        <v/>
      </c>
      <c r="L57" s="344"/>
      <c r="M57" s="344" t="str">
        <f>IF(NPC=FALSE,"",VLOOKUP(Race,Race_stats,14,FALSE))</f>
        <v/>
      </c>
      <c r="N57" s="356"/>
      <c r="O57" s="344" t="str">
        <f>IF(NPC=FALSE,"",VLOOKUP(Score_DEX,Tab_comp_voleur_dex,6))</f>
        <v/>
      </c>
      <c r="P57" s="344"/>
      <c r="Q57" s="344"/>
      <c r="R57" s="344" t="str">
        <f t="shared" si="3"/>
        <v/>
      </c>
      <c r="S57" s="344" t="str">
        <f>IF(NPC=FALSE,"",VLOOKUP(#REF!,Tab_comp_voleur,HLOOKUP(A55,Tab_comp_voleur,16,FALSE),FALSE))</f>
        <v/>
      </c>
      <c r="T57" s="344" t="str">
        <f>IF(NPC=FALSE,"",VLOOKUP(#REF!,Tab_comp_voleur,HLOOKUP(B55,Tab_comp_voleur,16,FALSE),FALSE))</f>
        <v/>
      </c>
      <c r="U57" s="357"/>
      <c r="V57" s="357"/>
      <c r="W57" s="357"/>
      <c r="X57" s="344" t="str">
        <f t="shared" si="4"/>
        <v/>
      </c>
      <c r="Y57" s="344"/>
      <c r="Z57" s="344"/>
    </row>
    <row r="58" spans="1:43">
      <c r="A58" s="252" t="s">
        <v>244</v>
      </c>
      <c r="B58" s="252"/>
      <c r="C58" s="252"/>
      <c r="D58" s="252"/>
      <c r="E58" s="252"/>
      <c r="F58" s="252"/>
      <c r="G58" s="252"/>
      <c r="H58" s="252"/>
      <c r="I58" s="252"/>
      <c r="J58" s="252"/>
      <c r="K58" s="344" t="str">
        <f t="shared" si="2"/>
        <v/>
      </c>
      <c r="L58" s="344"/>
      <c r="M58" s="344" t="str">
        <f>IF(NPC=FALSE,"",VLOOKUP(Race,Race_stats,15,FALSE))</f>
        <v/>
      </c>
      <c r="N58" s="356"/>
      <c r="O58" s="344" t="str">
        <f t="shared" ref="O58:O63" si="5">IF(NPC=FALSE,"",0%)</f>
        <v/>
      </c>
      <c r="P58" s="344"/>
      <c r="Q58" s="344"/>
      <c r="R58" s="344" t="str">
        <f t="shared" si="3"/>
        <v/>
      </c>
      <c r="S58" s="344" t="str">
        <f>IF(NPC=FALSE,"",VLOOKUP(#REF!,Tab_comp_voleur,HLOOKUP(A56,Tab_comp_voleur,16,FALSE),FALSE))</f>
        <v/>
      </c>
      <c r="T58" s="344" t="str">
        <f>IF(NPC=FALSE,"",VLOOKUP(#REF!,Tab_comp_voleur,HLOOKUP(B56,Tab_comp_voleur,16,FALSE),FALSE))</f>
        <v/>
      </c>
      <c r="U58" s="357"/>
      <c r="V58" s="357"/>
      <c r="W58" s="357"/>
      <c r="X58" s="344" t="str">
        <f t="shared" si="4"/>
        <v/>
      </c>
      <c r="Y58" s="344"/>
      <c r="Z58" s="344"/>
    </row>
    <row r="59" spans="1:43">
      <c r="A59" s="252" t="s">
        <v>245</v>
      </c>
      <c r="B59" s="252"/>
      <c r="C59" s="252"/>
      <c r="D59" s="252"/>
      <c r="E59" s="252"/>
      <c r="F59" s="252"/>
      <c r="G59" s="252"/>
      <c r="H59" s="252"/>
      <c r="I59" s="252"/>
      <c r="J59" s="252"/>
      <c r="K59" s="344" t="str">
        <f t="shared" si="2"/>
        <v/>
      </c>
      <c r="L59" s="344"/>
      <c r="M59" s="344" t="str">
        <f>IF(NPC=FALSE,"",VLOOKUP(Race,Race_stats,16,FALSE))</f>
        <v/>
      </c>
      <c r="N59" s="356"/>
      <c r="O59" s="344" t="str">
        <f>IF(NPC=FALSE,"",VLOOKUP(Score_DEX,Tab_comp_voleur_dex,8))</f>
        <v/>
      </c>
      <c r="P59" s="344"/>
      <c r="Q59" s="344"/>
      <c r="R59" s="344" t="str">
        <f t="shared" si="3"/>
        <v/>
      </c>
      <c r="S59" s="344" t="str">
        <f>IF(NPC=FALSE,"",VLOOKUP(#REF!,Tab_comp_voleur,HLOOKUP(A57,Tab_comp_voleur,16,FALSE),FALSE))</f>
        <v/>
      </c>
      <c r="T59" s="344" t="str">
        <f>IF(NPC=FALSE,"",VLOOKUP(#REF!,Tab_comp_voleur,HLOOKUP(B57,Tab_comp_voleur,16,FALSE),FALSE))</f>
        <v/>
      </c>
      <c r="U59" s="357"/>
      <c r="V59" s="357"/>
      <c r="W59" s="357"/>
      <c r="X59" s="344" t="str">
        <f t="shared" si="4"/>
        <v/>
      </c>
      <c r="Y59" s="344"/>
      <c r="Z59" s="344"/>
    </row>
    <row r="60" spans="1:43">
      <c r="A60" s="252" t="s">
        <v>246</v>
      </c>
      <c r="B60" s="252"/>
      <c r="C60" s="252"/>
      <c r="D60" s="252"/>
      <c r="E60" s="252"/>
      <c r="F60" s="252"/>
      <c r="G60" s="252"/>
      <c r="H60" s="252"/>
      <c r="I60" s="252"/>
      <c r="J60" s="252"/>
      <c r="K60" s="344" t="str">
        <f t="shared" si="2"/>
        <v/>
      </c>
      <c r="L60" s="344"/>
      <c r="M60" s="344" t="str">
        <f>IF(NPC=FALSE,"",VLOOKUP(Race,Race_stats,17,FALSE))</f>
        <v/>
      </c>
      <c r="N60" s="356"/>
      <c r="O60" s="344" t="str">
        <f t="shared" si="5"/>
        <v/>
      </c>
      <c r="P60" s="344"/>
      <c r="Q60" s="344"/>
      <c r="R60" s="344" t="str">
        <f t="shared" si="3"/>
        <v/>
      </c>
      <c r="S60" s="344" t="str">
        <f>IF(NPC=FALSE,"",VLOOKUP(#REF!,Tab_comp_voleur,HLOOKUP(A58,Tab_comp_voleur,16,FALSE),FALSE))</f>
        <v/>
      </c>
      <c r="T60" s="344" t="str">
        <f>IF(NPC=FALSE,"",VLOOKUP(#REF!,Tab_comp_voleur,HLOOKUP(B58,Tab_comp_voleur,16,FALSE),FALSE))</f>
        <v/>
      </c>
      <c r="U60" s="357"/>
      <c r="V60" s="357"/>
      <c r="W60" s="357"/>
      <c r="X60" s="344" t="str">
        <f t="shared" si="4"/>
        <v/>
      </c>
      <c r="Y60" s="344"/>
      <c r="Z60" s="344"/>
    </row>
    <row r="61" spans="1:43">
      <c r="A61" s="252" t="s">
        <v>868</v>
      </c>
      <c r="B61" s="252"/>
      <c r="C61" s="252"/>
      <c r="D61" s="252"/>
      <c r="E61" s="252"/>
      <c r="F61" s="252"/>
      <c r="G61" s="252"/>
      <c r="H61" s="252"/>
      <c r="I61" s="252"/>
      <c r="J61" s="252"/>
      <c r="K61" s="344" t="str">
        <f t="shared" si="2"/>
        <v/>
      </c>
      <c r="L61" s="344"/>
      <c r="M61" s="344" t="str">
        <f>IF(NPC=FALSE,"",VLOOKUP(Race,Race_stats,20,FALSE))</f>
        <v/>
      </c>
      <c r="N61" s="356"/>
      <c r="O61" s="344" t="str">
        <f t="shared" si="5"/>
        <v/>
      </c>
      <c r="P61" s="344"/>
      <c r="Q61" s="344"/>
      <c r="R61" s="344" t="str">
        <f t="shared" si="3"/>
        <v/>
      </c>
      <c r="S61" s="344" t="str">
        <f>IF(NPC=FALSE,"",VLOOKUP(#REF!,Tab_comp_voleur,HLOOKUP(A59,Tab_comp_voleur,16,FALSE),FALSE))</f>
        <v/>
      </c>
      <c r="T61" s="344" t="str">
        <f>IF(NPC=FALSE,"",VLOOKUP(#REF!,Tab_comp_voleur,HLOOKUP(B59,Tab_comp_voleur,16,FALSE),FALSE))</f>
        <v/>
      </c>
      <c r="U61" s="357"/>
      <c r="V61" s="357"/>
      <c r="W61" s="357"/>
      <c r="X61" s="344" t="str">
        <f t="shared" si="4"/>
        <v/>
      </c>
      <c r="Y61" s="344"/>
      <c r="Z61" s="344"/>
    </row>
    <row r="62" spans="1:43">
      <c r="A62" s="252" t="s">
        <v>870</v>
      </c>
      <c r="B62" s="252"/>
      <c r="C62" s="252"/>
      <c r="D62" s="252"/>
      <c r="E62" s="252"/>
      <c r="F62" s="252"/>
      <c r="G62" s="252"/>
      <c r="H62" s="252"/>
      <c r="I62" s="252"/>
      <c r="J62" s="252"/>
      <c r="K62" s="344" t="str">
        <f t="shared" si="2"/>
        <v/>
      </c>
      <c r="L62" s="344"/>
      <c r="M62" s="344" t="str">
        <f>IF(NPC=FALSE,"",VLOOKUP(Race,Race_stats,18,FALSE))</f>
        <v/>
      </c>
      <c r="N62" s="356"/>
      <c r="O62" s="344" t="str">
        <f t="shared" si="5"/>
        <v/>
      </c>
      <c r="P62" s="344"/>
      <c r="Q62" s="344"/>
      <c r="R62" s="344" t="str">
        <f t="shared" si="3"/>
        <v/>
      </c>
      <c r="S62" s="344" t="str">
        <f>IF(NPC=FALSE,"",VLOOKUP(#REF!,Tab_comp_voleur,HLOOKUP(A60,Tab_comp_voleur,16,FALSE),FALSE))</f>
        <v/>
      </c>
      <c r="T62" s="344" t="str">
        <f>IF(NPC=FALSE,"",VLOOKUP(#REF!,Tab_comp_voleur,HLOOKUP(B60,Tab_comp_voleur,16,FALSE),FALSE))</f>
        <v/>
      </c>
      <c r="U62" s="357"/>
      <c r="V62" s="357"/>
      <c r="W62" s="357"/>
      <c r="X62" s="344" t="str">
        <f t="shared" si="4"/>
        <v/>
      </c>
      <c r="Y62" s="344"/>
      <c r="Z62" s="344"/>
    </row>
    <row r="63" spans="1:43">
      <c r="A63" s="252" t="s">
        <v>869</v>
      </c>
      <c r="B63" s="252"/>
      <c r="C63" s="252"/>
      <c r="D63" s="252"/>
      <c r="E63" s="252"/>
      <c r="F63" s="252"/>
      <c r="G63" s="252"/>
      <c r="H63" s="252"/>
      <c r="I63" s="252"/>
      <c r="J63" s="252"/>
      <c r="K63" s="344" t="str">
        <f t="shared" si="2"/>
        <v/>
      </c>
      <c r="L63" s="344"/>
      <c r="M63" s="344" t="str">
        <f>IF(NPC=FALSE,"",VLOOKUP(Race,Race_stats,19,FALSE))</f>
        <v/>
      </c>
      <c r="N63" s="356"/>
      <c r="O63" s="344" t="str">
        <f t="shared" si="5"/>
        <v/>
      </c>
      <c r="P63" s="344"/>
      <c r="Q63" s="344"/>
      <c r="R63" s="344" t="str">
        <f t="shared" si="3"/>
        <v/>
      </c>
      <c r="S63" s="344" t="str">
        <f>IF(NPC=FALSE,"",VLOOKUP(#REF!,Tab_comp_voleur,HLOOKUP(A61,Tab_comp_voleur,16,FALSE),FALSE))</f>
        <v/>
      </c>
      <c r="T63" s="344" t="str">
        <f>IF(NPC=FALSE,"",VLOOKUP(#REF!,Tab_comp_voleur,HLOOKUP(B61,Tab_comp_voleur,16,FALSE),FALSE))</f>
        <v/>
      </c>
      <c r="U63" s="357"/>
      <c r="V63" s="357"/>
      <c r="W63" s="357"/>
      <c r="X63" s="344" t="str">
        <f t="shared" si="4"/>
        <v/>
      </c>
      <c r="Y63" s="344"/>
      <c r="Z63" s="344"/>
    </row>
    <row r="64" spans="1:43">
      <c r="A64" s="252" t="s">
        <v>871</v>
      </c>
      <c r="B64" s="252"/>
      <c r="C64" s="252"/>
      <c r="D64" s="252"/>
      <c r="E64" s="252"/>
      <c r="F64" s="252"/>
      <c r="G64" s="252"/>
      <c r="H64" s="252"/>
      <c r="I64" s="252"/>
      <c r="J64" s="252"/>
      <c r="K64" s="344" t="str">
        <f t="shared" si="2"/>
        <v/>
      </c>
      <c r="L64" s="344"/>
      <c r="M64" s="344" t="str">
        <f>IF(NPC=FALSE,"",VLOOKUP(Race,Race_stats,22,FALSE))</f>
        <v/>
      </c>
      <c r="N64" s="356"/>
      <c r="O64" s="344" t="str">
        <f>IF(NPC=FALSE,"",VLOOKUP(Score_DEX,Tab_comp_voleur_dex,7))</f>
        <v/>
      </c>
      <c r="P64" s="344"/>
      <c r="Q64" s="344"/>
      <c r="R64" s="344" t="str">
        <f t="shared" si="3"/>
        <v/>
      </c>
      <c r="S64" s="344" t="str">
        <f>IF(NPC=FALSE,"",VLOOKUP(#REF!,Tab_comp_voleur,HLOOKUP(A62,Tab_comp_voleur,16,FALSE),FALSE))</f>
        <v/>
      </c>
      <c r="T64" s="344" t="str">
        <f>IF(NPC=FALSE,"",VLOOKUP(#REF!,Tab_comp_voleur,HLOOKUP(B62,Tab_comp_voleur,16,FALSE),FALSE))</f>
        <v/>
      </c>
      <c r="U64" s="357"/>
      <c r="V64" s="357"/>
      <c r="W64" s="357"/>
      <c r="X64" s="344" t="str">
        <f t="shared" si="4"/>
        <v/>
      </c>
      <c r="Y64" s="344"/>
      <c r="Z64" s="344"/>
    </row>
    <row r="65" spans="1:40">
      <c r="A65" s="252" t="s">
        <v>872</v>
      </c>
      <c r="B65" s="252"/>
      <c r="C65" s="252"/>
      <c r="D65" s="252"/>
      <c r="E65" s="252"/>
      <c r="F65" s="252"/>
      <c r="G65" s="252"/>
      <c r="H65" s="252"/>
      <c r="I65" s="252"/>
      <c r="J65" s="252"/>
      <c r="K65" s="344" t="str">
        <f t="shared" si="2"/>
        <v/>
      </c>
      <c r="L65" s="344"/>
      <c r="M65" s="344" t="str">
        <f>IF(NPC=FALSE,"",VLOOKUP(Race,Race_stats,21,FALSE))</f>
        <v/>
      </c>
      <c r="N65" s="356"/>
      <c r="O65" s="344" t="str">
        <f>IF(NPC=FALSE,"",VLOOKUP(Score_DEX,Tab_comp_voleur_dex,9))</f>
        <v/>
      </c>
      <c r="P65" s="344"/>
      <c r="Q65" s="344"/>
      <c r="R65" s="344" t="str">
        <f t="shared" si="3"/>
        <v/>
      </c>
      <c r="S65" s="344" t="str">
        <f>IF(NPC=FALSE,"",VLOOKUP(#REF!,Tab_comp_voleur,HLOOKUP(A63,Tab_comp_voleur,16,FALSE),FALSE))</f>
        <v/>
      </c>
      <c r="T65" s="344" t="str">
        <f>IF(NPC=FALSE,"",VLOOKUP(#REF!,Tab_comp_voleur,HLOOKUP(B63,Tab_comp_voleur,16,FALSE),FALSE))</f>
        <v/>
      </c>
      <c r="U65" s="357"/>
      <c r="V65" s="357"/>
      <c r="W65" s="357"/>
      <c r="X65" s="344" t="str">
        <f t="shared" si="4"/>
        <v/>
      </c>
      <c r="Y65" s="344"/>
      <c r="Z65" s="344"/>
    </row>
    <row r="66" spans="1:40">
      <c r="A66" s="348" t="s">
        <v>206</v>
      </c>
      <c r="B66" s="348"/>
      <c r="C66" s="348"/>
      <c r="D66" s="348"/>
      <c r="E66" s="348"/>
      <c r="F66" s="348"/>
      <c r="G66" s="348"/>
      <c r="H66" s="348"/>
      <c r="I66" s="348"/>
      <c r="J66" s="243" t="str">
        <f>IF(OR(comp_vers="aucune",comp_vers="2.5"),"",IF(NPC=FALSE,"",K66-Compétences!Y36)&amp;"/")</f>
        <v>/</v>
      </c>
      <c r="K66" s="244">
        <f>Compétences!AE67</f>
        <v>0</v>
      </c>
      <c r="S66" s="78"/>
      <c r="T66" s="78"/>
      <c r="U66" s="78"/>
      <c r="V66" s="78"/>
      <c r="W66" s="78"/>
    </row>
    <row r="67" spans="1:40">
      <c r="A67" s="253" t="s">
        <v>205</v>
      </c>
      <c r="B67" s="253"/>
      <c r="C67" s="253"/>
      <c r="D67" s="253"/>
      <c r="E67" s="253"/>
      <c r="F67" s="253"/>
      <c r="G67" s="253"/>
      <c r="H67" s="253"/>
      <c r="I67" s="253"/>
      <c r="J67" s="253" t="s">
        <v>3262</v>
      </c>
      <c r="K67" s="253"/>
      <c r="L67" s="253" t="s">
        <v>3263</v>
      </c>
      <c r="M67" s="253"/>
      <c r="N67" s="253" t="s">
        <v>205</v>
      </c>
      <c r="O67" s="253"/>
      <c r="P67" s="253"/>
      <c r="Q67" s="253"/>
      <c r="R67" s="253"/>
      <c r="S67" s="253"/>
      <c r="T67" s="253"/>
      <c r="U67" s="253"/>
      <c r="V67" s="253"/>
      <c r="W67" s="253" t="s">
        <v>3262</v>
      </c>
      <c r="X67" s="253"/>
      <c r="Y67" s="253" t="s">
        <v>3263</v>
      </c>
      <c r="Z67" s="253"/>
    </row>
    <row r="68" spans="1:40">
      <c r="A68" s="339"/>
      <c r="B68" s="339"/>
      <c r="C68" s="339"/>
      <c r="D68" s="339"/>
      <c r="E68" s="339"/>
      <c r="F68" s="339"/>
      <c r="G68" s="339"/>
      <c r="H68" s="339"/>
      <c r="I68" s="339"/>
      <c r="J68" s="252" t="str">
        <f t="shared" ref="J68:J80" si="6">IF(ISNA(VLOOKUP(A68,Comp_diverses_Full,3,FALSE)),"",IF(comp_vers="2.5",IF(VLOOKUP(A68,Comp_diverses_Full,7,FALSE)="NA","NA",VLOOKUP(A68,Comp_diverses_Full,7,FALSE)+VLOOKUP(VLOOKUP(A68,Comp_diverses_Full,8,FALSE),Tab_comp_ajust_2.5,2,FALSE))+L68,VLOOKUP(A68,Comp_diverses_Full,3,FALSE)&amp;IF(VLOOKUP(A68,Comp_diverses_Full,4,FALSE)="NA","",IF((VLOOKUP(A68,Comp_diverses_Full,4,FALSE)+L68)&gt;=0,"+",)&amp;(VLOOKUP(A68,Comp_diverses_Full,4,FALSE)+L68))))</f>
        <v/>
      </c>
      <c r="K68" s="252"/>
      <c r="L68" s="251"/>
      <c r="M68" s="251"/>
      <c r="N68" s="339"/>
      <c r="O68" s="339"/>
      <c r="P68" s="339"/>
      <c r="Q68" s="339"/>
      <c r="R68" s="339"/>
      <c r="S68" s="339"/>
      <c r="T68" s="339"/>
      <c r="U68" s="339"/>
      <c r="V68" s="339"/>
      <c r="W68" s="252" t="str">
        <f t="shared" ref="W68:W80" si="7">IF(ISNA(VLOOKUP(N68,Comp_diverses_Full,3,FALSE)),"",IF(comp_vers="2.5",IF(VLOOKUP(N68,Comp_diverses_Full,7,FALSE)="NA","NA",VLOOKUP(N68,Comp_diverses_Full,7,FALSE)+VLOOKUP(VLOOKUP(N68,Comp_diverses_Full,8,FALSE),Tab_comp_ajust_2.5,2,FALSE))+Y68,VLOOKUP(N68,Comp_diverses_Full,3,FALSE)&amp;IF(VLOOKUP(N68,Comp_diverses_Full,4,FALSE)="NA","",IF((VLOOKUP(N68,Comp_diverses_Full,4,FALSE)+Y68)&gt;=0,"+",)&amp;(VLOOKUP(N68,Comp_diverses_Full,4,FALSE)+Y68))))</f>
        <v/>
      </c>
      <c r="X68" s="252"/>
      <c r="Y68" s="251"/>
      <c r="Z68" s="251"/>
    </row>
    <row r="69" spans="1:40">
      <c r="A69" s="339"/>
      <c r="B69" s="339"/>
      <c r="C69" s="339"/>
      <c r="D69" s="339"/>
      <c r="E69" s="339"/>
      <c r="F69" s="339"/>
      <c r="G69" s="339"/>
      <c r="H69" s="339"/>
      <c r="I69" s="339"/>
      <c r="J69" s="252" t="str">
        <f t="shared" si="6"/>
        <v/>
      </c>
      <c r="K69" s="252"/>
      <c r="L69" s="251"/>
      <c r="M69" s="251"/>
      <c r="N69" s="339"/>
      <c r="O69" s="339"/>
      <c r="P69" s="339"/>
      <c r="Q69" s="339"/>
      <c r="R69" s="339"/>
      <c r="S69" s="339"/>
      <c r="T69" s="339"/>
      <c r="U69" s="339"/>
      <c r="V69" s="339"/>
      <c r="W69" s="252" t="str">
        <f t="shared" si="7"/>
        <v/>
      </c>
      <c r="X69" s="252"/>
      <c r="Y69" s="251"/>
      <c r="Z69" s="251"/>
    </row>
    <row r="70" spans="1:40">
      <c r="A70" s="339"/>
      <c r="B70" s="339"/>
      <c r="C70" s="339"/>
      <c r="D70" s="339"/>
      <c r="E70" s="339"/>
      <c r="F70" s="339"/>
      <c r="G70" s="339"/>
      <c r="H70" s="339"/>
      <c r="I70" s="339"/>
      <c r="J70" s="252" t="str">
        <f t="shared" si="6"/>
        <v/>
      </c>
      <c r="K70" s="252"/>
      <c r="L70" s="251"/>
      <c r="M70" s="251"/>
      <c r="N70" s="339"/>
      <c r="O70" s="339"/>
      <c r="P70" s="339"/>
      <c r="Q70" s="339"/>
      <c r="R70" s="339"/>
      <c r="S70" s="339"/>
      <c r="T70" s="339"/>
      <c r="U70" s="339"/>
      <c r="V70" s="339"/>
      <c r="W70" s="252" t="str">
        <f t="shared" si="7"/>
        <v/>
      </c>
      <c r="X70" s="252"/>
      <c r="Y70" s="251"/>
      <c r="Z70" s="251"/>
    </row>
    <row r="71" spans="1:40">
      <c r="A71" s="339"/>
      <c r="B71" s="339"/>
      <c r="C71" s="339"/>
      <c r="D71" s="339"/>
      <c r="E71" s="339"/>
      <c r="F71" s="339"/>
      <c r="G71" s="339"/>
      <c r="H71" s="339"/>
      <c r="I71" s="339"/>
      <c r="J71" s="252" t="str">
        <f t="shared" si="6"/>
        <v/>
      </c>
      <c r="K71" s="252"/>
      <c r="L71" s="251"/>
      <c r="M71" s="251"/>
      <c r="N71" s="339"/>
      <c r="O71" s="339"/>
      <c r="P71" s="339"/>
      <c r="Q71" s="339"/>
      <c r="R71" s="339"/>
      <c r="S71" s="339"/>
      <c r="T71" s="339"/>
      <c r="U71" s="339"/>
      <c r="V71" s="339"/>
      <c r="W71" s="252" t="str">
        <f t="shared" si="7"/>
        <v/>
      </c>
      <c r="X71" s="252"/>
      <c r="Y71" s="251"/>
      <c r="Z71" s="251"/>
    </row>
    <row r="72" spans="1:40">
      <c r="A72" s="339"/>
      <c r="B72" s="339"/>
      <c r="C72" s="339"/>
      <c r="D72" s="339"/>
      <c r="E72" s="339"/>
      <c r="F72" s="339"/>
      <c r="G72" s="339"/>
      <c r="H72" s="339"/>
      <c r="I72" s="339"/>
      <c r="J72" s="252" t="str">
        <f t="shared" si="6"/>
        <v/>
      </c>
      <c r="K72" s="252"/>
      <c r="L72" s="251"/>
      <c r="M72" s="251"/>
      <c r="N72" s="339"/>
      <c r="O72" s="339"/>
      <c r="P72" s="339"/>
      <c r="Q72" s="339"/>
      <c r="R72" s="339"/>
      <c r="S72" s="339"/>
      <c r="T72" s="339"/>
      <c r="U72" s="339"/>
      <c r="V72" s="339"/>
      <c r="W72" s="252" t="str">
        <f t="shared" si="7"/>
        <v/>
      </c>
      <c r="X72" s="252"/>
      <c r="Y72" s="251"/>
      <c r="Z72" s="251"/>
    </row>
    <row r="73" spans="1:40">
      <c r="A73" s="339"/>
      <c r="B73" s="339"/>
      <c r="C73" s="339"/>
      <c r="D73" s="339"/>
      <c r="E73" s="339"/>
      <c r="F73" s="339"/>
      <c r="G73" s="339"/>
      <c r="H73" s="339"/>
      <c r="I73" s="339"/>
      <c r="J73" s="252" t="str">
        <f t="shared" si="6"/>
        <v/>
      </c>
      <c r="K73" s="252"/>
      <c r="L73" s="251"/>
      <c r="M73" s="251"/>
      <c r="N73" s="339"/>
      <c r="O73" s="339"/>
      <c r="P73" s="339"/>
      <c r="Q73" s="339"/>
      <c r="R73" s="339"/>
      <c r="S73" s="339"/>
      <c r="T73" s="339"/>
      <c r="U73" s="339"/>
      <c r="V73" s="339"/>
      <c r="W73" s="252" t="str">
        <f t="shared" si="7"/>
        <v/>
      </c>
      <c r="X73" s="252"/>
      <c r="Y73" s="251"/>
      <c r="Z73" s="251"/>
    </row>
    <row r="74" spans="1:40">
      <c r="A74" s="339"/>
      <c r="B74" s="339"/>
      <c r="C74" s="339"/>
      <c r="D74" s="339"/>
      <c r="E74" s="339"/>
      <c r="F74" s="339"/>
      <c r="G74" s="339"/>
      <c r="H74" s="339"/>
      <c r="I74" s="339"/>
      <c r="J74" s="252" t="str">
        <f t="shared" si="6"/>
        <v/>
      </c>
      <c r="K74" s="252"/>
      <c r="L74" s="251"/>
      <c r="M74" s="251"/>
      <c r="N74" s="339"/>
      <c r="O74" s="339"/>
      <c r="P74" s="339"/>
      <c r="Q74" s="339"/>
      <c r="R74" s="339"/>
      <c r="S74" s="339"/>
      <c r="T74" s="339"/>
      <c r="U74" s="339"/>
      <c r="V74" s="339"/>
      <c r="W74" s="252" t="str">
        <f t="shared" si="7"/>
        <v/>
      </c>
      <c r="X74" s="252"/>
      <c r="Y74" s="251"/>
      <c r="Z74" s="251"/>
    </row>
    <row r="75" spans="1:40">
      <c r="A75" s="339"/>
      <c r="B75" s="339"/>
      <c r="C75" s="339"/>
      <c r="D75" s="339"/>
      <c r="E75" s="339"/>
      <c r="F75" s="339"/>
      <c r="G75" s="339"/>
      <c r="H75" s="339"/>
      <c r="I75" s="339"/>
      <c r="J75" s="252" t="str">
        <f t="shared" si="6"/>
        <v/>
      </c>
      <c r="K75" s="252"/>
      <c r="L75" s="251"/>
      <c r="M75" s="251"/>
      <c r="N75" s="339"/>
      <c r="O75" s="339"/>
      <c r="P75" s="339"/>
      <c r="Q75" s="339"/>
      <c r="R75" s="339"/>
      <c r="S75" s="339"/>
      <c r="T75" s="339"/>
      <c r="U75" s="339"/>
      <c r="V75" s="339"/>
      <c r="W75" s="252" t="str">
        <f t="shared" si="7"/>
        <v/>
      </c>
      <c r="X75" s="252"/>
      <c r="Y75" s="251"/>
      <c r="Z75" s="251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</row>
    <row r="76" spans="1:40">
      <c r="A76" s="339"/>
      <c r="B76" s="339"/>
      <c r="C76" s="339"/>
      <c r="D76" s="339"/>
      <c r="E76" s="339"/>
      <c r="F76" s="339"/>
      <c r="G76" s="339"/>
      <c r="H76" s="339"/>
      <c r="I76" s="339"/>
      <c r="J76" s="252" t="str">
        <f t="shared" si="6"/>
        <v/>
      </c>
      <c r="K76" s="252"/>
      <c r="L76" s="251"/>
      <c r="M76" s="251"/>
      <c r="N76" s="339"/>
      <c r="O76" s="339"/>
      <c r="P76" s="339"/>
      <c r="Q76" s="339"/>
      <c r="R76" s="339"/>
      <c r="S76" s="339"/>
      <c r="T76" s="339"/>
      <c r="U76" s="339"/>
      <c r="V76" s="339"/>
      <c r="W76" s="252" t="str">
        <f t="shared" si="7"/>
        <v/>
      </c>
      <c r="X76" s="252"/>
      <c r="Y76" s="251"/>
      <c r="Z76" s="251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</row>
    <row r="77" spans="1:40">
      <c r="A77" s="339"/>
      <c r="B77" s="339"/>
      <c r="C77" s="339"/>
      <c r="D77" s="339"/>
      <c r="E77" s="339"/>
      <c r="F77" s="339"/>
      <c r="G77" s="339"/>
      <c r="H77" s="339"/>
      <c r="I77" s="339"/>
      <c r="J77" s="252" t="str">
        <f t="shared" si="6"/>
        <v/>
      </c>
      <c r="K77" s="252"/>
      <c r="L77" s="251"/>
      <c r="M77" s="251"/>
      <c r="N77" s="339"/>
      <c r="O77" s="339"/>
      <c r="P77" s="339"/>
      <c r="Q77" s="339"/>
      <c r="R77" s="339"/>
      <c r="S77" s="339"/>
      <c r="T77" s="339"/>
      <c r="U77" s="339"/>
      <c r="V77" s="339"/>
      <c r="W77" s="252" t="str">
        <f t="shared" si="7"/>
        <v/>
      </c>
      <c r="X77" s="252"/>
      <c r="Y77" s="251"/>
      <c r="Z77" s="251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</row>
    <row r="78" spans="1:40">
      <c r="A78" s="340"/>
      <c r="B78" s="341"/>
      <c r="C78" s="341"/>
      <c r="D78" s="341"/>
      <c r="E78" s="341"/>
      <c r="F78" s="341"/>
      <c r="G78" s="341"/>
      <c r="H78" s="341"/>
      <c r="I78" s="342"/>
      <c r="J78" s="248" t="str">
        <f t="shared" si="6"/>
        <v/>
      </c>
      <c r="K78" s="250"/>
      <c r="L78" s="266"/>
      <c r="M78" s="355"/>
      <c r="N78" s="340"/>
      <c r="O78" s="341"/>
      <c r="P78" s="341"/>
      <c r="Q78" s="341"/>
      <c r="R78" s="341"/>
      <c r="S78" s="341"/>
      <c r="T78" s="341"/>
      <c r="U78" s="341"/>
      <c r="V78" s="342"/>
      <c r="W78" s="248" t="str">
        <f t="shared" si="7"/>
        <v/>
      </c>
      <c r="X78" s="250"/>
      <c r="Y78" s="266"/>
      <c r="Z78" s="355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</row>
    <row r="79" spans="1:40">
      <c r="A79" s="340"/>
      <c r="B79" s="341"/>
      <c r="C79" s="341"/>
      <c r="D79" s="341"/>
      <c r="E79" s="341"/>
      <c r="F79" s="341"/>
      <c r="G79" s="341"/>
      <c r="H79" s="341"/>
      <c r="I79" s="342"/>
      <c r="J79" s="248" t="str">
        <f t="shared" si="6"/>
        <v/>
      </c>
      <c r="K79" s="250"/>
      <c r="L79" s="266"/>
      <c r="M79" s="355"/>
      <c r="N79" s="340"/>
      <c r="O79" s="341"/>
      <c r="P79" s="341"/>
      <c r="Q79" s="341"/>
      <c r="R79" s="341"/>
      <c r="S79" s="341"/>
      <c r="T79" s="341"/>
      <c r="U79" s="341"/>
      <c r="V79" s="342"/>
      <c r="W79" s="248" t="str">
        <f t="shared" si="7"/>
        <v/>
      </c>
      <c r="X79" s="250"/>
      <c r="Y79" s="266"/>
      <c r="Z79" s="355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</row>
    <row r="80" spans="1:40">
      <c r="A80" s="340"/>
      <c r="B80" s="341"/>
      <c r="C80" s="341"/>
      <c r="D80" s="341"/>
      <c r="E80" s="341"/>
      <c r="F80" s="341"/>
      <c r="G80" s="341"/>
      <c r="H80" s="341"/>
      <c r="I80" s="342"/>
      <c r="J80" s="248" t="str">
        <f t="shared" si="6"/>
        <v/>
      </c>
      <c r="K80" s="250"/>
      <c r="L80" s="266"/>
      <c r="M80" s="355"/>
      <c r="N80" s="340"/>
      <c r="O80" s="341"/>
      <c r="P80" s="341"/>
      <c r="Q80" s="341"/>
      <c r="R80" s="341"/>
      <c r="S80" s="341"/>
      <c r="T80" s="341"/>
      <c r="U80" s="341"/>
      <c r="V80" s="342"/>
      <c r="W80" s="248" t="str">
        <f t="shared" si="7"/>
        <v/>
      </c>
      <c r="X80" s="250"/>
      <c r="Y80" s="266"/>
      <c r="Z80" s="355"/>
      <c r="AC80" s="16"/>
      <c r="AD80" s="16"/>
      <c r="AE80" s="16"/>
      <c r="AF80" s="350"/>
      <c r="AG80" s="350"/>
      <c r="AH80" s="350"/>
      <c r="AI80" s="350"/>
      <c r="AJ80" s="350"/>
      <c r="AK80" s="348"/>
      <c r="AL80" s="348"/>
      <c r="AM80" s="16"/>
      <c r="AN80" s="16"/>
    </row>
    <row r="81" spans="1:40">
      <c r="A81" s="363" t="s">
        <v>879</v>
      </c>
      <c r="B81" s="363"/>
      <c r="C81" s="363"/>
      <c r="D81" s="363"/>
      <c r="E81" s="363"/>
      <c r="F81" s="363"/>
      <c r="G81" s="363"/>
      <c r="H81" s="363"/>
      <c r="I81" s="363"/>
      <c r="J81" s="363"/>
      <c r="K81" s="363"/>
      <c r="L81" s="19" t="str">
        <f>IF(OR(comp_vers="2.5",MAX(level,levelc2,levelc3)&lt;1),"",IF(NPC=FALSE,"",M81-Compétences!AB11)&amp;"/")</f>
        <v/>
      </c>
      <c r="M81" s="29" t="str">
        <f>IF(OR(comp_vers="2.5",MAX(level,levelc2,levelc3)&lt;1),"",IF(NPC=FALSE,"",IF(level&gt;=1,Compétences!N10+ROUNDDOWN((level-1)/Compétences!O10,0))))</f>
        <v/>
      </c>
      <c r="AC81" s="16"/>
      <c r="AD81" s="16"/>
      <c r="AE81" s="16"/>
      <c r="AF81" s="350"/>
      <c r="AG81" s="350"/>
      <c r="AH81" s="350"/>
      <c r="AI81" s="350"/>
      <c r="AJ81" s="350"/>
      <c r="AK81" s="348"/>
      <c r="AL81" s="348"/>
      <c r="AM81" s="16"/>
      <c r="AN81" s="16"/>
    </row>
    <row r="82" spans="1:40">
      <c r="A82" s="343" t="s">
        <v>205</v>
      </c>
      <c r="B82" s="343"/>
      <c r="C82" s="343"/>
      <c r="D82" s="343"/>
      <c r="E82" s="343"/>
      <c r="F82" s="343"/>
      <c r="G82" s="343"/>
      <c r="H82" s="343"/>
      <c r="I82" s="343"/>
      <c r="J82" s="343"/>
      <c r="K82" s="343"/>
      <c r="L82" s="343" t="s">
        <v>187</v>
      </c>
      <c r="M82" s="343"/>
      <c r="N82" s="343" t="s">
        <v>205</v>
      </c>
      <c r="O82" s="343"/>
      <c r="P82" s="343"/>
      <c r="Q82" s="343"/>
      <c r="R82" s="343"/>
      <c r="S82" s="343"/>
      <c r="T82" s="343"/>
      <c r="U82" s="343"/>
      <c r="V82" s="343"/>
      <c r="W82" s="343"/>
      <c r="X82" s="343"/>
      <c r="Y82" s="343" t="s">
        <v>187</v>
      </c>
      <c r="Z82" s="343"/>
      <c r="AC82" s="16"/>
      <c r="AD82" s="16"/>
      <c r="AE82" s="16"/>
      <c r="AF82" s="350"/>
      <c r="AG82" s="350"/>
      <c r="AH82" s="350"/>
      <c r="AI82" s="350"/>
      <c r="AJ82" s="350"/>
      <c r="AK82" s="348"/>
      <c r="AL82" s="348"/>
      <c r="AM82" s="16"/>
      <c r="AN82" s="16"/>
    </row>
    <row r="83" spans="1:40">
      <c r="A83" s="293"/>
      <c r="B83" s="293"/>
      <c r="C83" s="293"/>
      <c r="D83" s="293"/>
      <c r="E83" s="293"/>
      <c r="F83" s="293"/>
      <c r="G83" s="293"/>
      <c r="H83" s="293"/>
      <c r="I83" s="293"/>
      <c r="J83" s="293"/>
      <c r="K83" s="293"/>
      <c r="L83" s="379"/>
      <c r="M83" s="380"/>
      <c r="N83" s="293"/>
      <c r="O83" s="293"/>
      <c r="P83" s="293"/>
      <c r="Q83" s="293"/>
      <c r="R83" s="293"/>
      <c r="S83" s="293"/>
      <c r="T83" s="293"/>
      <c r="U83" s="293"/>
      <c r="V83" s="293"/>
      <c r="W83" s="293"/>
      <c r="X83" s="293"/>
      <c r="Y83" s="293"/>
      <c r="Z83" s="293"/>
      <c r="AC83" s="16"/>
      <c r="AD83" s="16"/>
      <c r="AE83" s="16"/>
      <c r="AF83" s="350"/>
      <c r="AG83" s="350"/>
      <c r="AH83" s="350"/>
      <c r="AI83" s="350"/>
      <c r="AJ83" s="350"/>
      <c r="AK83" s="348"/>
      <c r="AL83" s="348"/>
      <c r="AM83" s="16"/>
      <c r="AN83" s="16"/>
    </row>
    <row r="84" spans="1:40">
      <c r="A84" s="293"/>
      <c r="B84" s="293"/>
      <c r="C84" s="293"/>
      <c r="D84" s="293"/>
      <c r="E84" s="293"/>
      <c r="F84" s="293"/>
      <c r="G84" s="293"/>
      <c r="H84" s="293"/>
      <c r="I84" s="293"/>
      <c r="J84" s="293"/>
      <c r="K84" s="293"/>
      <c r="L84" s="293"/>
      <c r="M84" s="293"/>
      <c r="N84" s="293"/>
      <c r="O84" s="293"/>
      <c r="P84" s="293"/>
      <c r="Q84" s="293"/>
      <c r="R84" s="293"/>
      <c r="S84" s="293"/>
      <c r="T84" s="293"/>
      <c r="U84" s="293"/>
      <c r="V84" s="293"/>
      <c r="W84" s="293"/>
      <c r="X84" s="293"/>
      <c r="Y84" s="293"/>
      <c r="Z84" s="293"/>
      <c r="AC84" s="16"/>
      <c r="AD84" s="16"/>
      <c r="AE84" s="16"/>
      <c r="AF84" s="350"/>
      <c r="AG84" s="350"/>
      <c r="AH84" s="350"/>
      <c r="AI84" s="350"/>
      <c r="AJ84" s="350"/>
      <c r="AK84" s="348"/>
      <c r="AL84" s="348"/>
      <c r="AM84" s="16"/>
      <c r="AN84" s="16"/>
    </row>
    <row r="85" spans="1:40">
      <c r="A85" s="293"/>
      <c r="B85" s="293"/>
      <c r="C85" s="293"/>
      <c r="D85" s="293"/>
      <c r="E85" s="293"/>
      <c r="F85" s="293"/>
      <c r="G85" s="293"/>
      <c r="H85" s="293"/>
      <c r="I85" s="293"/>
      <c r="J85" s="293"/>
      <c r="K85" s="293"/>
      <c r="L85" s="293"/>
      <c r="M85" s="293"/>
      <c r="N85" s="293"/>
      <c r="O85" s="293"/>
      <c r="P85" s="293"/>
      <c r="Q85" s="293"/>
      <c r="R85" s="293"/>
      <c r="S85" s="293"/>
      <c r="T85" s="293"/>
      <c r="U85" s="293"/>
      <c r="V85" s="293"/>
      <c r="W85" s="293"/>
      <c r="X85" s="293"/>
      <c r="Y85" s="293"/>
      <c r="Z85" s="293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</row>
    <row r="86" spans="1:40">
      <c r="A86" s="293"/>
      <c r="B86" s="293"/>
      <c r="C86" s="293"/>
      <c r="D86" s="293"/>
      <c r="E86" s="293"/>
      <c r="F86" s="293"/>
      <c r="G86" s="293"/>
      <c r="H86" s="293"/>
      <c r="I86" s="293"/>
      <c r="J86" s="293"/>
      <c r="K86" s="293"/>
      <c r="L86" s="293"/>
      <c r="M86" s="293"/>
      <c r="N86" s="293"/>
      <c r="O86" s="293"/>
      <c r="P86" s="293"/>
      <c r="Q86" s="293"/>
      <c r="R86" s="293"/>
      <c r="S86" s="293"/>
      <c r="T86" s="293"/>
      <c r="U86" s="293"/>
      <c r="V86" s="293"/>
      <c r="W86" s="293"/>
      <c r="X86" s="293"/>
      <c r="Y86" s="293"/>
      <c r="Z86" s="293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</row>
    <row r="87" spans="1:40" ht="15.75">
      <c r="A87" s="337" t="s">
        <v>990</v>
      </c>
      <c r="B87" s="337"/>
      <c r="C87" s="337"/>
      <c r="D87" s="337"/>
      <c r="E87" s="337"/>
      <c r="F87" s="337"/>
      <c r="G87" s="337"/>
      <c r="H87" s="337"/>
      <c r="I87" s="337"/>
      <c r="J87" s="337"/>
      <c r="K87" s="337"/>
      <c r="L87" s="337"/>
      <c r="M87" s="337"/>
      <c r="N87" s="337"/>
      <c r="O87" s="337"/>
      <c r="P87" s="337"/>
      <c r="Q87" s="337"/>
      <c r="R87" s="337"/>
      <c r="S87" s="347"/>
      <c r="T87" s="365" t="s">
        <v>271</v>
      </c>
      <c r="U87" s="366"/>
      <c r="V87" s="366"/>
      <c r="W87" s="366"/>
      <c r="X87" s="366"/>
      <c r="Y87" s="366"/>
      <c r="Z87" s="36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</row>
    <row r="88" spans="1:40">
      <c r="A88" s="253" t="s">
        <v>986</v>
      </c>
      <c r="B88" s="253"/>
      <c r="C88" s="253"/>
      <c r="D88" s="253"/>
      <c r="E88" s="253"/>
      <c r="F88" s="253" t="s">
        <v>987</v>
      </c>
      <c r="G88" s="253"/>
      <c r="H88" s="253"/>
      <c r="I88" s="253"/>
      <c r="J88" s="253"/>
      <c r="K88" s="253" t="s">
        <v>988</v>
      </c>
      <c r="L88" s="253"/>
      <c r="M88" s="253"/>
      <c r="N88" s="253"/>
      <c r="O88" s="253" t="s">
        <v>989</v>
      </c>
      <c r="P88" s="253"/>
      <c r="Q88" s="253"/>
      <c r="R88" s="253"/>
      <c r="S88" s="351"/>
      <c r="T88" s="354" t="s">
        <v>258</v>
      </c>
      <c r="U88" s="252"/>
      <c r="V88" s="252"/>
      <c r="W88" s="252"/>
      <c r="X88" s="252"/>
      <c r="Y88" s="252" t="str">
        <f t="shared" ref="Y88:Y100" si="8">IF(NPC=FALSE,IF(VLOOKUP(T88,Vade_retro,Vade_Niveau,FALSE)="-","",VLOOKUP(T88,Vade_retro,Vade_Niveau,FALSE)),VLOOKUP(T88,Vade_retro,Vade_Niveau,FALSE))</f>
        <v/>
      </c>
      <c r="Z88" s="25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</row>
    <row r="89" spans="1:40">
      <c r="A89" s="252"/>
      <c r="B89" s="252"/>
      <c r="C89" s="252"/>
      <c r="D89" s="252"/>
      <c r="E89" s="252"/>
      <c r="F89" s="252"/>
      <c r="G89" s="252"/>
      <c r="H89" s="252"/>
      <c r="I89" s="252"/>
      <c r="J89" s="252"/>
      <c r="K89" s="252"/>
      <c r="L89" s="252"/>
      <c r="M89" s="252"/>
      <c r="N89" s="252"/>
      <c r="O89" s="252"/>
      <c r="P89" s="252"/>
      <c r="Q89" s="252"/>
      <c r="R89" s="252"/>
      <c r="S89" s="261"/>
      <c r="T89" s="354" t="s">
        <v>259</v>
      </c>
      <c r="U89" s="252"/>
      <c r="V89" s="252"/>
      <c r="W89" s="252"/>
      <c r="X89" s="252"/>
      <c r="Y89" s="252" t="str">
        <f t="shared" si="8"/>
        <v/>
      </c>
      <c r="Z89" s="252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</row>
    <row r="90" spans="1:40">
      <c r="A90" s="337" t="s">
        <v>3636</v>
      </c>
      <c r="B90" s="337"/>
      <c r="C90" s="337"/>
      <c r="D90" s="337"/>
      <c r="E90" s="337"/>
      <c r="F90" s="337"/>
      <c r="G90" s="337"/>
      <c r="H90" s="337"/>
      <c r="I90" s="337"/>
      <c r="J90" s="337"/>
      <c r="K90" s="337"/>
      <c r="L90" s="337"/>
      <c r="M90" s="337"/>
      <c r="N90" s="336" t="s">
        <v>991</v>
      </c>
      <c r="O90" s="337"/>
      <c r="P90" s="337"/>
      <c r="Q90" s="337"/>
      <c r="R90" s="337"/>
      <c r="S90" s="338"/>
      <c r="T90" s="354" t="s">
        <v>260</v>
      </c>
      <c r="U90" s="252"/>
      <c r="V90" s="252"/>
      <c r="W90" s="252"/>
      <c r="X90" s="252"/>
      <c r="Y90" s="252" t="str">
        <f t="shared" si="8"/>
        <v/>
      </c>
      <c r="Z90" s="252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</row>
    <row r="91" spans="1:40">
      <c r="A91" s="248"/>
      <c r="B91" s="249"/>
      <c r="C91" s="249"/>
      <c r="D91" s="249"/>
      <c r="E91" s="249"/>
      <c r="F91" s="249"/>
      <c r="G91" s="249"/>
      <c r="H91" s="249"/>
      <c r="I91" s="249"/>
      <c r="J91" s="249"/>
      <c r="K91" s="249"/>
      <c r="L91" s="249"/>
      <c r="M91" s="250"/>
      <c r="N91" s="345" t="s">
        <v>257</v>
      </c>
      <c r="O91" s="346"/>
      <c r="P91" s="253" t="s">
        <v>254</v>
      </c>
      <c r="Q91" s="253"/>
      <c r="R91" s="232" t="s">
        <v>273</v>
      </c>
      <c r="S91" s="185"/>
      <c r="T91" s="354" t="s">
        <v>261</v>
      </c>
      <c r="U91" s="252"/>
      <c r="V91" s="252"/>
      <c r="W91" s="252"/>
      <c r="X91" s="252"/>
      <c r="Y91" s="252" t="str">
        <f t="shared" si="8"/>
        <v/>
      </c>
      <c r="Z91" s="252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</row>
    <row r="92" spans="1:40">
      <c r="A92" s="248"/>
      <c r="B92" s="249"/>
      <c r="C92" s="249"/>
      <c r="D92" s="249"/>
      <c r="E92" s="249"/>
      <c r="F92" s="249"/>
      <c r="G92" s="249"/>
      <c r="H92" s="249"/>
      <c r="I92" s="249"/>
      <c r="J92" s="249"/>
      <c r="K92" s="249"/>
      <c r="L92" s="249"/>
      <c r="M92" s="250"/>
      <c r="N92" s="250">
        <v>1</v>
      </c>
      <c r="O92" s="252"/>
      <c r="P92" s="252" t="str">
        <f>IF(NPC=FALSE,"",MAX(IF(VLOOKUP(Classe,Class_mod,3,FALSE)="Profane",VLOOKUP(Classe,Class_mod,7,FALSE),0),IF(VLOOKUP(Classe2,Class_mod,3,FALSE)="Profane",VLOOKUP(Classe2,Class_mod,7,FALSE),0),IF(VLOOKUP(Classe3,Class_mod,3,FALSE)="Profane",VLOOKUP(Classe3,Class_mod,7,FALSE),0)))</f>
        <v/>
      </c>
      <c r="Q92" s="252"/>
      <c r="R92" s="252" t="str">
        <f>IF(NPC=FALSE,"",MAX(IF(VLOOKUP(Classe,Class_mod,3,FALSE)="Clerical",VLOOKUP(Classe,Class_mod,7,FALSE),0),IF(VLOOKUP(Classe2,Class_mod,3,FALSE)="Clerical",VLOOKUP(Classe2,Class_mod,7,FALSE),0),IF(VLOOKUP(Classe3,Class_mod,3,FALSE)="Clerical",VLOOKUP(Classe3,Class_mod,7,FALSE),0)))</f>
        <v/>
      </c>
      <c r="S92" s="248"/>
      <c r="T92" s="354" t="s">
        <v>262</v>
      </c>
      <c r="U92" s="252"/>
      <c r="V92" s="252"/>
      <c r="W92" s="252"/>
      <c r="X92" s="252"/>
      <c r="Y92" s="252" t="str">
        <f t="shared" si="8"/>
        <v/>
      </c>
      <c r="Z92" s="252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</row>
    <row r="93" spans="1:40">
      <c r="A93" s="252"/>
      <c r="B93" s="252"/>
      <c r="C93" s="252"/>
      <c r="D93" s="252"/>
      <c r="E93" s="252"/>
      <c r="F93" s="252"/>
      <c r="G93" s="252"/>
      <c r="H93" s="252"/>
      <c r="I93" s="252"/>
      <c r="J93" s="252"/>
      <c r="K93" s="252"/>
      <c r="L93" s="252"/>
      <c r="M93" s="252"/>
      <c r="N93" s="250">
        <v>2</v>
      </c>
      <c r="O93" s="252"/>
      <c r="P93" s="252" t="str">
        <f>IF(NPC=FALSE,"",MAX(IF(VLOOKUP(Classe,Class_mod,3,FALSE)="Profane",VLOOKUP(Classe,Class_mod,8,FALSE),0),IF(VLOOKUP(Classe2,Class_mod,3,FALSE)="Profane",VLOOKUP(Classe2,Class_mod,8,FALSE),0),IF(VLOOKUP(Classe3,Class_mod,3,FALSE)="Profane",VLOOKUP(Classe3,Class_mod,8,FALSE),0)))</f>
        <v/>
      </c>
      <c r="Q93" s="252"/>
      <c r="R93" s="252" t="str">
        <f>IF(NPC=FALSE,"",MAX(IF(VLOOKUP(Classe,Class_mod,3,FALSE)="Clerical",VLOOKUP(Classe,Class_mod,8,FALSE),0),IF(VLOOKUP(Classe2,Class_mod,3,FALSE)="Clerical",VLOOKUP(Classe2,Class_mod,8,FALSE),0),IF(VLOOKUP(Classe3,Class_mod,3,FALSE)="Clerical",VLOOKUP(Classe3,Class_mod,8,FALSE),0)))</f>
        <v/>
      </c>
      <c r="S93" s="248"/>
      <c r="T93" s="354" t="s">
        <v>263</v>
      </c>
      <c r="U93" s="252"/>
      <c r="V93" s="252"/>
      <c r="W93" s="252"/>
      <c r="X93" s="252"/>
      <c r="Y93" s="252" t="str">
        <f t="shared" si="8"/>
        <v/>
      </c>
      <c r="Z93" s="252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</row>
    <row r="94" spans="1:40">
      <c r="A94" s="252"/>
      <c r="B94" s="252"/>
      <c r="C94" s="252"/>
      <c r="D94" s="252"/>
      <c r="E94" s="252"/>
      <c r="F94" s="252"/>
      <c r="G94" s="252"/>
      <c r="H94" s="252"/>
      <c r="I94" s="252"/>
      <c r="J94" s="252"/>
      <c r="K94" s="252"/>
      <c r="L94" s="252"/>
      <c r="M94" s="252"/>
      <c r="N94" s="250">
        <v>3</v>
      </c>
      <c r="O94" s="252"/>
      <c r="P94" s="252" t="str">
        <f>IF(NPC=FALSE,"",MAX(IF(VLOOKUP(Classe,Class_mod,3,FALSE)="Profane",VLOOKUP(Classe,Class_mod,9,FALSE),0),IF(VLOOKUP(Classe2,Class_mod,3,FALSE)="Profane",VLOOKUP(Classe2,Class_mod,9,FALSE),0),IF(VLOOKUP(Classe3,Class_mod,3,FALSE)="Profane",VLOOKUP(Classe3,Class_mod,9,FALSE),0)))</f>
        <v/>
      </c>
      <c r="Q94" s="252"/>
      <c r="R94" s="252" t="str">
        <f>IF(NPC=FALSE,"",MAX(IF(VLOOKUP(Classe,Class_mod,3,FALSE)="Clerical",VLOOKUP(Classe,Class_mod,9,FALSE),0),IF(VLOOKUP(Classe2,Class_mod,3,FALSE)="Clerical",VLOOKUP(Classe2,Class_mod,9,FALSE),0),IF(VLOOKUP(Classe3,Class_mod,3,FALSE)="Clerical",VLOOKUP(Classe3,Class_mod,9,FALSE),0)))</f>
        <v/>
      </c>
      <c r="S94" s="248"/>
      <c r="T94" s="354" t="s">
        <v>264</v>
      </c>
      <c r="U94" s="252"/>
      <c r="V94" s="252"/>
      <c r="W94" s="252"/>
      <c r="X94" s="252"/>
      <c r="Y94" s="252" t="str">
        <f t="shared" si="8"/>
        <v/>
      </c>
      <c r="Z94" s="252"/>
      <c r="AC94" s="16"/>
      <c r="AD94" s="16"/>
      <c r="AE94" s="16"/>
      <c r="AF94" s="16"/>
      <c r="AG94" s="406"/>
      <c r="AH94" s="406"/>
      <c r="AI94" s="406"/>
      <c r="AJ94" s="406"/>
      <c r="AK94" s="406"/>
      <c r="AL94" s="406"/>
      <c r="AM94" s="16"/>
      <c r="AN94" s="16"/>
    </row>
    <row r="95" spans="1:40">
      <c r="A95" s="252"/>
      <c r="B95" s="252"/>
      <c r="C95" s="252"/>
      <c r="D95" s="252"/>
      <c r="E95" s="252"/>
      <c r="F95" s="252"/>
      <c r="G95" s="252"/>
      <c r="H95" s="252"/>
      <c r="I95" s="252"/>
      <c r="J95" s="252"/>
      <c r="K95" s="252"/>
      <c r="L95" s="252"/>
      <c r="M95" s="252"/>
      <c r="N95" s="250">
        <v>4</v>
      </c>
      <c r="O95" s="252"/>
      <c r="P95" s="252" t="str">
        <f>IF(NPC=FALSE,"",MAX(IF(VLOOKUP(Classe,Class_mod,3,FALSE)="Profane",VLOOKUP(Classe,Class_mod,10,FALSE),0),IF(VLOOKUP(Classe2,Class_mod,3,FALSE)="Profane",VLOOKUP(Classe2,Class_mod,10,FALSE),0),IF(VLOOKUP(Classe3,Class_mod,3,FALSE)="Profane",VLOOKUP(Classe3,Class_mod,10,FALSE),0)))</f>
        <v/>
      </c>
      <c r="Q95" s="252"/>
      <c r="R95" s="252" t="str">
        <f>IF(NPC=FALSE,"",MAX(IF(VLOOKUP(Classe,Class_mod,3,FALSE)="Clerical",VLOOKUP(Classe,Class_mod,10,FALSE),0),IF(VLOOKUP(Classe2,Class_mod,3,FALSE)="Clerical",VLOOKUP(Classe2,Class_mod,10,FALSE),0),IF(VLOOKUP(Classe3,Class_mod,3,FALSE)="Clerical",VLOOKUP(Classe3,Class_mod,10,FALSE),0)))</f>
        <v/>
      </c>
      <c r="S95" s="248"/>
      <c r="T95" s="354" t="s">
        <v>265</v>
      </c>
      <c r="U95" s="252"/>
      <c r="V95" s="252"/>
      <c r="W95" s="252"/>
      <c r="X95" s="252"/>
      <c r="Y95" s="252" t="str">
        <f t="shared" si="8"/>
        <v/>
      </c>
      <c r="Z95" s="252"/>
      <c r="AC95" s="16"/>
      <c r="AD95" s="16"/>
      <c r="AE95" s="16"/>
      <c r="AF95" s="16"/>
      <c r="AG95" s="406"/>
      <c r="AH95" s="406"/>
      <c r="AI95" s="406"/>
      <c r="AJ95" s="406"/>
      <c r="AK95" s="406"/>
      <c r="AL95" s="406"/>
      <c r="AM95" s="16"/>
      <c r="AN95" s="16"/>
    </row>
    <row r="96" spans="1:40">
      <c r="A96" s="253" t="s">
        <v>3579</v>
      </c>
      <c r="B96" s="253"/>
      <c r="C96" s="253"/>
      <c r="D96" s="253"/>
      <c r="E96" s="253"/>
      <c r="F96" s="253"/>
      <c r="G96" s="253"/>
      <c r="H96" s="253"/>
      <c r="I96" s="253"/>
      <c r="J96" s="253"/>
      <c r="K96" s="253"/>
      <c r="L96" s="253"/>
      <c r="M96" s="253"/>
      <c r="N96" s="250">
        <v>5</v>
      </c>
      <c r="O96" s="252"/>
      <c r="P96" s="252" t="str">
        <f>IF(NPC=FALSE,"",MAX(IF(VLOOKUP(Classe,Class_mod,3,FALSE)="Profane",VLOOKUP(Classe,Class_mod,11,FALSE),0),IF(VLOOKUP(Classe2,Class_mod,3,FALSE)="Profane",VLOOKUP(Classe2,Class_mod,11,FALSE),0),IF(VLOOKUP(Classe3,Class_mod,3,FALSE)="Profane",VLOOKUP(Classe3,Class_mod,11,FALSE),0)))</f>
        <v/>
      </c>
      <c r="Q96" s="252"/>
      <c r="R96" s="252" t="str">
        <f>IF(NPC=FALSE,"",MAX(IF(VLOOKUP(Classe,Class_mod,3,FALSE)="Clerical",VLOOKUP(Classe,Class_mod,11,FALSE),0),IF(VLOOKUP(Classe2,Class_mod,3,FALSE)="Clerical",VLOOKUP(Classe2,Class_mod,11,FALSE),0),IF(VLOOKUP(Classe3,Class_mod,3,FALSE)="Clerical",VLOOKUP(Classe3,Class_mod,11,FALSE),0)))</f>
        <v/>
      </c>
      <c r="S96" s="248"/>
      <c r="T96" s="354" t="s">
        <v>266</v>
      </c>
      <c r="U96" s="252"/>
      <c r="V96" s="252"/>
      <c r="W96" s="252"/>
      <c r="X96" s="252"/>
      <c r="Y96" s="252" t="str">
        <f t="shared" si="8"/>
        <v/>
      </c>
      <c r="Z96" s="252"/>
      <c r="AC96" s="16"/>
      <c r="AD96" s="16"/>
      <c r="AE96" s="16"/>
      <c r="AF96" s="16"/>
      <c r="AG96" s="406"/>
      <c r="AH96" s="406"/>
      <c r="AI96" s="406"/>
      <c r="AJ96" s="406"/>
      <c r="AK96" s="406"/>
      <c r="AL96" s="406"/>
      <c r="AM96" s="16"/>
      <c r="AN96" s="16"/>
    </row>
    <row r="97" spans="1:40">
      <c r="A97" s="252"/>
      <c r="B97" s="252"/>
      <c r="C97" s="252"/>
      <c r="D97" s="252"/>
      <c r="E97" s="252"/>
      <c r="F97" s="252"/>
      <c r="G97" s="252"/>
      <c r="H97" s="252"/>
      <c r="I97" s="252"/>
      <c r="J97" s="252"/>
      <c r="K97" s="252"/>
      <c r="L97" s="252"/>
      <c r="M97" s="252"/>
      <c r="N97" s="250">
        <v>6</v>
      </c>
      <c r="O97" s="252"/>
      <c r="P97" s="252" t="str">
        <f>IF(NPC=FALSE,"",MAX(IF(VLOOKUP(Classe,Class_mod,3,FALSE)="Profane",VLOOKUP(Classe,Class_mod,12,FALSE),0),IF(VLOOKUP(Classe2,Class_mod,3,FALSE)="Profane",VLOOKUP(Classe2,Class_mod,12,FALSE),0),IF(VLOOKUP(Classe3,Class_mod,3,FALSE)="Profane",VLOOKUP(Classe3,Class_mod,12,FALSE),0)))</f>
        <v/>
      </c>
      <c r="Q97" s="252"/>
      <c r="R97" s="252" t="str">
        <f>IF(NPC=FALSE,"",MAX(IF(VLOOKUP(Classe,Class_mod,3,FALSE)="Clerical",VLOOKUP(Classe,Class_mod,12,FALSE),0),IF(VLOOKUP(Classe2,Class_mod,3,FALSE)="Clerical",VLOOKUP(Classe2,Class_mod,12,FALSE),0),IF(VLOOKUP(Classe3,Class_mod,3,FALSE)="Clerical",VLOOKUP(Classe3,Class_mod,12,FALSE),0)))</f>
        <v/>
      </c>
      <c r="S97" s="248"/>
      <c r="T97" s="354" t="s">
        <v>267</v>
      </c>
      <c r="U97" s="252"/>
      <c r="V97" s="252"/>
      <c r="W97" s="252"/>
      <c r="X97" s="252"/>
      <c r="Y97" s="252" t="str">
        <f t="shared" si="8"/>
        <v/>
      </c>
      <c r="Z97" s="252"/>
      <c r="AC97" s="16"/>
      <c r="AD97" s="16"/>
      <c r="AE97" s="16"/>
      <c r="AF97" s="16"/>
      <c r="AG97" s="406"/>
      <c r="AH97" s="406"/>
      <c r="AI97" s="406"/>
      <c r="AJ97" s="406"/>
      <c r="AK97" s="406"/>
      <c r="AL97" s="406"/>
      <c r="AM97" s="16"/>
      <c r="AN97" s="16"/>
    </row>
    <row r="98" spans="1:40">
      <c r="A98" s="252"/>
      <c r="B98" s="252"/>
      <c r="C98" s="252"/>
      <c r="D98" s="252"/>
      <c r="E98" s="252"/>
      <c r="F98" s="252"/>
      <c r="G98" s="252"/>
      <c r="H98" s="252"/>
      <c r="I98" s="252"/>
      <c r="J98" s="252"/>
      <c r="K98" s="252"/>
      <c r="L98" s="252"/>
      <c r="M98" s="252"/>
      <c r="N98" s="250">
        <v>7</v>
      </c>
      <c r="O98" s="252"/>
      <c r="P98" s="252" t="str">
        <f>IF(NPC=FALSE,"",MAX(IF(VLOOKUP(Classe,Class_mod,3,FALSE)="Profane",VLOOKUP(Classe,Class_mod,13,FALSE),0),IF(VLOOKUP(Classe2,Class_mod,3,FALSE)="Profane",VLOOKUP(Classe2,Class_mod,13,FALSE),0),IF(VLOOKUP(Classe3,Class_mod,3,FALSE)="Profane",VLOOKUP(Classe3,Class_mod,13,FALSE),0)))</f>
        <v/>
      </c>
      <c r="Q98" s="252"/>
      <c r="R98" s="252" t="str">
        <f>IF(NPC=FALSE,"",MAX(IF(VLOOKUP(Classe,Class_mod,3,FALSE)="Clerical",VLOOKUP(Classe,Class_mod,13,FALSE),0),IF(VLOOKUP(Classe2,Class_mod,3,FALSE)="Clerical",VLOOKUP(Classe2,Class_mod,13,FALSE),0),IF(VLOOKUP(Classe3,Class_mod,3,FALSE)="Clerical",VLOOKUP(Classe3,Class_mod,13,FALSE),0)))</f>
        <v/>
      </c>
      <c r="S98" s="248"/>
      <c r="T98" s="354" t="s">
        <v>268</v>
      </c>
      <c r="U98" s="252"/>
      <c r="V98" s="252"/>
      <c r="W98" s="252"/>
      <c r="X98" s="252"/>
      <c r="Y98" s="252" t="str">
        <f t="shared" si="8"/>
        <v/>
      </c>
      <c r="Z98" s="252"/>
      <c r="AC98" s="16"/>
      <c r="AD98" s="16"/>
      <c r="AE98" s="16"/>
      <c r="AF98" s="16"/>
      <c r="AG98" s="406"/>
      <c r="AH98" s="406"/>
      <c r="AI98" s="406"/>
      <c r="AJ98" s="406"/>
      <c r="AK98" s="406"/>
      <c r="AL98" s="406"/>
      <c r="AM98" s="16"/>
      <c r="AN98" s="16"/>
    </row>
    <row r="99" spans="1:40">
      <c r="A99" s="252"/>
      <c r="B99" s="252"/>
      <c r="C99" s="252"/>
      <c r="D99" s="252"/>
      <c r="E99" s="252"/>
      <c r="F99" s="252"/>
      <c r="G99" s="252"/>
      <c r="H99" s="252"/>
      <c r="I99" s="252"/>
      <c r="J99" s="252"/>
      <c r="K99" s="252"/>
      <c r="L99" s="252"/>
      <c r="M99" s="252"/>
      <c r="N99" s="250">
        <v>8</v>
      </c>
      <c r="O99" s="252"/>
      <c r="P99" s="252" t="str">
        <f>IF(NPC=FALSE,"",MAX(IF(VLOOKUP(Classe,Class_mod,3,FALSE)="Profane",VLOOKUP(Classe,Class_mod,14,FALSE),0),IF(VLOOKUP(Classe2,Class_mod,3,FALSE)="Profane",VLOOKUP(Classe2,Class_mod,14,FALSE),0),IF(VLOOKUP(Classe3,Class_mod,3,FALSE)="Profane",VLOOKUP(Classe3,Class_mod,14,FALSE),0)))</f>
        <v/>
      </c>
      <c r="Q99" s="252"/>
      <c r="R99" s="352"/>
      <c r="S99" s="353"/>
      <c r="T99" s="354" t="s">
        <v>269</v>
      </c>
      <c r="U99" s="252"/>
      <c r="V99" s="252"/>
      <c r="W99" s="252"/>
      <c r="X99" s="252"/>
      <c r="Y99" s="252" t="str">
        <f t="shared" si="8"/>
        <v/>
      </c>
      <c r="Z99" s="252"/>
      <c r="AC99" s="16"/>
      <c r="AD99" s="16"/>
      <c r="AE99" s="16"/>
      <c r="AF99" s="16"/>
      <c r="AG99" s="406"/>
      <c r="AH99" s="406"/>
      <c r="AI99" s="406"/>
      <c r="AJ99" s="406"/>
      <c r="AK99" s="406"/>
      <c r="AL99" s="406"/>
      <c r="AM99" s="16"/>
      <c r="AN99" s="16"/>
    </row>
    <row r="100" spans="1:40">
      <c r="A100" s="252"/>
      <c r="B100" s="252"/>
      <c r="C100" s="252"/>
      <c r="D100" s="252"/>
      <c r="E100" s="252"/>
      <c r="F100" s="252"/>
      <c r="G100" s="252"/>
      <c r="H100" s="252"/>
      <c r="I100" s="252"/>
      <c r="J100" s="252"/>
      <c r="K100" s="252"/>
      <c r="L100" s="252"/>
      <c r="M100" s="252"/>
      <c r="N100" s="250">
        <v>9</v>
      </c>
      <c r="O100" s="252"/>
      <c r="P100" s="252" t="str">
        <f>IF(NPC=FALSE,"",MAX(IF(VLOOKUP(Classe,Class_mod,3,FALSE)="Profane",VLOOKUP(Classe,Class_mod,15,FALSE),0),IF(VLOOKUP(Classe2,Class_mod,3,FALSE)="Profane",VLOOKUP(Classe2,Class_mod,15,FALSE),0),IF(VLOOKUP(Classe3,Class_mod,3,FALSE)="Profane",VLOOKUP(Classe3,Class_mod,15,FALSE),0)))</f>
        <v/>
      </c>
      <c r="Q100" s="252"/>
      <c r="R100" s="352"/>
      <c r="S100" s="353"/>
      <c r="T100" s="354" t="s">
        <v>270</v>
      </c>
      <c r="U100" s="252"/>
      <c r="V100" s="252"/>
      <c r="W100" s="252"/>
      <c r="X100" s="252"/>
      <c r="Y100" s="252" t="str">
        <f t="shared" si="8"/>
        <v/>
      </c>
      <c r="Z100" s="252"/>
      <c r="AB100" s="16"/>
      <c r="AC100" s="16"/>
      <c r="AD100" s="16"/>
      <c r="AE100" s="16"/>
      <c r="AF100" s="16"/>
      <c r="AG100" s="406"/>
      <c r="AH100" s="406"/>
      <c r="AI100" s="406"/>
      <c r="AJ100" s="406"/>
      <c r="AK100" s="406"/>
      <c r="AL100" s="406"/>
      <c r="AM100" s="16"/>
      <c r="AN100" s="16"/>
    </row>
    <row r="101" spans="1:40" ht="15.75" customHeight="1">
      <c r="A101" s="253" t="s">
        <v>994</v>
      </c>
      <c r="B101" s="253"/>
      <c r="C101" s="253"/>
      <c r="D101" s="253"/>
      <c r="E101" s="253"/>
      <c r="F101" s="253"/>
      <c r="G101" s="253"/>
      <c r="H101" s="253"/>
      <c r="I101" s="253"/>
      <c r="J101" s="253"/>
      <c r="K101" s="253"/>
      <c r="L101" s="253"/>
      <c r="M101" s="253"/>
      <c r="N101" s="253"/>
      <c r="O101" s="253"/>
      <c r="P101" s="253"/>
      <c r="Q101" s="253"/>
      <c r="R101" s="253"/>
      <c r="S101" s="253"/>
      <c r="T101" s="253"/>
      <c r="U101" s="253"/>
      <c r="V101" s="253"/>
      <c r="W101" s="253"/>
      <c r="X101" s="253"/>
      <c r="Y101" s="253"/>
      <c r="Z101" s="253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</row>
    <row r="102" spans="1:40">
      <c r="A102" s="334" t="str">
        <f>IF(test_SR=2,"Prières/Sorts",IF(test_SR=3,"Sorts/Talents Psioniques",IF(test_SR=4,"Prières/Talents Psioniques",IF(test_SR=5,"Prières",IF(test_SR=6,"Sorts",IF(test_SR=7,"Talents Psioniques","Sorts/Prières/Talents Psioniques"))))))</f>
        <v>Sorts/Prières/Talents Psioniques</v>
      </c>
      <c r="B102" s="334"/>
      <c r="C102" s="334"/>
      <c r="D102" s="334"/>
      <c r="E102" s="334"/>
      <c r="F102" s="334"/>
      <c r="G102" s="334"/>
      <c r="H102" s="334" t="s">
        <v>255</v>
      </c>
      <c r="I102" s="334"/>
      <c r="J102" s="334"/>
      <c r="K102" s="334"/>
      <c r="L102" s="334" t="str">
        <f>IF(test_SR=2,"Incantation",IF(test_SR=3,"Inct./Prép.",IF(test_SR=4,"Inct./Prép.",IF(test_SR=5,"Incantation",IF(test_SR=6,"Préparation",IF(test_SR=7,"Préparation","Inct./Prép."))))))</f>
        <v>Inct./Prép.</v>
      </c>
      <c r="M102" s="334"/>
      <c r="N102" s="334"/>
      <c r="O102" s="334"/>
      <c r="P102" s="335" t="s">
        <v>1124</v>
      </c>
      <c r="Q102" s="335"/>
      <c r="R102" s="335"/>
      <c r="S102" s="335"/>
      <c r="T102" s="334" t="s">
        <v>1127</v>
      </c>
      <c r="U102" s="334"/>
      <c r="V102" s="334"/>
      <c r="W102" s="334" t="str">
        <f>'Saving Throws'!$T$15</f>
        <v/>
      </c>
      <c r="X102" s="334"/>
      <c r="Y102" s="334"/>
      <c r="Z102" s="334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</row>
    <row r="103" spans="1:40">
      <c r="A103" s="324"/>
      <c r="B103" s="324"/>
      <c r="C103" s="324"/>
      <c r="D103" s="324"/>
      <c r="E103" s="324"/>
      <c r="F103" s="324"/>
      <c r="G103" s="324"/>
      <c r="H103" s="325" t="str">
        <f>IF(ISNA(VLOOKUP(A103,SR,7,FALSE)),"",IF(OR(A103=0,VLOOKUP(A103,SR,7,FALSE)=0),"",VLOOKUP(A103,SR,7,FALSE)))</f>
        <v/>
      </c>
      <c r="I103" s="325"/>
      <c r="J103" s="325"/>
      <c r="K103" s="325"/>
      <c r="L103" s="325" t="str">
        <f>IF(ISNA(VLOOKUP(A103,SR,6,FALSE)),"",IF(OR(A103=0,VLOOKUP(A103,SR,6,FALSE)=0),"",VLOOKUP(A103,SR,6,FALSE)))</f>
        <v/>
      </c>
      <c r="M103" s="325"/>
      <c r="N103" s="325"/>
      <c r="O103" s="325"/>
      <c r="P103" s="325" t="str">
        <f>IF(ISNA(VLOOKUP(A103,SR,5,FALSE)),"",IF(OR(A103=0,VLOOKUP(A103,SR,5,FALSE)=0),"",VLOOKUP(A103,SR,5,FALSE)))</f>
        <v/>
      </c>
      <c r="Q103" s="325"/>
      <c r="R103" s="325"/>
      <c r="S103" s="325"/>
      <c r="T103" s="325"/>
      <c r="U103" s="325"/>
      <c r="V103" s="325"/>
      <c r="W103" s="325" t="str">
        <f>IF(ISNA(VLOOKUP(A103,SR,3,FALSE)),"",IF(OR(A103=0,VLOOKUP(A103,SR,3,FALSE)=0),"",VLOOKUP(A103,SR,3,FALSE)))</f>
        <v/>
      </c>
      <c r="X103" s="325"/>
      <c r="Y103" s="325"/>
      <c r="Z103" s="325"/>
      <c r="AB103" s="16"/>
      <c r="AC103" s="424"/>
      <c r="AD103" s="424"/>
      <c r="AE103" s="424"/>
      <c r="AF103" s="424"/>
      <c r="AG103" s="16"/>
      <c r="AH103" s="16"/>
      <c r="AI103" s="16"/>
      <c r="AJ103" s="16"/>
      <c r="AK103" s="16"/>
      <c r="AL103" s="16"/>
      <c r="AM103" s="16"/>
      <c r="AN103" s="16"/>
    </row>
    <row r="104" spans="1:40">
      <c r="A104" s="327" t="str">
        <f>IF(test_SR=2,"Sphère/École",IF(test_SR=3,"École/Discipline",IF(test_SR=4,"Sphère/Discipline",IF(test_SR=5,"Sphère",IF(test_SR=6,"École",IF(test_SR=7,"Score +Coût","École/Sphère/
Discipline"))))))</f>
        <v>École/Sphère/
Discipline</v>
      </c>
      <c r="B104" s="327"/>
      <c r="C104" s="327"/>
      <c r="D104" s="327"/>
      <c r="E104" s="327"/>
      <c r="F104" s="327"/>
      <c r="G104" s="327"/>
      <c r="H104" s="328" t="s">
        <v>1123</v>
      </c>
      <c r="I104" s="328"/>
      <c r="J104" s="328"/>
      <c r="K104" s="328"/>
      <c r="L104" s="328" t="s">
        <v>1735</v>
      </c>
      <c r="M104" s="328"/>
      <c r="N104" s="328"/>
      <c r="O104" s="328"/>
      <c r="P104" s="328" t="s">
        <v>1126</v>
      </c>
      <c r="Q104" s="328"/>
      <c r="R104" s="328"/>
      <c r="S104" s="328"/>
      <c r="T104" s="328" t="s">
        <v>1132</v>
      </c>
      <c r="U104" s="328"/>
      <c r="V104" s="328"/>
      <c r="W104" s="327" t="s">
        <v>1782</v>
      </c>
      <c r="X104" s="327"/>
      <c r="Y104" s="327"/>
      <c r="Z104" s="327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</row>
    <row r="105" spans="1:40">
      <c r="A105" s="325" t="str">
        <f>IF(ISNA(VLOOKUP(A103,SR,2,FALSE)),"",IF(OR(A103=0,VLOOKUP(A103,SR,2,FALSE)=0),"",VLOOKUP(A103,SR,2,FALSE)))</f>
        <v/>
      </c>
      <c r="B105" s="325"/>
      <c r="C105" s="325"/>
      <c r="D105" s="325"/>
      <c r="E105" s="325"/>
      <c r="F105" s="325"/>
      <c r="G105" s="325"/>
      <c r="H105" s="325" t="str">
        <f>IF(ISNA(VLOOKUP(A103,SR,4,FALSE)),"",IF(OR(A103=0,VLOOKUP(A103,SR,4,FALSE)=0),"",VLOOKUP(A103,SR,4,FALSE)))</f>
        <v/>
      </c>
      <c r="I105" s="325"/>
      <c r="J105" s="325"/>
      <c r="K105" s="325"/>
      <c r="L105" s="325" t="str">
        <f>IF(ISNA(VLOOKUP(A103,SR,9,FALSE)),"",IF(OR(A103=0,VLOOKUP(A103,SR,9,FALSE)=0),"",VLOOKUP(A103,SR,9,FALSE)))</f>
        <v/>
      </c>
      <c r="M105" s="325"/>
      <c r="N105" s="325"/>
      <c r="O105" s="325"/>
      <c r="P105" s="325" t="str">
        <f>IF(ISNA(VLOOKUP(A103,SR,10,FALSE)),"",IF(OR(A103=0,VLOOKUP(A103,SR,10,FALSE)=0),"",VLOOKUP(A103,SR,10,FALSE)))</f>
        <v/>
      </c>
      <c r="Q105" s="325"/>
      <c r="R105" s="325"/>
      <c r="S105" s="325"/>
      <c r="T105" s="325" t="str">
        <f>IF(ISNA(VLOOKUP(A103,SR,11,FALSE)),"",IF(OR(A103=0,VLOOKUP(A103,SR,11,FALSE)=0),"",VLOOKUP(A103,SR,11,FALSE)))</f>
        <v/>
      </c>
      <c r="U105" s="325"/>
      <c r="V105" s="325"/>
      <c r="W105" s="325" t="str">
        <f>IF(ISNA(VLOOKUP(A103,SR,8,FALSE)),"",IF(OR(A103=0,VLOOKUP(A103,SR,8,FALSE)=0),"",VLOOKUP(A103,SR,8,FALSE)))</f>
        <v/>
      </c>
      <c r="X105" s="325"/>
      <c r="Y105" s="325"/>
      <c r="Z105" s="325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</row>
    <row r="106" spans="1:40" ht="15" customHeight="1">
      <c r="A106" s="334" t="str">
        <f>IF(test_SR=2,"Prières/Sorts",IF(test_SR=3,"Sorts/Talents Psioniques",IF(test_SR=4,"Prières/Talents Psioniques",IF(test_SR=5,"Prières",IF(test_SR=6,"Sorts",IF(test_SR=7,"Talents Psioniques","Sorts/Prières/Talents Psioniques"))))))</f>
        <v>Sorts/Prières/Talents Psioniques</v>
      </c>
      <c r="B106" s="334"/>
      <c r="C106" s="334"/>
      <c r="D106" s="334"/>
      <c r="E106" s="334"/>
      <c r="F106" s="334"/>
      <c r="G106" s="334"/>
      <c r="H106" s="334" t="s">
        <v>255</v>
      </c>
      <c r="I106" s="334"/>
      <c r="J106" s="334"/>
      <c r="K106" s="334"/>
      <c r="L106" s="334" t="str">
        <f>IF(test_SR=2,"Incantation",IF(test_SR=3,"Inct./Prép.",IF(test_SR=4,"Inct./Prép.",IF(test_SR=5,"Incantation",IF(test_SR=6,"Préparation",IF(test_SR=7,"Préparation","Inct./Prép."))))))</f>
        <v>Inct./Prép.</v>
      </c>
      <c r="M106" s="334"/>
      <c r="N106" s="334"/>
      <c r="O106" s="334"/>
      <c r="P106" s="335" t="s">
        <v>1124</v>
      </c>
      <c r="Q106" s="335"/>
      <c r="R106" s="335"/>
      <c r="S106" s="335"/>
      <c r="T106" s="334" t="s">
        <v>1127</v>
      </c>
      <c r="U106" s="334"/>
      <c r="V106" s="334"/>
      <c r="W106" s="334" t="str">
        <f>'Saving Throws'!$T$15</f>
        <v/>
      </c>
      <c r="X106" s="334"/>
      <c r="Y106" s="334"/>
      <c r="Z106" s="334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</row>
    <row r="107" spans="1:40">
      <c r="A107" s="324"/>
      <c r="B107" s="324"/>
      <c r="C107" s="324"/>
      <c r="D107" s="324"/>
      <c r="E107" s="324"/>
      <c r="F107" s="324"/>
      <c r="G107" s="324"/>
      <c r="H107" s="325" t="str">
        <f>IF(ISNA(VLOOKUP(A107,SR,7,FALSE)),"",IF(OR(A107=0,VLOOKUP(A107,SR,7,FALSE)=0),"",VLOOKUP(A107,SR,7,FALSE)))</f>
        <v/>
      </c>
      <c r="I107" s="325"/>
      <c r="J107" s="325"/>
      <c r="K107" s="325"/>
      <c r="L107" s="325" t="str">
        <f>IF(ISNA(VLOOKUP(A107,SR,6,FALSE)),"",IF(OR(A107=0,VLOOKUP(A107,SR,6,FALSE)=0),"",VLOOKUP(A107,SR,6,FALSE)))</f>
        <v/>
      </c>
      <c r="M107" s="325"/>
      <c r="N107" s="325"/>
      <c r="O107" s="325"/>
      <c r="P107" s="325" t="str">
        <f>IF(ISNA(VLOOKUP(A107,SR,5,FALSE)),"",IF(OR(A107=0,VLOOKUP(A107,SR,5,FALSE)=0),"",VLOOKUP(A107,SR,5,FALSE)))</f>
        <v/>
      </c>
      <c r="Q107" s="325"/>
      <c r="R107" s="325"/>
      <c r="S107" s="325"/>
      <c r="T107" s="325"/>
      <c r="U107" s="325"/>
      <c r="V107" s="325"/>
      <c r="W107" s="325" t="str">
        <f>IF(ISNA(VLOOKUP(A107,SR,3,FALSE)),"",IF(OR(A107=0,VLOOKUP(A107,SR,3,FALSE)=0),"",VLOOKUP(A107,SR,3,FALSE)))</f>
        <v/>
      </c>
      <c r="X107" s="325"/>
      <c r="Y107" s="325"/>
      <c r="Z107" s="325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</row>
    <row r="108" spans="1:40" ht="15" customHeight="1">
      <c r="A108" s="327" t="str">
        <f>IF(test_SR=2,"Sphère/École",IF(test_SR=3,"École/Discipline",IF(test_SR=4,"Sphère/Discipline",IF(test_SR=5,"Sphère",IF(test_SR=6,"École",IF(test_SR=7,"Score +Coût","École/Sphère/
Discipline"))))))</f>
        <v>École/Sphère/
Discipline</v>
      </c>
      <c r="B108" s="327"/>
      <c r="C108" s="327"/>
      <c r="D108" s="327"/>
      <c r="E108" s="327"/>
      <c r="F108" s="327"/>
      <c r="G108" s="327"/>
      <c r="H108" s="328" t="s">
        <v>1123</v>
      </c>
      <c r="I108" s="328"/>
      <c r="J108" s="328"/>
      <c r="K108" s="328"/>
      <c r="L108" s="328" t="s">
        <v>1735</v>
      </c>
      <c r="M108" s="328"/>
      <c r="N108" s="328"/>
      <c r="O108" s="328"/>
      <c r="P108" s="328" t="s">
        <v>1126</v>
      </c>
      <c r="Q108" s="328"/>
      <c r="R108" s="328"/>
      <c r="S108" s="328"/>
      <c r="T108" s="328" t="s">
        <v>1132</v>
      </c>
      <c r="U108" s="328"/>
      <c r="V108" s="328"/>
      <c r="W108" s="327" t="s">
        <v>1782</v>
      </c>
      <c r="X108" s="327"/>
      <c r="Y108" s="327"/>
      <c r="Z108" s="327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</row>
    <row r="109" spans="1:40">
      <c r="A109" s="325" t="str">
        <f>IF(ISNA(VLOOKUP(A107,SR,2,FALSE)),"",IF(OR(A107=0,VLOOKUP(A107,SR,2,FALSE)=0),"",VLOOKUP(A107,SR,2,FALSE)))</f>
        <v/>
      </c>
      <c r="B109" s="325"/>
      <c r="C109" s="325"/>
      <c r="D109" s="325"/>
      <c r="E109" s="325"/>
      <c r="F109" s="325"/>
      <c r="G109" s="325"/>
      <c r="H109" s="325" t="str">
        <f>IF(ISNA(VLOOKUP(A107,SR,4,FALSE)),"",IF(OR(A107=0,VLOOKUP(A107,SR,4,FALSE)=0),"",VLOOKUP(A107,SR,4,FALSE)))</f>
        <v/>
      </c>
      <c r="I109" s="325"/>
      <c r="J109" s="325"/>
      <c r="K109" s="325"/>
      <c r="L109" s="325" t="str">
        <f>IF(ISNA(VLOOKUP(A107,SR,9,FALSE)),"",IF(OR(A107=0,VLOOKUP(A107,SR,9,FALSE)=0),"",VLOOKUP(A107,SR,9,FALSE)))</f>
        <v/>
      </c>
      <c r="M109" s="325"/>
      <c r="N109" s="325"/>
      <c r="O109" s="325"/>
      <c r="P109" s="325" t="str">
        <f>IF(ISNA(VLOOKUP(A107,SR,10,FALSE)),"",IF(OR(A107=0,VLOOKUP(A107,SR,10,FALSE)=0),"",VLOOKUP(A107,SR,10,FALSE)))</f>
        <v/>
      </c>
      <c r="Q109" s="325"/>
      <c r="R109" s="325"/>
      <c r="S109" s="325"/>
      <c r="T109" s="325" t="str">
        <f>IF(ISNA(VLOOKUP(A107,SR,11,FALSE)),"",IF(OR(A107=0,VLOOKUP(A107,SR,11,FALSE)=0),"",VLOOKUP(A107,SR,11,FALSE)))</f>
        <v/>
      </c>
      <c r="U109" s="325"/>
      <c r="V109" s="325"/>
      <c r="W109" s="325" t="str">
        <f>IF(ISNA(VLOOKUP(A107,SR,8,FALSE)),"",IF(OR(A107=0,VLOOKUP(A107,SR,8,FALSE)=0),"",VLOOKUP(A107,SR,8,FALSE)))</f>
        <v/>
      </c>
      <c r="X109" s="325"/>
      <c r="Y109" s="325"/>
      <c r="Z109" s="325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</row>
    <row r="110" spans="1:40" ht="15" customHeight="1">
      <c r="A110" s="334" t="str">
        <f>IF(test_SR=2,"Prières/Sorts",IF(test_SR=3,"Sorts/Talents Psioniques",IF(test_SR=4,"Prières/Talents Psioniques",IF(test_SR=5,"Prières",IF(test_SR=6,"Sorts",IF(test_SR=7,"Talents Psioniques","Sorts/Prières/Talents Psioniques"))))))</f>
        <v>Sorts/Prières/Talents Psioniques</v>
      </c>
      <c r="B110" s="334"/>
      <c r="C110" s="334"/>
      <c r="D110" s="334"/>
      <c r="E110" s="334"/>
      <c r="F110" s="334"/>
      <c r="G110" s="334"/>
      <c r="H110" s="334" t="s">
        <v>255</v>
      </c>
      <c r="I110" s="334"/>
      <c r="J110" s="334"/>
      <c r="K110" s="334"/>
      <c r="L110" s="334" t="str">
        <f>IF(test_SR=2,"Incantation",IF(test_SR=3,"Inct./Prép.",IF(test_SR=4,"Inct./Prép.",IF(test_SR=5,"Incantation",IF(test_SR=6,"Préparation",IF(test_SR=7,"Préparation","Inct./Prép."))))))</f>
        <v>Inct./Prép.</v>
      </c>
      <c r="M110" s="334"/>
      <c r="N110" s="334"/>
      <c r="O110" s="334"/>
      <c r="P110" s="335" t="s">
        <v>1124</v>
      </c>
      <c r="Q110" s="335"/>
      <c r="R110" s="335"/>
      <c r="S110" s="335"/>
      <c r="T110" s="334" t="s">
        <v>1127</v>
      </c>
      <c r="U110" s="334"/>
      <c r="V110" s="334"/>
      <c r="W110" s="334" t="str">
        <f>'Saving Throws'!$T$15</f>
        <v/>
      </c>
      <c r="X110" s="334"/>
      <c r="Y110" s="334"/>
      <c r="Z110" s="334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</row>
    <row r="111" spans="1:40">
      <c r="A111" s="324"/>
      <c r="B111" s="324"/>
      <c r="C111" s="324"/>
      <c r="D111" s="324"/>
      <c r="E111" s="324"/>
      <c r="F111" s="324"/>
      <c r="G111" s="324"/>
      <c r="H111" s="325" t="str">
        <f>IF(ISNA(VLOOKUP(A111,SR,7,FALSE)),"",IF(OR(A111=0,VLOOKUP(A111,SR,7,FALSE)=0),"",VLOOKUP(A111,SR,7,FALSE)))</f>
        <v/>
      </c>
      <c r="I111" s="325"/>
      <c r="J111" s="325"/>
      <c r="K111" s="325"/>
      <c r="L111" s="325" t="str">
        <f>IF(ISNA(VLOOKUP(A111,SR,6,FALSE)),"",IF(OR(A111=0,VLOOKUP(A111,SR,6,FALSE)=0),"",VLOOKUP(A111,SR,6,FALSE)))</f>
        <v/>
      </c>
      <c r="M111" s="325"/>
      <c r="N111" s="325"/>
      <c r="O111" s="325"/>
      <c r="P111" s="325" t="str">
        <f>IF(ISNA(VLOOKUP(A111,SR,5,FALSE)),"",IF(OR(A111=0,VLOOKUP(A111,SR,5,FALSE)=0),"",VLOOKUP(A111,SR,5,FALSE)))</f>
        <v/>
      </c>
      <c r="Q111" s="325"/>
      <c r="R111" s="325"/>
      <c r="S111" s="325"/>
      <c r="T111" s="325"/>
      <c r="U111" s="325"/>
      <c r="V111" s="325"/>
      <c r="W111" s="325" t="str">
        <f>IF(ISNA(VLOOKUP(A111,SR,3,FALSE)),"",IF(OR(A111=0,VLOOKUP(A111,SR,3,FALSE)=0),"",VLOOKUP(A111,SR,3,FALSE)))</f>
        <v/>
      </c>
      <c r="X111" s="325"/>
      <c r="Y111" s="325"/>
      <c r="Z111" s="325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</row>
    <row r="112" spans="1:40" ht="15" customHeight="1">
      <c r="A112" s="327" t="str">
        <f>IF(test_SR=2,"Sphère/École",IF(test_SR=3,"École/Discipline",IF(test_SR=4,"Sphère/Discipline",IF(test_SR=5,"Sphère",IF(test_SR=6,"École",IF(test_SR=7,"Score +Coût","École/Sphère/
Discipline"))))))</f>
        <v>École/Sphère/
Discipline</v>
      </c>
      <c r="B112" s="327"/>
      <c r="C112" s="327"/>
      <c r="D112" s="327"/>
      <c r="E112" s="327"/>
      <c r="F112" s="327"/>
      <c r="G112" s="327"/>
      <c r="H112" s="328" t="s">
        <v>1123</v>
      </c>
      <c r="I112" s="328"/>
      <c r="J112" s="328"/>
      <c r="K112" s="328"/>
      <c r="L112" s="328" t="s">
        <v>1735</v>
      </c>
      <c r="M112" s="328"/>
      <c r="N112" s="328"/>
      <c r="O112" s="328"/>
      <c r="P112" s="328" t="s">
        <v>1126</v>
      </c>
      <c r="Q112" s="328"/>
      <c r="R112" s="328"/>
      <c r="S112" s="328"/>
      <c r="T112" s="328" t="s">
        <v>1132</v>
      </c>
      <c r="U112" s="328"/>
      <c r="V112" s="328"/>
      <c r="W112" s="327" t="s">
        <v>1782</v>
      </c>
      <c r="X112" s="327"/>
      <c r="Y112" s="327"/>
      <c r="Z112" s="327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</row>
    <row r="113" spans="1:40">
      <c r="A113" s="325" t="str">
        <f>IF(ISNA(VLOOKUP(A111,SR,2,FALSE)),"",IF(OR(A111=0,VLOOKUP(A111,SR,2,FALSE)=0),"",VLOOKUP(A111,SR,2,FALSE)))</f>
        <v/>
      </c>
      <c r="B113" s="325"/>
      <c r="C113" s="325"/>
      <c r="D113" s="325"/>
      <c r="E113" s="325"/>
      <c r="F113" s="325"/>
      <c r="G113" s="325"/>
      <c r="H113" s="325" t="str">
        <f>IF(ISNA(VLOOKUP(A111,SR,4,FALSE)),"",IF(OR(A111=0,VLOOKUP(A111,SR,4,FALSE)=0),"",VLOOKUP(A111,SR,4,FALSE)))</f>
        <v/>
      </c>
      <c r="I113" s="325"/>
      <c r="J113" s="325"/>
      <c r="K113" s="325"/>
      <c r="L113" s="325" t="str">
        <f>IF(ISNA(VLOOKUP(A111,SR,9,FALSE)),"",IF(OR(A111=0,VLOOKUP(A111,SR,9,FALSE)=0),"",VLOOKUP(A111,SR,9,FALSE)))</f>
        <v/>
      </c>
      <c r="M113" s="325"/>
      <c r="N113" s="325"/>
      <c r="O113" s="325"/>
      <c r="P113" s="325" t="str">
        <f>IF(ISNA(VLOOKUP(A111,SR,10,FALSE)),"",IF(OR(A111=0,VLOOKUP(A111,SR,10,FALSE)=0),"",VLOOKUP(A111,SR,10,FALSE)))</f>
        <v/>
      </c>
      <c r="Q113" s="325"/>
      <c r="R113" s="325"/>
      <c r="S113" s="325"/>
      <c r="T113" s="325" t="str">
        <f>IF(ISNA(VLOOKUP(A111,SR,11,FALSE)),"",IF(OR(A111=0,VLOOKUP(A111,SR,11,FALSE)=0),"",VLOOKUP(A111,SR,11,FALSE)))</f>
        <v/>
      </c>
      <c r="U113" s="325"/>
      <c r="V113" s="325"/>
      <c r="W113" s="325" t="str">
        <f>IF(ISNA(VLOOKUP(A111,SR,8,FALSE)),"",IF(OR(A111=0,VLOOKUP(A111,SR,8,FALSE)=0),"",VLOOKUP(A111,SR,8,FALSE)))</f>
        <v/>
      </c>
      <c r="X113" s="325"/>
      <c r="Y113" s="325"/>
      <c r="Z113" s="325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</row>
    <row r="114" spans="1:40" ht="15" customHeight="1">
      <c r="A114" s="334" t="str">
        <f>IF(test_SR=2,"Prières/Sorts",IF(test_SR=3,"Sorts/Talents Psioniques",IF(test_SR=4,"Prières/Talents Psioniques",IF(test_SR=5,"Prières",IF(test_SR=6,"Sorts",IF(test_SR=7,"Talents Psioniques","Sorts/Prières/Talents Psioniques"))))))</f>
        <v>Sorts/Prières/Talents Psioniques</v>
      </c>
      <c r="B114" s="334"/>
      <c r="C114" s="334"/>
      <c r="D114" s="334"/>
      <c r="E114" s="334"/>
      <c r="F114" s="334"/>
      <c r="G114" s="334"/>
      <c r="H114" s="334" t="s">
        <v>255</v>
      </c>
      <c r="I114" s="334"/>
      <c r="J114" s="334"/>
      <c r="K114" s="334"/>
      <c r="L114" s="334" t="str">
        <f>IF(test_SR=2,"Incantation",IF(test_SR=3,"Inct./Prép.",IF(test_SR=4,"Inct./Prép.",IF(test_SR=5,"Incantation",IF(test_SR=6,"Préparation",IF(test_SR=7,"Préparation","Inct./Prép."))))))</f>
        <v>Inct./Prép.</v>
      </c>
      <c r="M114" s="334"/>
      <c r="N114" s="334"/>
      <c r="O114" s="334"/>
      <c r="P114" s="335" t="s">
        <v>1124</v>
      </c>
      <c r="Q114" s="335"/>
      <c r="R114" s="335"/>
      <c r="S114" s="335"/>
      <c r="T114" s="334" t="s">
        <v>1127</v>
      </c>
      <c r="U114" s="334"/>
      <c r="V114" s="334"/>
      <c r="W114" s="334" t="str">
        <f>'Saving Throws'!$T$15</f>
        <v/>
      </c>
      <c r="X114" s="334"/>
      <c r="Y114" s="334"/>
      <c r="Z114" s="334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</row>
    <row r="115" spans="1:40" ht="15" customHeight="1">
      <c r="A115" s="324"/>
      <c r="B115" s="324"/>
      <c r="C115" s="324"/>
      <c r="D115" s="324"/>
      <c r="E115" s="324"/>
      <c r="F115" s="324"/>
      <c r="G115" s="324"/>
      <c r="H115" s="325" t="str">
        <f>IF(ISNA(VLOOKUP(A115,SR,7,FALSE)),"",IF(OR(A115=0,VLOOKUP(A115,SR,7,FALSE)=0),"",VLOOKUP(A115,SR,7,FALSE)))</f>
        <v/>
      </c>
      <c r="I115" s="325"/>
      <c r="J115" s="325"/>
      <c r="K115" s="325"/>
      <c r="L115" s="325" t="str">
        <f>IF(ISNA(VLOOKUP(A115,SR,6,FALSE)),"",IF(OR(A115=0,VLOOKUP(A115,SR,6,FALSE)=0),"",VLOOKUP(A115,SR,6,FALSE)))</f>
        <v/>
      </c>
      <c r="M115" s="325"/>
      <c r="N115" s="325"/>
      <c r="O115" s="325"/>
      <c r="P115" s="325" t="str">
        <f>IF(ISNA(VLOOKUP(A115,SR,5,FALSE)),"",IF(OR(A115=0,VLOOKUP(A115,SR,5,FALSE)=0),"",VLOOKUP(A115,SR,5,FALSE)))</f>
        <v/>
      </c>
      <c r="Q115" s="325"/>
      <c r="R115" s="325"/>
      <c r="S115" s="325"/>
      <c r="T115" s="325"/>
      <c r="U115" s="325"/>
      <c r="V115" s="325"/>
      <c r="W115" s="325" t="str">
        <f>IF(ISNA(VLOOKUP(A115,SR,3,FALSE)),"",IF(OR(A115=0,VLOOKUP(A115,SR,3,FALSE)=0),"",VLOOKUP(A115,SR,3,FALSE)))</f>
        <v/>
      </c>
      <c r="X115" s="325"/>
      <c r="Y115" s="325"/>
      <c r="Z115" s="325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</row>
    <row r="116" spans="1:40" ht="15" customHeight="1">
      <c r="A116" s="327" t="str">
        <f>IF(test_SR=2,"Sphère/École",IF(test_SR=3,"École/Discipline",IF(test_SR=4,"Sphère/Discipline",IF(test_SR=5,"Sphère",IF(test_SR=6,"École",IF(test_SR=7,"Score +Coût","École/Sphère/
Discipline"))))))</f>
        <v>École/Sphère/
Discipline</v>
      </c>
      <c r="B116" s="327"/>
      <c r="C116" s="327"/>
      <c r="D116" s="327"/>
      <c r="E116" s="327"/>
      <c r="F116" s="327"/>
      <c r="G116" s="327"/>
      <c r="H116" s="328" t="s">
        <v>1123</v>
      </c>
      <c r="I116" s="328"/>
      <c r="J116" s="328"/>
      <c r="K116" s="328"/>
      <c r="L116" s="328" t="s">
        <v>1735</v>
      </c>
      <c r="M116" s="328"/>
      <c r="N116" s="328"/>
      <c r="O116" s="328"/>
      <c r="P116" s="328" t="s">
        <v>1126</v>
      </c>
      <c r="Q116" s="328"/>
      <c r="R116" s="328"/>
      <c r="S116" s="328"/>
      <c r="T116" s="328" t="s">
        <v>1132</v>
      </c>
      <c r="U116" s="328"/>
      <c r="V116" s="328"/>
      <c r="W116" s="327" t="s">
        <v>1782</v>
      </c>
      <c r="X116" s="327"/>
      <c r="Y116" s="327"/>
      <c r="Z116" s="327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</row>
    <row r="117" spans="1:40" ht="15" customHeight="1">
      <c r="A117" s="325" t="str">
        <f>IF(ISNA(VLOOKUP(A115,SR,2,FALSE)),"",IF(OR(A115=0,VLOOKUP(A115,SR,2,FALSE)=0),"",VLOOKUP(A115,SR,2,FALSE)))</f>
        <v/>
      </c>
      <c r="B117" s="325"/>
      <c r="C117" s="325"/>
      <c r="D117" s="325"/>
      <c r="E117" s="325"/>
      <c r="F117" s="325"/>
      <c r="G117" s="325"/>
      <c r="H117" s="325" t="str">
        <f>IF(ISNA(VLOOKUP(A115,SR,4,FALSE)),"",IF(OR(A115=0,VLOOKUP(A115,SR,4,FALSE)=0),"",VLOOKUP(A115,SR,4,FALSE)))</f>
        <v/>
      </c>
      <c r="I117" s="325"/>
      <c r="J117" s="325"/>
      <c r="K117" s="325"/>
      <c r="L117" s="325" t="str">
        <f>IF(ISNA(VLOOKUP(A115,SR,9,FALSE)),"",IF(OR(A115=0,VLOOKUP(A115,SR,9,FALSE)=0),"",VLOOKUP(A115,SR,9,FALSE)))</f>
        <v/>
      </c>
      <c r="M117" s="325"/>
      <c r="N117" s="325"/>
      <c r="O117" s="325"/>
      <c r="P117" s="325" t="str">
        <f>IF(ISNA(VLOOKUP(A115,SR,10,FALSE)),"",IF(OR(A115=0,VLOOKUP(A115,SR,10,FALSE)=0),"",VLOOKUP(A115,SR,10,FALSE)))</f>
        <v/>
      </c>
      <c r="Q117" s="325"/>
      <c r="R117" s="325"/>
      <c r="S117" s="325"/>
      <c r="T117" s="325" t="str">
        <f>IF(ISNA(VLOOKUP(A115,SR,11,FALSE)),"",IF(OR(A115=0,VLOOKUP(A115,SR,11,FALSE)=0),"",VLOOKUP(A115,SR,11,FALSE)))</f>
        <v/>
      </c>
      <c r="U117" s="325"/>
      <c r="V117" s="325"/>
      <c r="W117" s="325" t="str">
        <f>IF(ISNA(VLOOKUP(A115,SR,8,FALSE)),"",IF(OR(A115=0,VLOOKUP(A115,SR,8,FALSE)=0),"",VLOOKUP(A115,SR,8,FALSE)))</f>
        <v/>
      </c>
      <c r="X117" s="325"/>
      <c r="Y117" s="325"/>
      <c r="Z117" s="325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</row>
    <row r="118" spans="1:40" ht="15" customHeight="1">
      <c r="A118" s="334" t="str">
        <f>IF(test_SR=2,"Prières/Sorts",IF(test_SR=3,"Sorts/Talents Psioniques",IF(test_SR=4,"Prières/Talents Psioniques",IF(test_SR=5,"Prières",IF(test_SR=6,"Sorts",IF(test_SR=7,"Talents Psioniques","Sorts/Prières/Talents Psioniques"))))))</f>
        <v>Sorts/Prières/Talents Psioniques</v>
      </c>
      <c r="B118" s="334"/>
      <c r="C118" s="334"/>
      <c r="D118" s="334"/>
      <c r="E118" s="334"/>
      <c r="F118" s="334"/>
      <c r="G118" s="334"/>
      <c r="H118" s="334" t="s">
        <v>255</v>
      </c>
      <c r="I118" s="334"/>
      <c r="J118" s="334"/>
      <c r="K118" s="334"/>
      <c r="L118" s="334" t="str">
        <f>IF(test_SR=2,"Incantation",IF(test_SR=3,"Inct./Prép.",IF(test_SR=4,"Inct./Prép.",IF(test_SR=5,"Incantation",IF(test_SR=6,"Préparation",IF(test_SR=7,"Préparation","Inct./Prép."))))))</f>
        <v>Inct./Prép.</v>
      </c>
      <c r="M118" s="334"/>
      <c r="N118" s="334"/>
      <c r="O118" s="334"/>
      <c r="P118" s="335" t="s">
        <v>1124</v>
      </c>
      <c r="Q118" s="335"/>
      <c r="R118" s="335"/>
      <c r="S118" s="335"/>
      <c r="T118" s="334" t="s">
        <v>1127</v>
      </c>
      <c r="U118" s="334"/>
      <c r="V118" s="334"/>
      <c r="W118" s="334" t="str">
        <f>'Saving Throws'!$T$15</f>
        <v/>
      </c>
      <c r="X118" s="334"/>
      <c r="Y118" s="334"/>
      <c r="Z118" s="334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</row>
    <row r="119" spans="1:40">
      <c r="A119" s="324"/>
      <c r="B119" s="324"/>
      <c r="C119" s="324"/>
      <c r="D119" s="324"/>
      <c r="E119" s="324"/>
      <c r="F119" s="324"/>
      <c r="G119" s="324"/>
      <c r="H119" s="325" t="str">
        <f>IF(ISNA(VLOOKUP(A119,SR,7,FALSE)),"",IF(OR(A119=0,VLOOKUP(A119,SR,7,FALSE)=0),"",VLOOKUP(A119,SR,7,FALSE)))</f>
        <v/>
      </c>
      <c r="I119" s="325"/>
      <c r="J119" s="325"/>
      <c r="K119" s="325"/>
      <c r="L119" s="325" t="str">
        <f>IF(ISNA(VLOOKUP(A119,SR,6,FALSE)),"",IF(OR(A119=0,VLOOKUP(A119,SR,6,FALSE)=0),"",VLOOKUP(A119,SR,6,FALSE)))</f>
        <v/>
      </c>
      <c r="M119" s="325"/>
      <c r="N119" s="325"/>
      <c r="O119" s="325"/>
      <c r="P119" s="325" t="str">
        <f>IF(ISNA(VLOOKUP(A119,SR,5,FALSE)),"",IF(OR(A119=0,VLOOKUP(A119,SR,5,FALSE)=0),"",VLOOKUP(A119,SR,5,FALSE)))</f>
        <v/>
      </c>
      <c r="Q119" s="325"/>
      <c r="R119" s="325"/>
      <c r="S119" s="325"/>
      <c r="T119" s="325"/>
      <c r="U119" s="325"/>
      <c r="V119" s="325"/>
      <c r="W119" s="325" t="str">
        <f>IF(ISNA(VLOOKUP(A119,SR,3,FALSE)),"",IF(OR(A119=0,VLOOKUP(A119,SR,3,FALSE)=0),"",VLOOKUP(A119,SR,3,FALSE)))</f>
        <v/>
      </c>
      <c r="X119" s="325"/>
      <c r="Y119" s="325"/>
      <c r="Z119" s="325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</row>
    <row r="120" spans="1:40" ht="15" customHeight="1">
      <c r="A120" s="327" t="str">
        <f>IF(test_SR=2,"Sphère/École",IF(test_SR=3,"École/Discipline",IF(test_SR=4,"Sphère/Discipline",IF(test_SR=5,"Sphère",IF(test_SR=6,"École",IF(test_SR=7,"Score +Coût","École/Sphère/
Discipline"))))))</f>
        <v>École/Sphère/
Discipline</v>
      </c>
      <c r="B120" s="327"/>
      <c r="C120" s="327"/>
      <c r="D120" s="327"/>
      <c r="E120" s="327"/>
      <c r="F120" s="327"/>
      <c r="G120" s="327"/>
      <c r="H120" s="328" t="s">
        <v>1123</v>
      </c>
      <c r="I120" s="328"/>
      <c r="J120" s="328"/>
      <c r="K120" s="328"/>
      <c r="L120" s="328" t="s">
        <v>1735</v>
      </c>
      <c r="M120" s="328"/>
      <c r="N120" s="328"/>
      <c r="O120" s="328"/>
      <c r="P120" s="328" t="s">
        <v>1126</v>
      </c>
      <c r="Q120" s="328"/>
      <c r="R120" s="328"/>
      <c r="S120" s="328"/>
      <c r="T120" s="328" t="s">
        <v>1132</v>
      </c>
      <c r="U120" s="328"/>
      <c r="V120" s="328"/>
      <c r="W120" s="327" t="s">
        <v>1782</v>
      </c>
      <c r="X120" s="327"/>
      <c r="Y120" s="327"/>
      <c r="Z120" s="327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</row>
    <row r="121" spans="1:40">
      <c r="A121" s="325" t="str">
        <f>IF(ISNA(VLOOKUP(A119,SR,2,FALSE)),"",IF(OR(A119=0,VLOOKUP(A119,SR,2,FALSE)=0),"",VLOOKUP(A119,SR,2,FALSE)))</f>
        <v/>
      </c>
      <c r="B121" s="325"/>
      <c r="C121" s="325"/>
      <c r="D121" s="325"/>
      <c r="E121" s="325"/>
      <c r="F121" s="325"/>
      <c r="G121" s="325"/>
      <c r="H121" s="325" t="str">
        <f>IF(ISNA(VLOOKUP(A119,SR,4,FALSE)),"",IF(OR(A119=0,VLOOKUP(A119,SR,4,FALSE)=0),"",VLOOKUP(A119,SR,4,FALSE)))</f>
        <v/>
      </c>
      <c r="I121" s="325"/>
      <c r="J121" s="325"/>
      <c r="K121" s="325"/>
      <c r="L121" s="325" t="str">
        <f>IF(ISNA(VLOOKUP(A119,SR,9,FALSE)),"",IF(OR(A119=0,VLOOKUP(A119,SR,9,FALSE)=0),"",VLOOKUP(A119,SR,9,FALSE)))</f>
        <v/>
      </c>
      <c r="M121" s="325"/>
      <c r="N121" s="325"/>
      <c r="O121" s="325"/>
      <c r="P121" s="325" t="str">
        <f>IF(ISNA(VLOOKUP(A119,SR,10,FALSE)),"",IF(OR(A119=0,VLOOKUP(A119,SR,10,FALSE)=0),"",VLOOKUP(A119,SR,10,FALSE)))</f>
        <v/>
      </c>
      <c r="Q121" s="325"/>
      <c r="R121" s="325"/>
      <c r="S121" s="325"/>
      <c r="T121" s="325" t="str">
        <f>IF(ISNA(VLOOKUP(A119,SR,11,FALSE)),"",IF(OR(A119=0,VLOOKUP(A119,SR,11,FALSE)=0),"",VLOOKUP(A119,SR,11,FALSE)))</f>
        <v/>
      </c>
      <c r="U121" s="325"/>
      <c r="V121" s="325"/>
      <c r="W121" s="325" t="str">
        <f>IF(ISNA(VLOOKUP(A119,SR,8,FALSE)),"",IF(OR(A119=0,VLOOKUP(A119,SR,8,FALSE)=0),"",VLOOKUP(A119,SR,8,FALSE)))</f>
        <v/>
      </c>
      <c r="X121" s="325"/>
      <c r="Y121" s="325"/>
      <c r="Z121" s="325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</row>
    <row r="122" spans="1:40" ht="15" customHeight="1">
      <c r="A122" s="334" t="str">
        <f>IF(test_SR=2,"Prières/Sorts",IF(test_SR=3,"Sorts/Talents Psioniques",IF(test_SR=4,"Prières/Talents Psioniques",IF(test_SR=5,"Prières",IF(test_SR=6,"Sorts",IF(test_SR=7,"Talents Psioniques","Sorts/Prières/Talents Psioniques"))))))</f>
        <v>Sorts/Prières/Talents Psioniques</v>
      </c>
      <c r="B122" s="334"/>
      <c r="C122" s="334"/>
      <c r="D122" s="334"/>
      <c r="E122" s="334"/>
      <c r="F122" s="334"/>
      <c r="G122" s="334"/>
      <c r="H122" s="334" t="s">
        <v>255</v>
      </c>
      <c r="I122" s="334"/>
      <c r="J122" s="334"/>
      <c r="K122" s="334"/>
      <c r="L122" s="334" t="str">
        <f>IF(test_SR=2,"Incantation",IF(test_SR=3,"Inct./Prép.",IF(test_SR=4,"Inct./Prép.",IF(test_SR=5,"Incantation",IF(test_SR=6,"Préparation",IF(test_SR=7,"Préparation","Inct./Prép."))))))</f>
        <v>Inct./Prép.</v>
      </c>
      <c r="M122" s="334"/>
      <c r="N122" s="334"/>
      <c r="O122" s="334"/>
      <c r="P122" s="335" t="s">
        <v>1124</v>
      </c>
      <c r="Q122" s="335"/>
      <c r="R122" s="335"/>
      <c r="S122" s="335"/>
      <c r="T122" s="334" t="s">
        <v>1127</v>
      </c>
      <c r="U122" s="334"/>
      <c r="V122" s="334"/>
      <c r="W122" s="334" t="str">
        <f>'Saving Throws'!$T$15</f>
        <v/>
      </c>
      <c r="X122" s="334"/>
      <c r="Y122" s="334"/>
      <c r="Z122" s="334"/>
    </row>
    <row r="123" spans="1:40" ht="15.75" customHeight="1">
      <c r="A123" s="324"/>
      <c r="B123" s="324"/>
      <c r="C123" s="324"/>
      <c r="D123" s="324"/>
      <c r="E123" s="324"/>
      <c r="F123" s="324"/>
      <c r="G123" s="324"/>
      <c r="H123" s="325" t="str">
        <f>IF(ISNA(VLOOKUP(A123,SR,7,FALSE)),"",IF(OR(A123=0,VLOOKUP(A123,SR,7,FALSE)=0),"",VLOOKUP(A123,SR,7,FALSE)))</f>
        <v/>
      </c>
      <c r="I123" s="325"/>
      <c r="J123" s="325"/>
      <c r="K123" s="325"/>
      <c r="L123" s="325" t="str">
        <f>IF(ISNA(VLOOKUP(A123,SR,6,FALSE)),"",IF(OR(A123=0,VLOOKUP(A123,SR,6,FALSE)=0),"",VLOOKUP(A123,SR,6,FALSE)))</f>
        <v/>
      </c>
      <c r="M123" s="325"/>
      <c r="N123" s="325"/>
      <c r="O123" s="325"/>
      <c r="P123" s="325" t="str">
        <f>IF(ISNA(VLOOKUP(A123,SR,5,FALSE)),"",IF(OR(A123=0,VLOOKUP(A123,SR,5,FALSE)=0),"",VLOOKUP(A123,SR,5,FALSE)))</f>
        <v/>
      </c>
      <c r="Q123" s="325"/>
      <c r="R123" s="325"/>
      <c r="S123" s="325"/>
      <c r="T123" s="325"/>
      <c r="U123" s="325"/>
      <c r="V123" s="325"/>
      <c r="W123" s="325" t="str">
        <f>IF(ISNA(VLOOKUP(A123,SR,3,FALSE)),"",IF(OR(A123=0,VLOOKUP(A123,SR,3,FALSE)=0),"",VLOOKUP(A123,SR,3,FALSE)))</f>
        <v/>
      </c>
      <c r="X123" s="325"/>
      <c r="Y123" s="325"/>
      <c r="Z123" s="325"/>
    </row>
    <row r="124" spans="1:40" ht="15" customHeight="1">
      <c r="A124" s="327" t="str">
        <f>IF(test_SR=2,"Sphère/École",IF(test_SR=3,"École/Discipline",IF(test_SR=4,"Sphère/Discipline",IF(test_SR=5,"Sphère",IF(test_SR=6,"École",IF(test_SR=7,"Score +Coût","École/Sphère/
Discipline"))))))</f>
        <v>École/Sphère/
Discipline</v>
      </c>
      <c r="B124" s="327"/>
      <c r="C124" s="327"/>
      <c r="D124" s="327"/>
      <c r="E124" s="327"/>
      <c r="F124" s="327"/>
      <c r="G124" s="327"/>
      <c r="H124" s="328" t="s">
        <v>1123</v>
      </c>
      <c r="I124" s="328"/>
      <c r="J124" s="328"/>
      <c r="K124" s="328"/>
      <c r="L124" s="328" t="s">
        <v>1735</v>
      </c>
      <c r="M124" s="328"/>
      <c r="N124" s="328"/>
      <c r="O124" s="328"/>
      <c r="P124" s="328" t="s">
        <v>1126</v>
      </c>
      <c r="Q124" s="328"/>
      <c r="R124" s="328"/>
      <c r="S124" s="328"/>
      <c r="T124" s="328" t="s">
        <v>1132</v>
      </c>
      <c r="U124" s="328"/>
      <c r="V124" s="328"/>
      <c r="W124" s="327" t="s">
        <v>1782</v>
      </c>
      <c r="X124" s="327"/>
      <c r="Y124" s="327"/>
      <c r="Z124" s="327"/>
    </row>
    <row r="125" spans="1:40">
      <c r="A125" s="325" t="str">
        <f>IF(ISNA(VLOOKUP(A123,SR,2,FALSE)),"",IF(OR(A123=0,VLOOKUP(A123,SR,2,FALSE)=0),"",VLOOKUP(A123,SR,2,FALSE)))</f>
        <v/>
      </c>
      <c r="B125" s="325"/>
      <c r="C125" s="325"/>
      <c r="D125" s="325"/>
      <c r="E125" s="325"/>
      <c r="F125" s="325"/>
      <c r="G125" s="325"/>
      <c r="H125" s="325" t="str">
        <f>IF(ISNA(VLOOKUP(A123,SR,4,FALSE)),"",IF(OR(A123=0,VLOOKUP(A123,SR,4,FALSE)=0),"",VLOOKUP(A123,SR,4,FALSE)))</f>
        <v/>
      </c>
      <c r="I125" s="325"/>
      <c r="J125" s="325"/>
      <c r="K125" s="325"/>
      <c r="L125" s="325" t="str">
        <f>IF(ISNA(VLOOKUP(A123,SR,9,FALSE)),"",IF(OR(A123=0,VLOOKUP(A123,SR,9,FALSE)=0),"",VLOOKUP(A123,SR,9,FALSE)))</f>
        <v/>
      </c>
      <c r="M125" s="325"/>
      <c r="N125" s="325"/>
      <c r="O125" s="325"/>
      <c r="P125" s="325" t="str">
        <f>IF(ISNA(VLOOKUP(A123,SR,10,FALSE)),"",IF(OR(A123=0,VLOOKUP(A123,SR,10,FALSE)=0),"",VLOOKUP(A123,SR,10,FALSE)))</f>
        <v/>
      </c>
      <c r="Q125" s="325"/>
      <c r="R125" s="325"/>
      <c r="S125" s="325"/>
      <c r="T125" s="325" t="str">
        <f>IF(ISNA(VLOOKUP(A123,SR,11,FALSE)),"",IF(OR(A123=0,VLOOKUP(A123,SR,11,FALSE)=0),"",VLOOKUP(A123,SR,11,FALSE)))</f>
        <v/>
      </c>
      <c r="U125" s="325"/>
      <c r="V125" s="325"/>
      <c r="W125" s="325" t="str">
        <f>IF(ISNA(VLOOKUP(A123,SR,8,FALSE)),"",IF(OR(A123=0,VLOOKUP(A123,SR,8,FALSE)=0),"",VLOOKUP(A123,SR,8,FALSE)))</f>
        <v/>
      </c>
      <c r="X125" s="325"/>
      <c r="Y125" s="325"/>
      <c r="Z125" s="325"/>
    </row>
    <row r="126" spans="1:40" ht="15" customHeight="1">
      <c r="A126" s="334" t="str">
        <f>IF(test_SR=2,"Prières/Sorts",IF(test_SR=3,"Sorts/Talents Psioniques",IF(test_SR=4,"Prières/Talents Psioniques",IF(test_SR=5,"Prières",IF(test_SR=6,"Sorts",IF(test_SR=7,"Talents Psioniques","Sorts/Prières/Talents Psioniques"))))))</f>
        <v>Sorts/Prières/Talents Psioniques</v>
      </c>
      <c r="B126" s="334"/>
      <c r="C126" s="334"/>
      <c r="D126" s="334"/>
      <c r="E126" s="334"/>
      <c r="F126" s="334"/>
      <c r="G126" s="334"/>
      <c r="H126" s="334" t="s">
        <v>255</v>
      </c>
      <c r="I126" s="334"/>
      <c r="J126" s="334"/>
      <c r="K126" s="334"/>
      <c r="L126" s="334" t="str">
        <f>IF(test_SR=2,"Incantation",IF(test_SR=3,"Inct./Prép.",IF(test_SR=4,"Inct./Prép.",IF(test_SR=5,"Incantation",IF(test_SR=6,"Préparation",IF(test_SR=7,"Préparation","Inct./Prép."))))))</f>
        <v>Inct./Prép.</v>
      </c>
      <c r="M126" s="334"/>
      <c r="N126" s="334"/>
      <c r="O126" s="334"/>
      <c r="P126" s="335" t="s">
        <v>1124</v>
      </c>
      <c r="Q126" s="335"/>
      <c r="R126" s="335"/>
      <c r="S126" s="335"/>
      <c r="T126" s="334" t="s">
        <v>1127</v>
      </c>
      <c r="U126" s="334"/>
      <c r="V126" s="334"/>
      <c r="W126" s="334" t="str">
        <f>'Saving Throws'!$T$15</f>
        <v/>
      </c>
      <c r="X126" s="334"/>
      <c r="Y126" s="334"/>
      <c r="Z126" s="334"/>
    </row>
    <row r="127" spans="1:40">
      <c r="A127" s="324"/>
      <c r="B127" s="324"/>
      <c r="C127" s="324"/>
      <c r="D127" s="324"/>
      <c r="E127" s="324"/>
      <c r="F127" s="324"/>
      <c r="G127" s="324"/>
      <c r="H127" s="325" t="str">
        <f>IF(ISNA(VLOOKUP(A127,SR,7,FALSE)),"",IF(OR(A127=0,VLOOKUP(A127,SR,7,FALSE)=0),"",VLOOKUP(A127,SR,7,FALSE)))</f>
        <v/>
      </c>
      <c r="I127" s="325"/>
      <c r="J127" s="325"/>
      <c r="K127" s="325"/>
      <c r="L127" s="325" t="str">
        <f>IF(ISNA(VLOOKUP(A127,SR,6,FALSE)),"",IF(OR(A127=0,VLOOKUP(A127,SR,6,FALSE)=0),"",VLOOKUP(A127,SR,6,FALSE)))</f>
        <v/>
      </c>
      <c r="M127" s="325"/>
      <c r="N127" s="325"/>
      <c r="O127" s="325"/>
      <c r="P127" s="325" t="str">
        <f>IF(ISNA(VLOOKUP(A127,SR,5,FALSE)),"",IF(OR(A127=0,VLOOKUP(A127,SR,5,FALSE)=0),"",VLOOKUP(A127,SR,5,FALSE)))</f>
        <v/>
      </c>
      <c r="Q127" s="325"/>
      <c r="R127" s="325"/>
      <c r="S127" s="325"/>
      <c r="T127" s="325"/>
      <c r="U127" s="325"/>
      <c r="V127" s="325"/>
      <c r="W127" s="325" t="str">
        <f>IF(ISNA(VLOOKUP(A127,SR,3,FALSE)),"",IF(OR(A127=0,VLOOKUP(A127,SR,3,FALSE)=0),"",VLOOKUP(A127,SR,3,FALSE)))</f>
        <v/>
      </c>
      <c r="X127" s="325"/>
      <c r="Y127" s="325"/>
      <c r="Z127" s="325"/>
    </row>
    <row r="128" spans="1:40" ht="16.5" customHeight="1">
      <c r="A128" s="327" t="str">
        <f>IF(test_SR=2,"Sphère/École",IF(test_SR=3,"École/Discipline",IF(test_SR=4,"Sphère/Discipline",IF(test_SR=5,"Sphère",IF(test_SR=6,"École",IF(test_SR=7,"Score +Coût","École/Sphère/
Discipline"))))))</f>
        <v>École/Sphère/
Discipline</v>
      </c>
      <c r="B128" s="327"/>
      <c r="C128" s="327"/>
      <c r="D128" s="327"/>
      <c r="E128" s="327"/>
      <c r="F128" s="327"/>
      <c r="G128" s="327"/>
      <c r="H128" s="328" t="s">
        <v>1123</v>
      </c>
      <c r="I128" s="328"/>
      <c r="J128" s="328"/>
      <c r="K128" s="328"/>
      <c r="L128" s="328" t="s">
        <v>1735</v>
      </c>
      <c r="M128" s="328"/>
      <c r="N128" s="328"/>
      <c r="O128" s="328"/>
      <c r="P128" s="328" t="s">
        <v>1126</v>
      </c>
      <c r="Q128" s="328"/>
      <c r="R128" s="328"/>
      <c r="S128" s="328"/>
      <c r="T128" s="328" t="s">
        <v>1132</v>
      </c>
      <c r="U128" s="328"/>
      <c r="V128" s="328"/>
      <c r="W128" s="327" t="s">
        <v>1782</v>
      </c>
      <c r="X128" s="327"/>
      <c r="Y128" s="327"/>
      <c r="Z128" s="327"/>
    </row>
    <row r="129" spans="1:70">
      <c r="A129" s="325" t="str">
        <f>IF(ISNA(VLOOKUP(A127,SR,2,FALSE)),"",IF(OR(A127=0,VLOOKUP(A127,SR,2,FALSE)=0),"",VLOOKUP(A127,SR,2,FALSE)))</f>
        <v/>
      </c>
      <c r="B129" s="325"/>
      <c r="C129" s="325"/>
      <c r="D129" s="325"/>
      <c r="E129" s="325"/>
      <c r="F129" s="325"/>
      <c r="G129" s="325"/>
      <c r="H129" s="325" t="str">
        <f>IF(ISNA(VLOOKUP(A127,SR,4,FALSE)),"",IF(OR(A127=0,VLOOKUP(A127,SR,4,FALSE)=0),"",VLOOKUP(A127,SR,4,FALSE)))</f>
        <v/>
      </c>
      <c r="I129" s="325"/>
      <c r="J129" s="325"/>
      <c r="K129" s="325"/>
      <c r="L129" s="325" t="str">
        <f>IF(ISNA(VLOOKUP(A127,SR,9,FALSE)),"",IF(OR(A127=0,VLOOKUP(A127,SR,9,FALSE)=0),"",VLOOKUP(A127,SR,9,FALSE)))</f>
        <v/>
      </c>
      <c r="M129" s="325"/>
      <c r="N129" s="325"/>
      <c r="O129" s="325"/>
      <c r="P129" s="325" t="str">
        <f>IF(ISNA(VLOOKUP(A127,SR,10,FALSE)),"",IF(OR(A127=0,VLOOKUP(A127,SR,10,FALSE)=0),"",VLOOKUP(A127,SR,10,FALSE)))</f>
        <v/>
      </c>
      <c r="Q129" s="325"/>
      <c r="R129" s="325"/>
      <c r="S129" s="325"/>
      <c r="T129" s="325" t="str">
        <f>IF(ISNA(VLOOKUP(A127,SR,11,FALSE)),"",IF(OR(A127=0,VLOOKUP(A127,SR,11,FALSE)=0),"",VLOOKUP(A127,SR,11,FALSE)))</f>
        <v/>
      </c>
      <c r="U129" s="325"/>
      <c r="V129" s="325"/>
      <c r="W129" s="325" t="str">
        <f>IF(ISNA(VLOOKUP(A127,SR,8,FALSE)),"",IF(OR(A127=0,VLOOKUP(A127,SR,8,FALSE)=0),"",VLOOKUP(A127,SR,8,FALSE)))</f>
        <v/>
      </c>
      <c r="X129" s="325"/>
      <c r="Y129" s="325"/>
      <c r="Z129" s="325"/>
    </row>
    <row r="130" spans="1:70" ht="15" customHeight="1">
      <c r="A130" s="334" t="str">
        <f>IF(test_SR=2,"Prières/Sorts",IF(test_SR=3,"Sorts/Talents Psioniques",IF(test_SR=4,"Prières/Talents Psioniques",IF(test_SR=5,"Prières",IF(test_SR=6,"Sorts",IF(test_SR=7,"Talents Psioniques","Sorts/Prières/Talents Psioniques"))))))</f>
        <v>Sorts/Prières/Talents Psioniques</v>
      </c>
      <c r="B130" s="334"/>
      <c r="C130" s="334"/>
      <c r="D130" s="334"/>
      <c r="E130" s="334"/>
      <c r="F130" s="334"/>
      <c r="G130" s="334"/>
      <c r="H130" s="334" t="s">
        <v>255</v>
      </c>
      <c r="I130" s="334"/>
      <c r="J130" s="334"/>
      <c r="K130" s="334"/>
      <c r="L130" s="334" t="str">
        <f>IF(test_SR=2,"Incantation",IF(test_SR=3,"Inct./Prép.",IF(test_SR=4,"Inct./Prép.",IF(test_SR=5,"Incantation",IF(test_SR=6,"Préparation",IF(test_SR=7,"Préparation","Inct./Prép."))))))</f>
        <v>Inct./Prép.</v>
      </c>
      <c r="M130" s="334"/>
      <c r="N130" s="334"/>
      <c r="O130" s="334"/>
      <c r="P130" s="335" t="s">
        <v>1124</v>
      </c>
      <c r="Q130" s="335"/>
      <c r="R130" s="335"/>
      <c r="S130" s="335"/>
      <c r="T130" s="334" t="s">
        <v>1127</v>
      </c>
      <c r="U130" s="334"/>
      <c r="V130" s="334"/>
      <c r="W130" s="334" t="str">
        <f>'Saving Throws'!$T$15</f>
        <v/>
      </c>
      <c r="X130" s="334"/>
      <c r="Y130" s="334"/>
      <c r="Z130" s="334"/>
    </row>
    <row r="131" spans="1:70">
      <c r="A131" s="324"/>
      <c r="B131" s="324"/>
      <c r="C131" s="324"/>
      <c r="D131" s="324"/>
      <c r="E131" s="324"/>
      <c r="F131" s="324"/>
      <c r="G131" s="324"/>
      <c r="H131" s="325" t="str">
        <f>IF(ISNA(VLOOKUP(A131,SR,7,FALSE)),"",IF(OR(A131=0,VLOOKUP(A131,SR,7,FALSE)=0),"",VLOOKUP(A131,SR,7,FALSE)))</f>
        <v/>
      </c>
      <c r="I131" s="325"/>
      <c r="J131" s="325"/>
      <c r="K131" s="325"/>
      <c r="L131" s="325" t="str">
        <f>IF(ISNA(VLOOKUP(A131,SR,6,FALSE)),"",IF(OR(A131=0,VLOOKUP(A131,SR,6,FALSE)=0),"",VLOOKUP(A131,SR,6,FALSE)))</f>
        <v/>
      </c>
      <c r="M131" s="325"/>
      <c r="N131" s="325"/>
      <c r="O131" s="325"/>
      <c r="P131" s="325" t="str">
        <f>IF(ISNA(VLOOKUP(A131,SR,5,FALSE)),"",IF(OR(A131=0,VLOOKUP(A131,SR,5,FALSE)=0),"",VLOOKUP(A131,SR,5,FALSE)))</f>
        <v/>
      </c>
      <c r="Q131" s="325"/>
      <c r="R131" s="325"/>
      <c r="S131" s="325"/>
      <c r="T131" s="325"/>
      <c r="U131" s="325"/>
      <c r="V131" s="325"/>
      <c r="W131" s="325" t="str">
        <f>IF(ISNA(VLOOKUP(A131,SR,3,FALSE)),"",IF(OR(A131=0,VLOOKUP(A131,SR,3,FALSE)=0),"",VLOOKUP(A131,SR,3,FALSE)))</f>
        <v/>
      </c>
      <c r="X131" s="325"/>
      <c r="Y131" s="325"/>
      <c r="Z131" s="325"/>
    </row>
    <row r="132" spans="1:70" ht="16.5" customHeight="1">
      <c r="A132" s="327" t="str">
        <f>IF(test_SR=2,"Sphère/École",IF(test_SR=3,"École/Discipline",IF(test_SR=4,"Sphère/Discipline",IF(test_SR=5,"Sphère",IF(test_SR=6,"École",IF(test_SR=7,"Score +Coût","École/Sphère/
Discipline"))))))</f>
        <v>École/Sphère/
Discipline</v>
      </c>
      <c r="B132" s="327"/>
      <c r="C132" s="327"/>
      <c r="D132" s="327"/>
      <c r="E132" s="327"/>
      <c r="F132" s="327"/>
      <c r="G132" s="327"/>
      <c r="H132" s="328" t="s">
        <v>1123</v>
      </c>
      <c r="I132" s="328"/>
      <c r="J132" s="328"/>
      <c r="K132" s="328"/>
      <c r="L132" s="328" t="s">
        <v>1735</v>
      </c>
      <c r="M132" s="328"/>
      <c r="N132" s="328"/>
      <c r="O132" s="328"/>
      <c r="P132" s="328" t="s">
        <v>1126</v>
      </c>
      <c r="Q132" s="328"/>
      <c r="R132" s="328"/>
      <c r="S132" s="328"/>
      <c r="T132" s="328" t="s">
        <v>1132</v>
      </c>
      <c r="U132" s="328"/>
      <c r="V132" s="328"/>
      <c r="W132" s="327" t="s">
        <v>1782</v>
      </c>
      <c r="X132" s="327"/>
      <c r="Y132" s="327"/>
      <c r="Z132" s="327"/>
    </row>
    <row r="133" spans="1:70">
      <c r="A133" s="325" t="str">
        <f>IF(ISNA(VLOOKUP(A131,SR,2,FALSE)),"",IF(OR(A131=0,VLOOKUP(A131,SR,2,FALSE)=0),"",VLOOKUP(A131,SR,2,FALSE)))</f>
        <v/>
      </c>
      <c r="B133" s="325"/>
      <c r="C133" s="325"/>
      <c r="D133" s="325"/>
      <c r="E133" s="325"/>
      <c r="F133" s="325"/>
      <c r="G133" s="325"/>
      <c r="H133" s="325" t="str">
        <f>IF(ISNA(VLOOKUP(A131,SR,4,FALSE)),"",IF(OR(A131=0,VLOOKUP(A131,SR,4,FALSE)=0),"",VLOOKUP(A131,SR,4,FALSE)))</f>
        <v/>
      </c>
      <c r="I133" s="325"/>
      <c r="J133" s="325"/>
      <c r="K133" s="325"/>
      <c r="L133" s="325" t="str">
        <f>IF(ISNA(VLOOKUP(A131,SR,9,FALSE)),"",IF(OR(A131=0,VLOOKUP(A131,SR,9,FALSE)=0),"",VLOOKUP(A131,SR,9,FALSE)))</f>
        <v/>
      </c>
      <c r="M133" s="325"/>
      <c r="N133" s="325"/>
      <c r="O133" s="325"/>
      <c r="P133" s="325" t="str">
        <f>IF(ISNA(VLOOKUP(A131,SR,10,FALSE)),"",IF(OR(A131=0,VLOOKUP(A131,SR,10,FALSE)=0),"",VLOOKUP(A131,SR,10,FALSE)))</f>
        <v/>
      </c>
      <c r="Q133" s="325"/>
      <c r="R133" s="325"/>
      <c r="S133" s="325"/>
      <c r="T133" s="325" t="str">
        <f>IF(ISNA(VLOOKUP(A131,SR,11,FALSE)),"",IF(OR(A131=0,VLOOKUP(A131,SR,11,FALSE)=0),"",VLOOKUP(A131,SR,11,FALSE)))</f>
        <v/>
      </c>
      <c r="U133" s="325"/>
      <c r="V133" s="325"/>
      <c r="W133" s="325" t="str">
        <f>IF(ISNA(VLOOKUP(A131,SR,8,FALSE)),"",IF(OR(A131=0,VLOOKUP(A131,SR,8,FALSE)=0),"",VLOOKUP(A131,SR,8,FALSE)))</f>
        <v/>
      </c>
      <c r="X133" s="325"/>
      <c r="Y133" s="325"/>
      <c r="Z133" s="325"/>
    </row>
    <row r="134" spans="1:70" ht="15" customHeight="1">
      <c r="A134" s="334" t="str">
        <f>IF(test_SR=2,"Prières/Sorts",IF(test_SR=3,"Sorts/Talents Psioniques",IF(test_SR=4,"Prières/Talents Psioniques",IF(test_SR=5,"Prières",IF(test_SR=6,"Sorts",IF(test_SR=7,"Talents Psioniques","Sorts/Prières/Talents Psioniques"))))))</f>
        <v>Sorts/Prières/Talents Psioniques</v>
      </c>
      <c r="B134" s="334"/>
      <c r="C134" s="334"/>
      <c r="D134" s="334"/>
      <c r="E134" s="334"/>
      <c r="F134" s="334"/>
      <c r="G134" s="334"/>
      <c r="H134" s="334" t="s">
        <v>255</v>
      </c>
      <c r="I134" s="334"/>
      <c r="J134" s="334"/>
      <c r="K134" s="334"/>
      <c r="L134" s="334" t="str">
        <f>IF(test_SR=2,"Incantation",IF(test_SR=3,"Inct./Prép.",IF(test_SR=4,"Inct./Prép.",IF(test_SR=5,"Incantation",IF(test_SR=6,"Préparation",IF(test_SR=7,"Préparation","Inct./Prép."))))))</f>
        <v>Inct./Prép.</v>
      </c>
      <c r="M134" s="334"/>
      <c r="N134" s="334"/>
      <c r="O134" s="334"/>
      <c r="P134" s="335" t="s">
        <v>1124</v>
      </c>
      <c r="Q134" s="335"/>
      <c r="R134" s="335"/>
      <c r="S134" s="335"/>
      <c r="T134" s="334" t="s">
        <v>1127</v>
      </c>
      <c r="U134" s="334"/>
      <c r="V134" s="334"/>
      <c r="W134" s="334" t="str">
        <f>'Saving Throws'!$T$15</f>
        <v/>
      </c>
      <c r="X134" s="334"/>
      <c r="Y134" s="334"/>
      <c r="Z134" s="334"/>
    </row>
    <row r="135" spans="1:70">
      <c r="A135" s="324"/>
      <c r="B135" s="324"/>
      <c r="C135" s="324"/>
      <c r="D135" s="324"/>
      <c r="E135" s="324"/>
      <c r="F135" s="324"/>
      <c r="G135" s="324"/>
      <c r="H135" s="325" t="str">
        <f>IF(ISNA(VLOOKUP(A135,SR,7,FALSE)),"",IF(OR(A135=0,VLOOKUP(A135,SR,7,FALSE)=0),"",VLOOKUP(A135,SR,7,FALSE)))</f>
        <v/>
      </c>
      <c r="I135" s="325"/>
      <c r="J135" s="325"/>
      <c r="K135" s="325"/>
      <c r="L135" s="325" t="str">
        <f>IF(ISNA(VLOOKUP(A135,SR,6,FALSE)),"",IF(OR(A135=0,VLOOKUP(A135,SR,6,FALSE)=0),"",VLOOKUP(A135,SR,6,FALSE)))</f>
        <v/>
      </c>
      <c r="M135" s="325"/>
      <c r="N135" s="325"/>
      <c r="O135" s="325"/>
      <c r="P135" s="325" t="str">
        <f>IF(ISNA(VLOOKUP(A135,SR,5,FALSE)),"",IF(OR(A135=0,VLOOKUP(A135,SR,5,FALSE)=0),"",VLOOKUP(A135,SR,5,FALSE)))</f>
        <v/>
      </c>
      <c r="Q135" s="325"/>
      <c r="R135" s="325"/>
      <c r="S135" s="325"/>
      <c r="T135" s="325"/>
      <c r="U135" s="325"/>
      <c r="V135" s="325"/>
      <c r="W135" s="325" t="str">
        <f>IF(ISNA(VLOOKUP(A135,SR,3,FALSE)),"",IF(OR(A135=0,VLOOKUP(A135,SR,3,FALSE)=0),"",VLOOKUP(A135,SR,3,FALSE)))</f>
        <v/>
      </c>
      <c r="X135" s="325"/>
      <c r="Y135" s="325"/>
      <c r="Z135" s="325"/>
      <c r="BD135" s="16"/>
      <c r="BE135" s="16"/>
      <c r="BF135" s="16"/>
    </row>
    <row r="136" spans="1:70" ht="16.5" customHeight="1">
      <c r="A136" s="327" t="str">
        <f>IF(test_SR=2,"Sphère/École",IF(test_SR=3,"École/Discipline",IF(test_SR=4,"Sphère/Discipline",IF(test_SR=5,"Sphère",IF(test_SR=6,"École",IF(test_SR=7,"Score +Coût","École/Sphère/
Discipline"))))))</f>
        <v>École/Sphère/
Discipline</v>
      </c>
      <c r="B136" s="327"/>
      <c r="C136" s="327"/>
      <c r="D136" s="327"/>
      <c r="E136" s="327"/>
      <c r="F136" s="327"/>
      <c r="G136" s="327"/>
      <c r="H136" s="328" t="s">
        <v>1123</v>
      </c>
      <c r="I136" s="328"/>
      <c r="J136" s="328"/>
      <c r="K136" s="328"/>
      <c r="L136" s="328" t="s">
        <v>1735</v>
      </c>
      <c r="M136" s="328"/>
      <c r="N136" s="328"/>
      <c r="O136" s="328"/>
      <c r="P136" s="328" t="s">
        <v>1126</v>
      </c>
      <c r="Q136" s="328"/>
      <c r="R136" s="328"/>
      <c r="S136" s="328"/>
      <c r="T136" s="328" t="s">
        <v>1132</v>
      </c>
      <c r="U136" s="328"/>
      <c r="V136" s="328"/>
      <c r="W136" s="327" t="s">
        <v>1782</v>
      </c>
      <c r="X136" s="327"/>
      <c r="Y136" s="327"/>
      <c r="Z136" s="327"/>
      <c r="BD136" s="16"/>
      <c r="BE136" s="16"/>
      <c r="BF136" s="16"/>
    </row>
    <row r="137" spans="1:70">
      <c r="A137" s="325" t="str">
        <f>IF(ISNA(VLOOKUP(A135,SR,2,FALSE)),"",IF(OR(A135=0,VLOOKUP(A135,SR,2,FALSE)=0),"",VLOOKUP(A135,SR,2,FALSE)))</f>
        <v/>
      </c>
      <c r="B137" s="325"/>
      <c r="C137" s="325"/>
      <c r="D137" s="325"/>
      <c r="E137" s="325"/>
      <c r="F137" s="325"/>
      <c r="G137" s="325"/>
      <c r="H137" s="325" t="str">
        <f>IF(ISNA(VLOOKUP(A135,SR,4,FALSE)),"",IF(OR(A135=0,VLOOKUP(A135,SR,4,FALSE)=0),"",VLOOKUP(A135,SR,4,FALSE)))</f>
        <v/>
      </c>
      <c r="I137" s="325"/>
      <c r="J137" s="325"/>
      <c r="K137" s="325"/>
      <c r="L137" s="325" t="str">
        <f>IF(ISNA(VLOOKUP(A135,SR,9,FALSE)),"",IF(OR(A135=0,VLOOKUP(A135,SR,9,FALSE)=0),"",VLOOKUP(A135,SR,9,FALSE)))</f>
        <v/>
      </c>
      <c r="M137" s="325"/>
      <c r="N137" s="325"/>
      <c r="O137" s="325"/>
      <c r="P137" s="325" t="str">
        <f>IF(ISNA(VLOOKUP(A135,SR,10,FALSE)),"",IF(OR(A135=0,VLOOKUP(A135,SR,10,FALSE)=0),"",VLOOKUP(A135,SR,10,FALSE)))</f>
        <v/>
      </c>
      <c r="Q137" s="325"/>
      <c r="R137" s="325"/>
      <c r="S137" s="325"/>
      <c r="T137" s="325" t="str">
        <f>IF(ISNA(VLOOKUP(A135,SR,11,FALSE)),"",IF(OR(A135=0,VLOOKUP(A135,SR,11,FALSE)=0),"",VLOOKUP(A135,SR,11,FALSE)))</f>
        <v/>
      </c>
      <c r="U137" s="325"/>
      <c r="V137" s="325"/>
      <c r="W137" s="325" t="str">
        <f>IF(ISNA(VLOOKUP(A135,SR,8,FALSE)),"",IF(OR(A135=0,VLOOKUP(A135,SR,8,FALSE)=0),"",VLOOKUP(A135,SR,8,FALSE)))</f>
        <v/>
      </c>
      <c r="X137" s="325"/>
      <c r="Y137" s="325"/>
      <c r="Z137" s="325"/>
      <c r="BD137" s="16"/>
      <c r="BE137" s="16"/>
      <c r="BF137" s="16"/>
    </row>
    <row r="138" spans="1:70" ht="15" customHeight="1">
      <c r="A138" s="334" t="str">
        <f>IF(test_SR=2,"Prières/Sorts",IF(test_SR=3,"Sorts/Talents Psioniques",IF(test_SR=4,"Prières/Talents Psioniques",IF(test_SR=5,"Prières",IF(test_SR=6,"Sorts",IF(test_SR=7,"Talents Psioniques","Sorts/Prières/Talents Psioniques"))))))</f>
        <v>Sorts/Prières/Talents Psioniques</v>
      </c>
      <c r="B138" s="334"/>
      <c r="C138" s="334"/>
      <c r="D138" s="334"/>
      <c r="E138" s="334"/>
      <c r="F138" s="334"/>
      <c r="G138" s="334"/>
      <c r="H138" s="334" t="s">
        <v>255</v>
      </c>
      <c r="I138" s="334"/>
      <c r="J138" s="334"/>
      <c r="K138" s="334"/>
      <c r="L138" s="334" t="str">
        <f>IF(test_SR=2,"Incantation",IF(test_SR=3,"Inct./Prép.",IF(test_SR=4,"Inct./Prép.",IF(test_SR=5,"Incantation",IF(test_SR=6,"Préparation",IF(test_SR=7,"Préparation","Inct./Prép."))))))</f>
        <v>Inct./Prép.</v>
      </c>
      <c r="M138" s="334"/>
      <c r="N138" s="334"/>
      <c r="O138" s="334"/>
      <c r="P138" s="335" t="s">
        <v>1124</v>
      </c>
      <c r="Q138" s="335"/>
      <c r="R138" s="335"/>
      <c r="S138" s="335"/>
      <c r="T138" s="334" t="s">
        <v>1127</v>
      </c>
      <c r="U138" s="334"/>
      <c r="V138" s="334"/>
      <c r="W138" s="334" t="str">
        <f>'Saving Throws'!$T$15</f>
        <v/>
      </c>
      <c r="X138" s="334"/>
      <c r="Y138" s="334"/>
      <c r="Z138" s="334"/>
      <c r="BD138" s="16"/>
      <c r="BE138" s="16"/>
      <c r="BF138" s="16"/>
    </row>
    <row r="139" spans="1:70">
      <c r="A139" s="324"/>
      <c r="B139" s="324"/>
      <c r="C139" s="324"/>
      <c r="D139" s="324"/>
      <c r="E139" s="324"/>
      <c r="F139" s="324"/>
      <c r="G139" s="324"/>
      <c r="H139" s="325" t="str">
        <f>IF(ISNA(VLOOKUP(A139,SR,7,FALSE)),"",IF(OR(A139=0,VLOOKUP(A139,SR,7,FALSE)=0),"",VLOOKUP(A139,SR,7,FALSE)))</f>
        <v/>
      </c>
      <c r="I139" s="325"/>
      <c r="J139" s="325"/>
      <c r="K139" s="325"/>
      <c r="L139" s="325" t="str">
        <f>IF(ISNA(VLOOKUP(A139,SR,6,FALSE)),"",IF(OR(A139=0,VLOOKUP(A139,SR,6,FALSE)=0),"",VLOOKUP(A139,SR,6,FALSE)))</f>
        <v/>
      </c>
      <c r="M139" s="325"/>
      <c r="N139" s="325"/>
      <c r="O139" s="325"/>
      <c r="P139" s="325" t="str">
        <f>IF(ISNA(VLOOKUP(A139,SR,5,FALSE)),"",IF(OR(A139=0,VLOOKUP(A139,SR,5,FALSE)=0),"",VLOOKUP(A139,SR,5,FALSE)))</f>
        <v/>
      </c>
      <c r="Q139" s="325"/>
      <c r="R139" s="325"/>
      <c r="S139" s="325"/>
      <c r="T139" s="325"/>
      <c r="U139" s="325"/>
      <c r="V139" s="325"/>
      <c r="W139" s="325" t="str">
        <f>IF(ISNA(VLOOKUP(A139,SR,3,FALSE)),"",IF(OR(A139=0,VLOOKUP(A139,SR,3,FALSE)=0),"",VLOOKUP(A139,SR,3,FALSE)))</f>
        <v/>
      </c>
      <c r="X139" s="325"/>
      <c r="Y139" s="325"/>
      <c r="Z139" s="325"/>
      <c r="BG139" s="16"/>
      <c r="BH139" s="89"/>
      <c r="BI139" s="89"/>
      <c r="BJ139" s="89"/>
      <c r="BK139" s="89"/>
      <c r="BL139" s="89"/>
      <c r="BM139" s="90"/>
      <c r="BN139" s="90"/>
      <c r="BO139" s="16"/>
      <c r="BP139" s="90"/>
      <c r="BQ139" s="75"/>
      <c r="BR139" s="16"/>
    </row>
    <row r="140" spans="1:70" ht="16.5" customHeight="1">
      <c r="A140" s="327" t="str">
        <f>IF(test_SR=2,"Sphère/École",IF(test_SR=3,"École/Discipline",IF(test_SR=4,"Sphère/Discipline",IF(test_SR=5,"Sphère",IF(test_SR=6,"École",IF(test_SR=7,"Score +Coût","École/Sphère/
Discipline"))))))</f>
        <v>École/Sphère/
Discipline</v>
      </c>
      <c r="B140" s="327"/>
      <c r="C140" s="327"/>
      <c r="D140" s="327"/>
      <c r="E140" s="327"/>
      <c r="F140" s="327"/>
      <c r="G140" s="327"/>
      <c r="H140" s="328" t="s">
        <v>1123</v>
      </c>
      <c r="I140" s="328"/>
      <c r="J140" s="328"/>
      <c r="K140" s="328"/>
      <c r="L140" s="328" t="s">
        <v>1735</v>
      </c>
      <c r="M140" s="328"/>
      <c r="N140" s="328"/>
      <c r="O140" s="328"/>
      <c r="P140" s="328" t="s">
        <v>1126</v>
      </c>
      <c r="Q140" s="328"/>
      <c r="R140" s="328"/>
      <c r="S140" s="328"/>
      <c r="T140" s="328" t="s">
        <v>1132</v>
      </c>
      <c r="U140" s="328"/>
      <c r="V140" s="328"/>
      <c r="W140" s="327" t="s">
        <v>1782</v>
      </c>
      <c r="X140" s="327"/>
      <c r="Y140" s="327"/>
      <c r="Z140" s="327"/>
      <c r="BG140" s="16"/>
      <c r="BH140" s="89"/>
      <c r="BI140" s="89"/>
      <c r="BJ140" s="89"/>
      <c r="BK140" s="89"/>
      <c r="BL140" s="89"/>
      <c r="BM140" s="90"/>
      <c r="BN140" s="90"/>
      <c r="BO140" s="16"/>
      <c r="BP140" s="90"/>
      <c r="BQ140" s="75"/>
      <c r="BR140" s="16"/>
    </row>
    <row r="141" spans="1:70">
      <c r="A141" s="325" t="str">
        <f>IF(ISNA(VLOOKUP(A139,SR,2,FALSE)),"",IF(OR(A139=0,VLOOKUP(A139,SR,2,FALSE)=0),"",VLOOKUP(A139,SR,2,FALSE)))</f>
        <v/>
      </c>
      <c r="B141" s="325"/>
      <c r="C141" s="325"/>
      <c r="D141" s="325"/>
      <c r="E141" s="325"/>
      <c r="F141" s="325"/>
      <c r="G141" s="325"/>
      <c r="H141" s="325" t="str">
        <f>IF(ISNA(VLOOKUP(A139,SR,4,FALSE)),"",IF(OR(A139=0,VLOOKUP(A139,SR,4,FALSE)=0),"",VLOOKUP(A139,SR,4,FALSE)))</f>
        <v/>
      </c>
      <c r="I141" s="325"/>
      <c r="J141" s="325"/>
      <c r="K141" s="325"/>
      <c r="L141" s="325" t="str">
        <f>IF(ISNA(VLOOKUP(A139,SR,9,FALSE)),"",IF(OR(A139=0,VLOOKUP(A139,SR,9,FALSE)=0),"",VLOOKUP(A139,SR,9,FALSE)))</f>
        <v/>
      </c>
      <c r="M141" s="325"/>
      <c r="N141" s="325"/>
      <c r="O141" s="325"/>
      <c r="P141" s="325" t="str">
        <f>IF(ISNA(VLOOKUP(A139,SR,10,FALSE)),"",IF(OR(A139=0,VLOOKUP(A139,SR,10,FALSE)=0),"",VLOOKUP(A139,SR,10,FALSE)))</f>
        <v/>
      </c>
      <c r="Q141" s="325"/>
      <c r="R141" s="325"/>
      <c r="S141" s="325"/>
      <c r="T141" s="325" t="str">
        <f>IF(ISNA(VLOOKUP(A139,SR,11,FALSE)),"",IF(OR(A139=0,VLOOKUP(A139,SR,11,FALSE)=0),"",VLOOKUP(A139,SR,11,FALSE)))</f>
        <v/>
      </c>
      <c r="U141" s="325"/>
      <c r="V141" s="325"/>
      <c r="W141" s="325" t="str">
        <f>IF(ISNA(VLOOKUP(A139,SR,8,FALSE)),"",IF(OR(A139=0,VLOOKUP(A139,SR,8,FALSE)=0),"",VLOOKUP(A139,SR,8,FALSE)))</f>
        <v/>
      </c>
      <c r="X141" s="325"/>
      <c r="Y141" s="325"/>
      <c r="Z141" s="325"/>
      <c r="BG141" s="16"/>
      <c r="BH141" s="89"/>
      <c r="BI141" s="89"/>
      <c r="BJ141" s="89"/>
      <c r="BK141" s="89"/>
      <c r="BL141" s="89"/>
      <c r="BM141" s="90"/>
      <c r="BN141" s="90"/>
      <c r="BO141" s="16"/>
      <c r="BP141" s="90"/>
      <c r="BQ141" s="75"/>
      <c r="BR141" s="16"/>
    </row>
    <row r="142" spans="1:70" ht="15" customHeight="1">
      <c r="A142" s="334" t="str">
        <f>IF(test_SR=2,"Prières/Sorts",IF(test_SR=3,"Sorts/Talents Psioniques",IF(test_SR=4,"Prières/Talents Psioniques",IF(test_SR=5,"Prières",IF(test_SR=6,"Sorts",IF(test_SR=7,"Talents Psioniques","Sorts/Prières/Talents Psioniques"))))))</f>
        <v>Sorts/Prières/Talents Psioniques</v>
      </c>
      <c r="B142" s="334"/>
      <c r="C142" s="334"/>
      <c r="D142" s="334"/>
      <c r="E142" s="334"/>
      <c r="F142" s="334"/>
      <c r="G142" s="334"/>
      <c r="H142" s="334" t="s">
        <v>255</v>
      </c>
      <c r="I142" s="334"/>
      <c r="J142" s="334"/>
      <c r="K142" s="334"/>
      <c r="L142" s="334" t="str">
        <f>IF(test_SR=2,"Incantation",IF(test_SR=3,"Inct./Prép.",IF(test_SR=4,"Inct./Prép.",IF(test_SR=5,"Incantation",IF(test_SR=6,"Préparation",IF(test_SR=7,"Préparation","Inct./Prép."))))))</f>
        <v>Inct./Prép.</v>
      </c>
      <c r="M142" s="334"/>
      <c r="N142" s="334"/>
      <c r="O142" s="334"/>
      <c r="P142" s="335" t="s">
        <v>1124</v>
      </c>
      <c r="Q142" s="335"/>
      <c r="R142" s="335"/>
      <c r="S142" s="335"/>
      <c r="T142" s="334" t="s">
        <v>1127</v>
      </c>
      <c r="U142" s="334"/>
      <c r="V142" s="334"/>
      <c r="W142" s="334" t="str">
        <f>'Saving Throws'!$T$15</f>
        <v/>
      </c>
      <c r="X142" s="334"/>
      <c r="Y142" s="334"/>
      <c r="Z142" s="334"/>
      <c r="BG142" s="16"/>
      <c r="BH142" s="89"/>
      <c r="BI142" s="89"/>
      <c r="BJ142" s="89"/>
      <c r="BK142" s="89"/>
      <c r="BL142" s="89"/>
      <c r="BM142" s="90"/>
      <c r="BN142" s="90"/>
      <c r="BO142" s="16"/>
      <c r="BP142" s="90"/>
      <c r="BQ142" s="75"/>
      <c r="BR142" s="16"/>
    </row>
    <row r="143" spans="1:70">
      <c r="A143" s="324"/>
      <c r="B143" s="324"/>
      <c r="C143" s="324"/>
      <c r="D143" s="324"/>
      <c r="E143" s="324"/>
      <c r="F143" s="324"/>
      <c r="G143" s="324"/>
      <c r="H143" s="325" t="str">
        <f>IF(ISNA(VLOOKUP(A143,SR,7,FALSE)),"",IF(OR(A143=0,VLOOKUP(A143,SR,7,FALSE)=0),"",VLOOKUP(A143,SR,7,FALSE)))</f>
        <v/>
      </c>
      <c r="I143" s="325"/>
      <c r="J143" s="325"/>
      <c r="K143" s="325"/>
      <c r="L143" s="325" t="str">
        <f>IF(ISNA(VLOOKUP(A143,SR,6,FALSE)),"",IF(OR(A143=0,VLOOKUP(A143,SR,6,FALSE)=0),"",VLOOKUP(A143,SR,6,FALSE)))</f>
        <v/>
      </c>
      <c r="M143" s="325"/>
      <c r="N143" s="325"/>
      <c r="O143" s="325"/>
      <c r="P143" s="325" t="str">
        <f>IF(ISNA(VLOOKUP(A143,SR,5,FALSE)),"",IF(OR(A143=0,VLOOKUP(A143,SR,5,FALSE)=0),"",VLOOKUP(A143,SR,5,FALSE)))</f>
        <v/>
      </c>
      <c r="Q143" s="325"/>
      <c r="R143" s="325"/>
      <c r="S143" s="325"/>
      <c r="T143" s="325"/>
      <c r="U143" s="325"/>
      <c r="V143" s="325"/>
      <c r="W143" s="325" t="str">
        <f>IF(ISNA(VLOOKUP(A143,SR,3,FALSE)),"",IF(OR(A143=0,VLOOKUP(A143,SR,3,FALSE)=0),"",VLOOKUP(A143,SR,3,FALSE)))</f>
        <v/>
      </c>
      <c r="X143" s="325"/>
      <c r="Y143" s="325"/>
      <c r="Z143" s="325"/>
      <c r="BG143" s="16"/>
      <c r="BH143" s="89"/>
      <c r="BI143" s="89"/>
      <c r="BJ143" s="89"/>
      <c r="BK143" s="89"/>
      <c r="BL143" s="89"/>
      <c r="BM143" s="90"/>
      <c r="BN143" s="90"/>
      <c r="BO143" s="16"/>
      <c r="BP143" s="90"/>
      <c r="BQ143" s="75"/>
      <c r="BR143" s="16"/>
    </row>
    <row r="144" spans="1:70" ht="16.5" customHeight="1">
      <c r="A144" s="327" t="str">
        <f>IF(test_SR=2,"Sphère/École",IF(test_SR=3,"École/Discipline",IF(test_SR=4,"Sphère/Discipline",IF(test_SR=5,"Sphère",IF(test_SR=6,"École",IF(test_SR=7,"Score +Coût","École/Sphère/
Discipline"))))))</f>
        <v>École/Sphère/
Discipline</v>
      </c>
      <c r="B144" s="327"/>
      <c r="C144" s="327"/>
      <c r="D144" s="327"/>
      <c r="E144" s="327"/>
      <c r="F144" s="327"/>
      <c r="G144" s="327"/>
      <c r="H144" s="328" t="s">
        <v>1123</v>
      </c>
      <c r="I144" s="328"/>
      <c r="J144" s="328"/>
      <c r="K144" s="328"/>
      <c r="L144" s="328" t="s">
        <v>1735</v>
      </c>
      <c r="M144" s="328"/>
      <c r="N144" s="328"/>
      <c r="O144" s="328"/>
      <c r="P144" s="328" t="s">
        <v>1126</v>
      </c>
      <c r="Q144" s="328"/>
      <c r="R144" s="328"/>
      <c r="S144" s="328"/>
      <c r="T144" s="328" t="s">
        <v>1132</v>
      </c>
      <c r="U144" s="328"/>
      <c r="V144" s="328"/>
      <c r="W144" s="327" t="s">
        <v>1782</v>
      </c>
      <c r="X144" s="327"/>
      <c r="Y144" s="327"/>
      <c r="Z144" s="327"/>
      <c r="BG144" s="16"/>
      <c r="BH144" s="89"/>
      <c r="BI144" s="89"/>
      <c r="BJ144" s="89"/>
      <c r="BK144" s="89"/>
      <c r="BL144" s="89"/>
      <c r="BM144" s="90"/>
      <c r="BN144" s="90"/>
      <c r="BO144" s="16"/>
      <c r="BP144" s="90"/>
      <c r="BQ144" s="75"/>
      <c r="BR144" s="16"/>
    </row>
    <row r="145" spans="1:70">
      <c r="A145" s="325" t="str">
        <f>IF(ISNA(VLOOKUP(A143,SR,2,FALSE)),"",IF(OR(A143=0,VLOOKUP(A143,SR,2,FALSE)=0),"",VLOOKUP(A143,SR,2,FALSE)))</f>
        <v/>
      </c>
      <c r="B145" s="325"/>
      <c r="C145" s="325"/>
      <c r="D145" s="325"/>
      <c r="E145" s="325"/>
      <c r="F145" s="325"/>
      <c r="G145" s="325"/>
      <c r="H145" s="325" t="str">
        <f>IF(ISNA(VLOOKUP(A143,SR,4,FALSE)),"",IF(OR(A143=0,VLOOKUP(A143,SR,4,FALSE)=0),"",VLOOKUP(A143,SR,4,FALSE)))</f>
        <v/>
      </c>
      <c r="I145" s="325"/>
      <c r="J145" s="325"/>
      <c r="K145" s="325"/>
      <c r="L145" s="325" t="str">
        <f>IF(ISNA(VLOOKUP(A143,SR,9,FALSE)),"",IF(OR(A143=0,VLOOKUP(A143,SR,9,FALSE)=0),"",VLOOKUP(A143,SR,9,FALSE)))</f>
        <v/>
      </c>
      <c r="M145" s="325"/>
      <c r="N145" s="325"/>
      <c r="O145" s="325"/>
      <c r="P145" s="325" t="str">
        <f>IF(ISNA(VLOOKUP(A143,SR,10,FALSE)),"",IF(OR(A143=0,VLOOKUP(A143,SR,10,FALSE)=0),"",VLOOKUP(A143,SR,10,FALSE)))</f>
        <v/>
      </c>
      <c r="Q145" s="325"/>
      <c r="R145" s="325"/>
      <c r="S145" s="325"/>
      <c r="T145" s="325" t="str">
        <f>IF(ISNA(VLOOKUP(A143,SR,11,FALSE)),"",IF(OR(A143=0,VLOOKUP(A143,SR,11,FALSE)=0),"",VLOOKUP(A143,SR,11,FALSE)))</f>
        <v/>
      </c>
      <c r="U145" s="325"/>
      <c r="V145" s="325"/>
      <c r="W145" s="325" t="str">
        <f>IF(ISNA(VLOOKUP(A143,SR,8,FALSE)),"",IF(OR(A143=0,VLOOKUP(A143,SR,8,FALSE)=0),"",VLOOKUP(A143,SR,8,FALSE)))</f>
        <v/>
      </c>
      <c r="X145" s="325"/>
      <c r="Y145" s="325"/>
      <c r="Z145" s="325"/>
      <c r="BG145" s="16"/>
      <c r="BH145" s="89"/>
      <c r="BI145" s="89"/>
      <c r="BJ145" s="89"/>
      <c r="BK145" s="89"/>
      <c r="BL145" s="89"/>
      <c r="BM145" s="90"/>
      <c r="BN145" s="90"/>
      <c r="BO145" s="16"/>
      <c r="BP145" s="90"/>
      <c r="BQ145" s="75"/>
      <c r="BR145" s="16"/>
    </row>
    <row r="146" spans="1:70" ht="15" customHeight="1">
      <c r="A146" s="334" t="str">
        <f>IF(test_SR=2,"Prières/Sorts",IF(test_SR=3,"Sorts/Talents Psioniques",IF(test_SR=4,"Prières/Talents Psioniques",IF(test_SR=5,"Prières",IF(test_SR=6,"Sorts",IF(test_SR=7,"Talents Psioniques","Sorts/Prières/Talents Psioniques"))))))</f>
        <v>Sorts/Prières/Talents Psioniques</v>
      </c>
      <c r="B146" s="334"/>
      <c r="C146" s="334"/>
      <c r="D146" s="334"/>
      <c r="E146" s="334"/>
      <c r="F146" s="334"/>
      <c r="G146" s="334"/>
      <c r="H146" s="334" t="s">
        <v>255</v>
      </c>
      <c r="I146" s="334"/>
      <c r="J146" s="334"/>
      <c r="K146" s="334"/>
      <c r="L146" s="334" t="str">
        <f>IF(test_SR=2,"Incantation",IF(test_SR=3,"Inct./Prép.",IF(test_SR=4,"Inct./Prép.",IF(test_SR=5,"Incantation",IF(test_SR=6,"Préparation",IF(test_SR=7,"Préparation","Inct./Prép."))))))</f>
        <v>Inct./Prép.</v>
      </c>
      <c r="M146" s="334"/>
      <c r="N146" s="334"/>
      <c r="O146" s="334"/>
      <c r="P146" s="335" t="s">
        <v>1124</v>
      </c>
      <c r="Q146" s="335"/>
      <c r="R146" s="335"/>
      <c r="S146" s="335"/>
      <c r="T146" s="334" t="s">
        <v>1127</v>
      </c>
      <c r="U146" s="334"/>
      <c r="V146" s="334"/>
      <c r="W146" s="334" t="str">
        <f>'Saving Throws'!$T$15</f>
        <v/>
      </c>
      <c r="X146" s="334"/>
      <c r="Y146" s="334"/>
      <c r="Z146" s="334"/>
      <c r="BG146" s="16"/>
      <c r="BH146" s="89"/>
      <c r="BI146" s="89"/>
      <c r="BJ146" s="89"/>
      <c r="BK146" s="89"/>
      <c r="BL146" s="89"/>
      <c r="BM146" s="90"/>
      <c r="BN146" s="90"/>
      <c r="BO146" s="16"/>
      <c r="BP146" s="90"/>
      <c r="BQ146" s="75"/>
      <c r="BR146" s="16"/>
    </row>
    <row r="147" spans="1:70" ht="15" customHeight="1">
      <c r="A147" s="324"/>
      <c r="B147" s="324"/>
      <c r="C147" s="324"/>
      <c r="D147" s="324"/>
      <c r="E147" s="324"/>
      <c r="F147" s="324"/>
      <c r="G147" s="324"/>
      <c r="H147" s="325" t="str">
        <f>IF(ISNA(VLOOKUP(A147,SR,7,FALSE)),"",IF(OR(A147=0,VLOOKUP(A147,SR,7,FALSE)=0),"",VLOOKUP(A147,SR,7,FALSE)))</f>
        <v/>
      </c>
      <c r="I147" s="325"/>
      <c r="J147" s="325"/>
      <c r="K147" s="325"/>
      <c r="L147" s="325" t="str">
        <f>IF(ISNA(VLOOKUP(A147,SR,6,FALSE)),"",IF(OR(A147=0,VLOOKUP(A147,SR,6,FALSE)=0),"",VLOOKUP(A147,SR,6,FALSE)))</f>
        <v/>
      </c>
      <c r="M147" s="325"/>
      <c r="N147" s="325"/>
      <c r="O147" s="325"/>
      <c r="P147" s="325" t="str">
        <f>IF(ISNA(VLOOKUP(A147,SR,5,FALSE)),"",IF(OR(A147=0,VLOOKUP(A147,SR,5,FALSE)=0),"",VLOOKUP(A147,SR,5,FALSE)))</f>
        <v/>
      </c>
      <c r="Q147" s="325"/>
      <c r="R147" s="325"/>
      <c r="S147" s="325"/>
      <c r="T147" s="325"/>
      <c r="U147" s="325"/>
      <c r="V147" s="325"/>
      <c r="W147" s="325" t="str">
        <f>IF(ISNA(VLOOKUP(A147,SR,3,FALSE)),"",IF(OR(A147=0,VLOOKUP(A147,SR,3,FALSE)=0),"",VLOOKUP(A147,SR,3,FALSE)))</f>
        <v/>
      </c>
      <c r="X147" s="325"/>
      <c r="Y147" s="325"/>
      <c r="Z147" s="325"/>
      <c r="BG147" s="16"/>
      <c r="BH147" s="89"/>
      <c r="BI147" s="89"/>
      <c r="BJ147" s="89"/>
      <c r="BK147" s="89"/>
      <c r="BL147" s="89"/>
      <c r="BM147" s="90"/>
      <c r="BN147" s="90"/>
      <c r="BO147" s="16"/>
      <c r="BP147" s="90"/>
      <c r="BQ147" s="75"/>
      <c r="BR147" s="16"/>
    </row>
    <row r="148" spans="1:70" ht="16.5" customHeight="1">
      <c r="A148" s="327" t="str">
        <f>IF(test_SR=2,"Sphère/École",IF(test_SR=3,"École/Discipline",IF(test_SR=4,"Sphère/Discipline",IF(test_SR=5,"Sphère",IF(test_SR=6,"École",IF(test_SR=7,"Score +Coût","École/Sphère/
Discipline"))))))</f>
        <v>École/Sphère/
Discipline</v>
      </c>
      <c r="B148" s="327"/>
      <c r="C148" s="327"/>
      <c r="D148" s="327"/>
      <c r="E148" s="327"/>
      <c r="F148" s="327"/>
      <c r="G148" s="327"/>
      <c r="H148" s="328" t="s">
        <v>1123</v>
      </c>
      <c r="I148" s="328"/>
      <c r="J148" s="328"/>
      <c r="K148" s="328"/>
      <c r="L148" s="328" t="s">
        <v>1735</v>
      </c>
      <c r="M148" s="328"/>
      <c r="N148" s="328"/>
      <c r="O148" s="328"/>
      <c r="P148" s="328" t="s">
        <v>1126</v>
      </c>
      <c r="Q148" s="328"/>
      <c r="R148" s="328"/>
      <c r="S148" s="328"/>
      <c r="T148" s="328" t="s">
        <v>1132</v>
      </c>
      <c r="U148" s="328"/>
      <c r="V148" s="328"/>
      <c r="W148" s="327" t="s">
        <v>1782</v>
      </c>
      <c r="X148" s="327"/>
      <c r="Y148" s="327"/>
      <c r="Z148" s="327"/>
      <c r="BG148" s="16"/>
      <c r="BH148" s="89"/>
      <c r="BI148" s="89"/>
      <c r="BJ148" s="89"/>
      <c r="BK148" s="89"/>
      <c r="BL148" s="89"/>
      <c r="BM148" s="90"/>
      <c r="BN148" s="90"/>
      <c r="BO148" s="16"/>
      <c r="BP148" s="90"/>
      <c r="BQ148" s="75"/>
      <c r="BR148" s="16"/>
    </row>
    <row r="149" spans="1:70" ht="15" customHeight="1">
      <c r="A149" s="325" t="str">
        <f>IF(ISNA(VLOOKUP(A147,SR,2,FALSE)),"",IF(OR(A147=0,VLOOKUP(A147,SR,2,FALSE)=0),"",VLOOKUP(A147,SR,2,FALSE)))</f>
        <v/>
      </c>
      <c r="B149" s="325"/>
      <c r="C149" s="325"/>
      <c r="D149" s="325"/>
      <c r="E149" s="325"/>
      <c r="F149" s="325"/>
      <c r="G149" s="325"/>
      <c r="H149" s="325" t="str">
        <f>IF(ISNA(VLOOKUP(A147,SR,4,FALSE)),"",IF(OR(A147=0,VLOOKUP(A147,SR,4,FALSE)=0),"",VLOOKUP(A147,SR,4,FALSE)))</f>
        <v/>
      </c>
      <c r="I149" s="325"/>
      <c r="J149" s="325"/>
      <c r="K149" s="325"/>
      <c r="L149" s="325" t="str">
        <f>IF(ISNA(VLOOKUP(A147,SR,9,FALSE)),"",IF(OR(A147=0,VLOOKUP(A147,SR,9,FALSE)=0),"",VLOOKUP(A147,SR,9,FALSE)))</f>
        <v/>
      </c>
      <c r="M149" s="325"/>
      <c r="N149" s="325"/>
      <c r="O149" s="325"/>
      <c r="P149" s="325" t="str">
        <f>IF(ISNA(VLOOKUP(A147,SR,10,FALSE)),"",IF(OR(A147=0,VLOOKUP(A147,SR,10,FALSE)=0),"",VLOOKUP(A147,SR,10,FALSE)))</f>
        <v/>
      </c>
      <c r="Q149" s="325"/>
      <c r="R149" s="325"/>
      <c r="S149" s="325"/>
      <c r="T149" s="325" t="str">
        <f>IF(ISNA(VLOOKUP(A147,SR,11,FALSE)),"",IF(OR(A147=0,VLOOKUP(A147,SR,11,FALSE)=0),"",VLOOKUP(A147,SR,11,FALSE)))</f>
        <v/>
      </c>
      <c r="U149" s="325"/>
      <c r="V149" s="325"/>
      <c r="W149" s="325" t="str">
        <f>IF(ISNA(VLOOKUP(A147,SR,8,FALSE)),"",IF(OR(A147=0,VLOOKUP(A147,SR,8,FALSE)=0),"",VLOOKUP(A147,SR,8,FALSE)))</f>
        <v/>
      </c>
      <c r="X149" s="325"/>
      <c r="Y149" s="325"/>
      <c r="Z149" s="325"/>
      <c r="BG149" s="16"/>
      <c r="BH149" s="89"/>
      <c r="BI149" s="89"/>
      <c r="BJ149" s="89"/>
      <c r="BK149" s="89"/>
      <c r="BL149" s="89"/>
      <c r="BM149" s="90"/>
      <c r="BN149" s="90"/>
      <c r="BO149" s="16"/>
      <c r="BP149" s="90"/>
      <c r="BQ149" s="75"/>
      <c r="BR149" s="16"/>
    </row>
    <row r="150" spans="1:70" ht="15.75" thickBot="1">
      <c r="A150" s="201" t="s">
        <v>694</v>
      </c>
      <c r="B150" s="202"/>
      <c r="C150" s="202"/>
      <c r="J150" s="1"/>
      <c r="K150" s="1"/>
      <c r="BG150" s="16"/>
      <c r="BH150" s="89"/>
      <c r="BI150" s="89"/>
      <c r="BJ150" s="89"/>
      <c r="BK150" s="89"/>
      <c r="BL150" s="89"/>
      <c r="BM150" s="90"/>
      <c r="BN150" s="90"/>
      <c r="BO150" s="16"/>
      <c r="BP150" s="90"/>
      <c r="BQ150" s="75"/>
      <c r="BR150" s="16"/>
    </row>
    <row r="151" spans="1:70" ht="15.75" thickBot="1">
      <c r="A151" s="255" t="s">
        <v>3563</v>
      </c>
      <c r="B151" s="256"/>
      <c r="C151" s="256"/>
      <c r="D151" s="256"/>
      <c r="E151" s="256"/>
      <c r="F151" s="256"/>
      <c r="G151" s="256"/>
      <c r="H151" s="256"/>
      <c r="I151" s="256"/>
      <c r="J151" s="256"/>
      <c r="K151" s="260" t="s">
        <v>3906</v>
      </c>
      <c r="L151" s="260"/>
      <c r="M151" s="260"/>
      <c r="N151" s="258"/>
      <c r="O151" s="258"/>
      <c r="P151" s="259"/>
      <c r="Q151" s="326" t="s">
        <v>3551</v>
      </c>
      <c r="R151" s="272"/>
      <c r="S151" s="272"/>
      <c r="T151" s="272"/>
      <c r="U151" s="272"/>
      <c r="V151" s="272"/>
      <c r="W151" s="272"/>
      <c r="X151" s="272"/>
      <c r="Y151" s="272"/>
      <c r="Z151" s="319"/>
      <c r="BM151" s="90"/>
      <c r="BN151" s="90"/>
      <c r="BO151" s="16"/>
      <c r="BP151" s="90"/>
      <c r="BQ151" s="75"/>
      <c r="BR151" s="16"/>
    </row>
    <row r="152" spans="1:70">
      <c r="A152" s="271" t="s">
        <v>208</v>
      </c>
      <c r="B152" s="272"/>
      <c r="C152" s="272"/>
      <c r="D152" s="272"/>
      <c r="E152" s="272"/>
      <c r="F152" s="272"/>
      <c r="G152" s="272"/>
      <c r="H152" s="272"/>
      <c r="I152" s="272"/>
      <c r="J152" s="272"/>
      <c r="K152" s="272" t="s">
        <v>3540</v>
      </c>
      <c r="L152" s="272"/>
      <c r="M152" s="272"/>
      <c r="N152" s="272" t="s">
        <v>210</v>
      </c>
      <c r="O152" s="272"/>
      <c r="P152" s="319"/>
      <c r="Q152" s="321" t="s">
        <v>3552</v>
      </c>
      <c r="R152" s="322"/>
      <c r="S152" s="252"/>
      <c r="T152" s="252"/>
      <c r="U152" s="252"/>
      <c r="V152" s="252"/>
      <c r="W152" s="252"/>
      <c r="X152" s="252"/>
      <c r="Y152" s="252"/>
      <c r="Z152" s="261"/>
      <c r="BM152" s="90"/>
      <c r="BN152" s="90"/>
      <c r="BO152" s="16"/>
      <c r="BP152" s="90"/>
      <c r="BQ152" s="75"/>
      <c r="BR152" s="16"/>
    </row>
    <row r="153" spans="1:70">
      <c r="A153" s="265"/>
      <c r="B153" s="251"/>
      <c r="C153" s="251"/>
      <c r="D153" s="251"/>
      <c r="E153" s="251"/>
      <c r="F153" s="251"/>
      <c r="G153" s="251"/>
      <c r="H153" s="251"/>
      <c r="I153" s="251"/>
      <c r="J153" s="251"/>
      <c r="K153" s="252"/>
      <c r="L153" s="252"/>
      <c r="M153" s="252"/>
      <c r="N153" s="251"/>
      <c r="O153" s="251"/>
      <c r="P153" s="264"/>
      <c r="Q153" s="321" t="s">
        <v>3553</v>
      </c>
      <c r="R153" s="322"/>
      <c r="S153" s="252"/>
      <c r="T153" s="252"/>
      <c r="U153" s="252"/>
      <c r="V153" s="252"/>
      <c r="W153" s="252"/>
      <c r="X153" s="252"/>
      <c r="Y153" s="252"/>
      <c r="Z153" s="261"/>
      <c r="BM153" s="90"/>
      <c r="BN153" s="90"/>
      <c r="BO153" s="16"/>
      <c r="BP153" s="90"/>
      <c r="BQ153" s="75"/>
      <c r="BR153" s="16"/>
    </row>
    <row r="154" spans="1:70">
      <c r="A154" s="265"/>
      <c r="B154" s="251"/>
      <c r="C154" s="251"/>
      <c r="D154" s="251"/>
      <c r="E154" s="251"/>
      <c r="F154" s="251"/>
      <c r="G154" s="251"/>
      <c r="H154" s="251"/>
      <c r="I154" s="251"/>
      <c r="J154" s="251"/>
      <c r="K154" s="252"/>
      <c r="L154" s="252"/>
      <c r="M154" s="252"/>
      <c r="N154" s="251"/>
      <c r="O154" s="251"/>
      <c r="P154" s="264"/>
      <c r="Q154" s="321" t="s">
        <v>3554</v>
      </c>
      <c r="R154" s="322"/>
      <c r="S154" s="252"/>
      <c r="T154" s="252"/>
      <c r="U154" s="252"/>
      <c r="V154" s="252"/>
      <c r="W154" s="252"/>
      <c r="X154" s="252"/>
      <c r="Y154" s="252"/>
      <c r="Z154" s="261"/>
      <c r="BM154" s="90"/>
      <c r="BN154" s="90"/>
      <c r="BO154" s="16"/>
      <c r="BP154" s="90"/>
      <c r="BQ154" s="75"/>
      <c r="BR154" s="16"/>
    </row>
    <row r="155" spans="1:70">
      <c r="A155" s="265"/>
      <c r="B155" s="251"/>
      <c r="C155" s="251"/>
      <c r="D155" s="251"/>
      <c r="E155" s="251"/>
      <c r="F155" s="251"/>
      <c r="G155" s="251"/>
      <c r="H155" s="251"/>
      <c r="I155" s="251"/>
      <c r="J155" s="251"/>
      <c r="K155" s="252"/>
      <c r="L155" s="252"/>
      <c r="M155" s="252"/>
      <c r="N155" s="251"/>
      <c r="O155" s="251"/>
      <c r="P155" s="264"/>
      <c r="Q155" s="321" t="s">
        <v>3555</v>
      </c>
      <c r="R155" s="322"/>
      <c r="S155" s="252"/>
      <c r="T155" s="252"/>
      <c r="U155" s="252"/>
      <c r="V155" s="252"/>
      <c r="W155" s="252"/>
      <c r="X155" s="252"/>
      <c r="Y155" s="252"/>
      <c r="Z155" s="261"/>
      <c r="BM155" s="90"/>
      <c r="BN155" s="90"/>
      <c r="BO155" s="16"/>
      <c r="BP155" s="90"/>
      <c r="BQ155" s="75"/>
      <c r="BR155" s="16"/>
    </row>
    <row r="156" spans="1:70">
      <c r="A156" s="265"/>
      <c r="B156" s="251"/>
      <c r="C156" s="251"/>
      <c r="D156" s="251"/>
      <c r="E156" s="251"/>
      <c r="F156" s="251"/>
      <c r="G156" s="251"/>
      <c r="H156" s="251"/>
      <c r="I156" s="251"/>
      <c r="J156" s="251"/>
      <c r="K156" s="252"/>
      <c r="L156" s="252"/>
      <c r="M156" s="252"/>
      <c r="N156" s="251"/>
      <c r="O156" s="251"/>
      <c r="P156" s="264"/>
      <c r="Q156" s="321" t="s">
        <v>3556</v>
      </c>
      <c r="R156" s="322"/>
      <c r="S156" s="252"/>
      <c r="T156" s="252"/>
      <c r="U156" s="252"/>
      <c r="V156" s="252"/>
      <c r="W156" s="252"/>
      <c r="X156" s="252"/>
      <c r="Y156" s="252"/>
      <c r="Z156" s="261"/>
      <c r="BM156" s="90"/>
      <c r="BN156" s="90"/>
      <c r="BO156" s="16"/>
      <c r="BP156" s="90"/>
      <c r="BQ156" s="75"/>
      <c r="BR156" s="16"/>
    </row>
    <row r="157" spans="1:70">
      <c r="A157" s="265"/>
      <c r="B157" s="251"/>
      <c r="C157" s="251"/>
      <c r="D157" s="251"/>
      <c r="E157" s="251"/>
      <c r="F157" s="251"/>
      <c r="G157" s="251"/>
      <c r="H157" s="251"/>
      <c r="I157" s="251"/>
      <c r="J157" s="251"/>
      <c r="K157" s="252"/>
      <c r="L157" s="252"/>
      <c r="M157" s="252"/>
      <c r="N157" s="251"/>
      <c r="O157" s="251"/>
      <c r="P157" s="264"/>
      <c r="Q157" s="321" t="s">
        <v>3557</v>
      </c>
      <c r="R157" s="322"/>
      <c r="S157" s="252"/>
      <c r="T157" s="252"/>
      <c r="U157" s="252"/>
      <c r="V157" s="252"/>
      <c r="W157" s="252"/>
      <c r="X157" s="252"/>
      <c r="Y157" s="252"/>
      <c r="Z157" s="261"/>
      <c r="BM157" s="16"/>
      <c r="BN157" s="16"/>
      <c r="BO157" s="16"/>
      <c r="BP157" s="16"/>
      <c r="BQ157" s="16"/>
      <c r="BR157" s="16"/>
    </row>
    <row r="158" spans="1:70">
      <c r="A158" s="265"/>
      <c r="B158" s="251"/>
      <c r="C158" s="251"/>
      <c r="D158" s="251"/>
      <c r="E158" s="251"/>
      <c r="F158" s="251"/>
      <c r="G158" s="251"/>
      <c r="H158" s="251"/>
      <c r="I158" s="251"/>
      <c r="J158" s="251"/>
      <c r="K158" s="252"/>
      <c r="L158" s="252"/>
      <c r="M158" s="252"/>
      <c r="N158" s="251"/>
      <c r="O158" s="251"/>
      <c r="P158" s="264"/>
      <c r="Q158" s="321" t="s">
        <v>3558</v>
      </c>
      <c r="R158" s="322"/>
      <c r="S158" s="252"/>
      <c r="T158" s="252"/>
      <c r="U158" s="252"/>
      <c r="V158" s="252"/>
      <c r="W158" s="252"/>
      <c r="X158" s="252"/>
      <c r="Y158" s="252"/>
      <c r="Z158" s="261"/>
      <c r="BM158" s="16"/>
      <c r="BN158" s="16"/>
      <c r="BO158" s="16"/>
      <c r="BP158" s="16"/>
      <c r="BQ158" s="16"/>
      <c r="BR158" s="16"/>
    </row>
    <row r="159" spans="1:70">
      <c r="A159" s="265"/>
      <c r="B159" s="251"/>
      <c r="C159" s="251"/>
      <c r="D159" s="251"/>
      <c r="E159" s="251"/>
      <c r="F159" s="251"/>
      <c r="G159" s="251"/>
      <c r="H159" s="251"/>
      <c r="I159" s="251"/>
      <c r="J159" s="251"/>
      <c r="K159" s="252"/>
      <c r="L159" s="252"/>
      <c r="M159" s="252"/>
      <c r="N159" s="251"/>
      <c r="O159" s="251"/>
      <c r="P159" s="264"/>
      <c r="Q159" s="321" t="s">
        <v>3559</v>
      </c>
      <c r="R159" s="322"/>
      <c r="S159" s="252"/>
      <c r="T159" s="252"/>
      <c r="U159" s="252"/>
      <c r="V159" s="252"/>
      <c r="W159" s="252"/>
      <c r="X159" s="252"/>
      <c r="Y159" s="252"/>
      <c r="Z159" s="261"/>
      <c r="BM159" s="16"/>
      <c r="BN159" s="16"/>
      <c r="BO159" s="16"/>
      <c r="BP159" s="16"/>
      <c r="BQ159" s="16"/>
      <c r="BR159" s="16"/>
    </row>
    <row r="160" spans="1:70">
      <c r="A160" s="265"/>
      <c r="B160" s="251"/>
      <c r="C160" s="251"/>
      <c r="D160" s="251"/>
      <c r="E160" s="251"/>
      <c r="F160" s="251"/>
      <c r="G160" s="251"/>
      <c r="H160" s="251"/>
      <c r="I160" s="251"/>
      <c r="J160" s="251"/>
      <c r="K160" s="252"/>
      <c r="L160" s="252"/>
      <c r="M160" s="252"/>
      <c r="N160" s="251"/>
      <c r="O160" s="251"/>
      <c r="P160" s="264"/>
      <c r="Q160" s="321" t="s">
        <v>3560</v>
      </c>
      <c r="R160" s="322"/>
      <c r="S160" s="252"/>
      <c r="T160" s="252"/>
      <c r="U160" s="252"/>
      <c r="V160" s="252"/>
      <c r="W160" s="252"/>
      <c r="X160" s="252"/>
      <c r="Y160" s="252"/>
      <c r="Z160" s="261"/>
    </row>
    <row r="161" spans="1:26">
      <c r="A161" s="265"/>
      <c r="B161" s="251"/>
      <c r="C161" s="251"/>
      <c r="D161" s="251"/>
      <c r="E161" s="251"/>
      <c r="F161" s="251"/>
      <c r="G161" s="251"/>
      <c r="H161" s="251"/>
      <c r="I161" s="251"/>
      <c r="J161" s="251"/>
      <c r="K161" s="252"/>
      <c r="L161" s="252"/>
      <c r="M161" s="252"/>
      <c r="N161" s="251"/>
      <c r="O161" s="251"/>
      <c r="P161" s="264"/>
      <c r="Q161" s="321" t="s">
        <v>3561</v>
      </c>
      <c r="R161" s="322"/>
      <c r="S161" s="252"/>
      <c r="T161" s="252"/>
      <c r="U161" s="252"/>
      <c r="V161" s="252"/>
      <c r="W161" s="252"/>
      <c r="X161" s="252"/>
      <c r="Y161" s="252"/>
      <c r="Z161" s="261"/>
    </row>
    <row r="162" spans="1:26" ht="15.75" thickBot="1">
      <c r="A162" s="265"/>
      <c r="B162" s="251"/>
      <c r="C162" s="251"/>
      <c r="D162" s="251"/>
      <c r="E162" s="251"/>
      <c r="F162" s="251"/>
      <c r="G162" s="251"/>
      <c r="H162" s="251"/>
      <c r="I162" s="251"/>
      <c r="J162" s="251"/>
      <c r="K162" s="252"/>
      <c r="L162" s="252"/>
      <c r="M162" s="252"/>
      <c r="N162" s="251"/>
      <c r="O162" s="251"/>
      <c r="P162" s="264"/>
      <c r="Q162" s="332" t="s">
        <v>3562</v>
      </c>
      <c r="R162" s="333"/>
      <c r="S162" s="317"/>
      <c r="T162" s="317"/>
      <c r="U162" s="317"/>
      <c r="V162" s="317"/>
      <c r="W162" s="317"/>
      <c r="X162" s="317"/>
      <c r="Y162" s="317"/>
      <c r="Z162" s="318"/>
    </row>
    <row r="163" spans="1:26">
      <c r="A163" s="265"/>
      <c r="B163" s="251"/>
      <c r="C163" s="251"/>
      <c r="D163" s="251"/>
      <c r="E163" s="251"/>
      <c r="F163" s="251"/>
      <c r="G163" s="251"/>
      <c r="H163" s="251"/>
      <c r="I163" s="251"/>
      <c r="J163" s="251"/>
      <c r="K163" s="252"/>
      <c r="L163" s="252"/>
      <c r="M163" s="252"/>
      <c r="N163" s="251"/>
      <c r="O163" s="251"/>
      <c r="P163" s="266"/>
      <c r="Q163" s="271" t="s">
        <v>3539</v>
      </c>
      <c r="R163" s="272"/>
      <c r="S163" s="272"/>
      <c r="T163" s="272"/>
      <c r="U163" s="272"/>
      <c r="V163" s="272"/>
      <c r="W163" s="272"/>
      <c r="X163" s="272"/>
      <c r="Y163" s="272"/>
      <c r="Z163" s="319"/>
    </row>
    <row r="164" spans="1:26">
      <c r="A164" s="265"/>
      <c r="B164" s="251"/>
      <c r="C164" s="251"/>
      <c r="D164" s="251"/>
      <c r="E164" s="251"/>
      <c r="F164" s="251"/>
      <c r="G164" s="251"/>
      <c r="H164" s="251"/>
      <c r="I164" s="251"/>
      <c r="J164" s="251"/>
      <c r="K164" s="252"/>
      <c r="L164" s="252"/>
      <c r="M164" s="252"/>
      <c r="N164" s="251"/>
      <c r="O164" s="251"/>
      <c r="P164" s="266"/>
      <c r="Q164" s="262" t="s">
        <v>3544</v>
      </c>
      <c r="R164" s="253"/>
      <c r="S164" s="253"/>
      <c r="T164" s="253"/>
      <c r="U164" s="253"/>
      <c r="V164" s="253"/>
      <c r="W164" s="329" t="s">
        <v>3545</v>
      </c>
      <c r="X164" s="329"/>
      <c r="Y164" s="36" t="s">
        <v>3540</v>
      </c>
      <c r="Z164" s="199"/>
    </row>
    <row r="165" spans="1:26">
      <c r="A165" s="265"/>
      <c r="B165" s="251"/>
      <c r="C165" s="251"/>
      <c r="D165" s="251"/>
      <c r="E165" s="251"/>
      <c r="F165" s="251"/>
      <c r="G165" s="251"/>
      <c r="H165" s="251"/>
      <c r="I165" s="251"/>
      <c r="J165" s="251"/>
      <c r="K165" s="252"/>
      <c r="L165" s="252"/>
      <c r="M165" s="252"/>
      <c r="N165" s="251"/>
      <c r="O165" s="251"/>
      <c r="P165" s="266"/>
      <c r="Q165" s="234" t="str">
        <f>HLOOKUP(VLOOKUP(Campagne,Campaign_money,2,FALSE),Money,2,FALSE)</f>
        <v>PC:</v>
      </c>
      <c r="R165" s="263"/>
      <c r="S165" s="263"/>
      <c r="T165" s="263"/>
      <c r="U165" s="263"/>
      <c r="V165" s="263"/>
      <c r="W165" s="323" t="s">
        <v>3546</v>
      </c>
      <c r="X165" s="323"/>
      <c r="Y165" s="252"/>
      <c r="Z165" s="261"/>
    </row>
    <row r="166" spans="1:26">
      <c r="A166" s="265"/>
      <c r="B166" s="251"/>
      <c r="C166" s="251"/>
      <c r="D166" s="251"/>
      <c r="E166" s="251"/>
      <c r="F166" s="251"/>
      <c r="G166" s="251"/>
      <c r="H166" s="251"/>
      <c r="I166" s="251"/>
      <c r="J166" s="251"/>
      <c r="K166" s="252"/>
      <c r="L166" s="252"/>
      <c r="M166" s="252"/>
      <c r="N166" s="251"/>
      <c r="O166" s="251"/>
      <c r="P166" s="266"/>
      <c r="Q166" s="234" t="str">
        <f>HLOOKUP(VLOOKUP(Campagne,Campaign_money,2,FALSE),Money,3,FALSE)</f>
        <v>PA:</v>
      </c>
      <c r="R166" s="263"/>
      <c r="S166" s="263"/>
      <c r="T166" s="263"/>
      <c r="U166" s="263"/>
      <c r="V166" s="263"/>
      <c r="W166" s="323" t="s">
        <v>3547</v>
      </c>
      <c r="X166" s="323"/>
      <c r="Y166" s="252"/>
      <c r="Z166" s="261"/>
    </row>
    <row r="167" spans="1:26">
      <c r="A167" s="265"/>
      <c r="B167" s="251"/>
      <c r="C167" s="251"/>
      <c r="D167" s="251"/>
      <c r="E167" s="251"/>
      <c r="F167" s="251"/>
      <c r="G167" s="251"/>
      <c r="H167" s="251"/>
      <c r="I167" s="251"/>
      <c r="J167" s="251"/>
      <c r="K167" s="252"/>
      <c r="L167" s="252"/>
      <c r="M167" s="252"/>
      <c r="N167" s="251"/>
      <c r="O167" s="251"/>
      <c r="P167" s="266"/>
      <c r="Q167" s="234" t="str">
        <f>HLOOKUP(VLOOKUP(Campagne,Campaign_money,2,FALSE),Money,4,FALSE)</f>
        <v>PE:</v>
      </c>
      <c r="R167" s="263"/>
      <c r="S167" s="263"/>
      <c r="T167" s="263"/>
      <c r="U167" s="263"/>
      <c r="V167" s="263"/>
      <c r="W167" s="323" t="s">
        <v>3548</v>
      </c>
      <c r="X167" s="323"/>
      <c r="Y167" s="252"/>
      <c r="Z167" s="261"/>
    </row>
    <row r="168" spans="1:26">
      <c r="A168" s="265"/>
      <c r="B168" s="251"/>
      <c r="C168" s="251"/>
      <c r="D168" s="251"/>
      <c r="E168" s="251"/>
      <c r="F168" s="251"/>
      <c r="G168" s="251"/>
      <c r="H168" s="251"/>
      <c r="I168" s="251"/>
      <c r="J168" s="251"/>
      <c r="K168" s="252"/>
      <c r="L168" s="252"/>
      <c r="M168" s="252"/>
      <c r="N168" s="251"/>
      <c r="O168" s="251"/>
      <c r="P168" s="266"/>
      <c r="Q168" s="234" t="str">
        <f>HLOOKUP(VLOOKUP(Campagne,Campaign_money,2,FALSE),Money,5,FALSE)</f>
        <v>PO:</v>
      </c>
      <c r="R168" s="263"/>
      <c r="S168" s="263"/>
      <c r="T168" s="263"/>
      <c r="U168" s="263"/>
      <c r="V168" s="263"/>
      <c r="W168" s="323" t="s">
        <v>3549</v>
      </c>
      <c r="X168" s="323"/>
      <c r="Y168" s="252"/>
      <c r="Z168" s="261"/>
    </row>
    <row r="169" spans="1:26">
      <c r="A169" s="265"/>
      <c r="B169" s="251"/>
      <c r="C169" s="251"/>
      <c r="D169" s="251"/>
      <c r="E169" s="251"/>
      <c r="F169" s="251"/>
      <c r="G169" s="251"/>
      <c r="H169" s="251"/>
      <c r="I169" s="251"/>
      <c r="J169" s="251"/>
      <c r="K169" s="252"/>
      <c r="L169" s="252"/>
      <c r="M169" s="252"/>
      <c r="N169" s="251"/>
      <c r="O169" s="251"/>
      <c r="P169" s="266"/>
      <c r="Q169" s="234" t="str">
        <f>HLOOKUP(VLOOKUP(Campagne,Campaign_money,2,FALSE),Money,6,FALSE)</f>
        <v>PP:</v>
      </c>
      <c r="R169" s="263"/>
      <c r="S169" s="263"/>
      <c r="T169" s="263"/>
      <c r="U169" s="263"/>
      <c r="V169" s="263"/>
      <c r="W169" s="323" t="s">
        <v>3550</v>
      </c>
      <c r="X169" s="323"/>
      <c r="Y169" s="252"/>
      <c r="Z169" s="261"/>
    </row>
    <row r="170" spans="1:26">
      <c r="A170" s="265"/>
      <c r="B170" s="251"/>
      <c r="C170" s="251"/>
      <c r="D170" s="251"/>
      <c r="E170" s="251"/>
      <c r="F170" s="251"/>
      <c r="G170" s="251"/>
      <c r="H170" s="251"/>
      <c r="I170" s="251"/>
      <c r="J170" s="251"/>
      <c r="K170" s="252"/>
      <c r="L170" s="252"/>
      <c r="M170" s="252"/>
      <c r="N170" s="251"/>
      <c r="O170" s="251"/>
      <c r="P170" s="266"/>
      <c r="Q170" s="308" t="s">
        <v>3573</v>
      </c>
      <c r="R170" s="309"/>
      <c r="S170" s="309"/>
      <c r="T170" s="309"/>
      <c r="U170" s="309"/>
      <c r="V170" s="309"/>
      <c r="W170" s="309"/>
      <c r="X170" s="309"/>
      <c r="Y170" s="309"/>
      <c r="Z170" s="310"/>
    </row>
    <row r="171" spans="1:26">
      <c r="A171" s="265"/>
      <c r="B171" s="251"/>
      <c r="C171" s="251"/>
      <c r="D171" s="251"/>
      <c r="E171" s="251"/>
      <c r="F171" s="251"/>
      <c r="G171" s="251"/>
      <c r="H171" s="251"/>
      <c r="I171" s="251"/>
      <c r="J171" s="251"/>
      <c r="K171" s="252"/>
      <c r="L171" s="252"/>
      <c r="M171" s="252"/>
      <c r="N171" s="251"/>
      <c r="O171" s="251"/>
      <c r="P171" s="266"/>
      <c r="Q171" s="308"/>
      <c r="R171" s="309"/>
      <c r="S171" s="309"/>
      <c r="T171" s="309"/>
      <c r="U171" s="309"/>
      <c r="V171" s="309"/>
      <c r="W171" s="309"/>
      <c r="X171" s="309"/>
      <c r="Y171" s="309"/>
      <c r="Z171" s="310"/>
    </row>
    <row r="172" spans="1:26">
      <c r="A172" s="265"/>
      <c r="B172" s="251"/>
      <c r="C172" s="251"/>
      <c r="D172" s="251"/>
      <c r="E172" s="251"/>
      <c r="F172" s="251"/>
      <c r="G172" s="251"/>
      <c r="H172" s="251"/>
      <c r="I172" s="251"/>
      <c r="J172" s="251"/>
      <c r="K172" s="252"/>
      <c r="L172" s="252"/>
      <c r="M172" s="252"/>
      <c r="N172" s="251"/>
      <c r="O172" s="251"/>
      <c r="P172" s="266"/>
      <c r="Q172" s="308"/>
      <c r="R172" s="309"/>
      <c r="S172" s="309"/>
      <c r="T172" s="309"/>
      <c r="U172" s="309"/>
      <c r="V172" s="309"/>
      <c r="W172" s="309"/>
      <c r="X172" s="309"/>
      <c r="Y172" s="309"/>
      <c r="Z172" s="310"/>
    </row>
    <row r="173" spans="1:26">
      <c r="A173" s="265"/>
      <c r="B173" s="251"/>
      <c r="C173" s="251"/>
      <c r="D173" s="251"/>
      <c r="E173" s="251"/>
      <c r="F173" s="251"/>
      <c r="G173" s="251"/>
      <c r="H173" s="251"/>
      <c r="I173" s="251"/>
      <c r="J173" s="251"/>
      <c r="K173" s="252"/>
      <c r="L173" s="252"/>
      <c r="M173" s="252"/>
      <c r="N173" s="251"/>
      <c r="O173" s="251"/>
      <c r="P173" s="266"/>
      <c r="Q173" s="308"/>
      <c r="R173" s="309"/>
      <c r="S173" s="309"/>
      <c r="T173" s="309"/>
      <c r="U173" s="309"/>
      <c r="V173" s="309"/>
      <c r="W173" s="309"/>
      <c r="X173" s="309"/>
      <c r="Y173" s="309"/>
      <c r="Z173" s="310"/>
    </row>
    <row r="174" spans="1:26">
      <c r="A174" s="265"/>
      <c r="B174" s="251"/>
      <c r="C174" s="251"/>
      <c r="D174" s="251"/>
      <c r="E174" s="251"/>
      <c r="F174" s="251"/>
      <c r="G174" s="251"/>
      <c r="H174" s="251"/>
      <c r="I174" s="251"/>
      <c r="J174" s="251"/>
      <c r="K174" s="252"/>
      <c r="L174" s="252"/>
      <c r="M174" s="252"/>
      <c r="N174" s="251"/>
      <c r="O174" s="251"/>
      <c r="P174" s="266"/>
      <c r="Q174" s="308" t="s">
        <v>256</v>
      </c>
      <c r="R174" s="309"/>
      <c r="S174" s="309"/>
      <c r="T174" s="309"/>
      <c r="U174" s="309"/>
      <c r="V174" s="309"/>
      <c r="W174" s="309"/>
      <c r="X174" s="309"/>
      <c r="Y174" s="309"/>
      <c r="Z174" s="310"/>
    </row>
    <row r="175" spans="1:26" ht="15.75" thickBot="1">
      <c r="A175" s="267"/>
      <c r="B175" s="268"/>
      <c r="C175" s="268"/>
      <c r="D175" s="268"/>
      <c r="E175" s="268"/>
      <c r="F175" s="268"/>
      <c r="G175" s="268"/>
      <c r="H175" s="268"/>
      <c r="I175" s="268"/>
      <c r="J175" s="268"/>
      <c r="K175" s="269"/>
      <c r="L175" s="269"/>
      <c r="M175" s="269"/>
      <c r="N175" s="268"/>
      <c r="O175" s="268"/>
      <c r="P175" s="270"/>
      <c r="Q175" s="308"/>
      <c r="R175" s="309"/>
      <c r="S175" s="309"/>
      <c r="T175" s="309"/>
      <c r="U175" s="309"/>
      <c r="V175" s="309"/>
      <c r="W175" s="309"/>
      <c r="X175" s="309"/>
      <c r="Y175" s="309"/>
      <c r="Z175" s="310"/>
    </row>
    <row r="176" spans="1:26" ht="15.75" thickBot="1">
      <c r="A176" s="255" t="s">
        <v>3539</v>
      </c>
      <c r="B176" s="256"/>
      <c r="C176" s="256"/>
      <c r="D176" s="256"/>
      <c r="E176" s="256"/>
      <c r="F176" s="256"/>
      <c r="G176" s="256"/>
      <c r="H176" s="256"/>
      <c r="I176" s="256"/>
      <c r="J176" s="256"/>
      <c r="K176" s="257" t="s">
        <v>3905</v>
      </c>
      <c r="L176" s="257"/>
      <c r="M176" s="257"/>
      <c r="N176" s="258"/>
      <c r="O176" s="258"/>
      <c r="P176" s="259"/>
      <c r="Q176" s="308"/>
      <c r="R176" s="309"/>
      <c r="S176" s="309"/>
      <c r="T176" s="309"/>
      <c r="U176" s="309"/>
      <c r="V176" s="309"/>
      <c r="W176" s="309"/>
      <c r="X176" s="309"/>
      <c r="Y176" s="309"/>
      <c r="Z176" s="310"/>
    </row>
    <row r="177" spans="1:26" ht="15.75" thickBot="1">
      <c r="A177" s="271" t="s">
        <v>208</v>
      </c>
      <c r="B177" s="272"/>
      <c r="C177" s="272"/>
      <c r="D177" s="272"/>
      <c r="E177" s="272"/>
      <c r="F177" s="272"/>
      <c r="G177" s="272"/>
      <c r="H177" s="272"/>
      <c r="I177" s="272"/>
      <c r="J177" s="272"/>
      <c r="K177" s="272" t="s">
        <v>3540</v>
      </c>
      <c r="L177" s="272"/>
      <c r="M177" s="272"/>
      <c r="N177" s="272" t="s">
        <v>210</v>
      </c>
      <c r="O177" s="272"/>
      <c r="P177" s="273"/>
      <c r="Q177" s="311"/>
      <c r="R177" s="312"/>
      <c r="S177" s="312"/>
      <c r="T177" s="312"/>
      <c r="U177" s="312"/>
      <c r="V177" s="312"/>
      <c r="W177" s="312"/>
      <c r="X177" s="312"/>
      <c r="Y177" s="312"/>
      <c r="Z177" s="313"/>
    </row>
    <row r="178" spans="1:26">
      <c r="A178" s="265"/>
      <c r="B178" s="251"/>
      <c r="C178" s="251"/>
      <c r="D178" s="251"/>
      <c r="E178" s="251"/>
      <c r="F178" s="251"/>
      <c r="G178" s="251"/>
      <c r="H178" s="251"/>
      <c r="I178" s="251"/>
      <c r="J178" s="251"/>
      <c r="K178" s="252"/>
      <c r="L178" s="252"/>
      <c r="M178" s="252"/>
      <c r="N178" s="251"/>
      <c r="O178" s="251"/>
      <c r="P178" s="266"/>
      <c r="Q178" s="314" t="s">
        <v>3574</v>
      </c>
      <c r="R178" s="315"/>
      <c r="S178" s="315"/>
      <c r="T178" s="315"/>
      <c r="U178" s="315"/>
      <c r="V178" s="315"/>
      <c r="W178" s="315"/>
      <c r="X178" s="315"/>
      <c r="Y178" s="315"/>
      <c r="Z178" s="316"/>
    </row>
    <row r="179" spans="1:26">
      <c r="A179" s="265"/>
      <c r="B179" s="251"/>
      <c r="C179" s="251"/>
      <c r="D179" s="251"/>
      <c r="E179" s="251"/>
      <c r="F179" s="251"/>
      <c r="G179" s="251"/>
      <c r="H179" s="251"/>
      <c r="I179" s="251"/>
      <c r="J179" s="251"/>
      <c r="K179" s="252"/>
      <c r="L179" s="252"/>
      <c r="M179" s="252"/>
      <c r="N179" s="251"/>
      <c r="O179" s="251"/>
      <c r="P179" s="266"/>
      <c r="Q179" s="274" t="s">
        <v>3575</v>
      </c>
      <c r="R179" s="275"/>
      <c r="S179" s="275"/>
      <c r="T179" s="249"/>
      <c r="U179" s="249"/>
      <c r="V179" s="249"/>
      <c r="W179" s="249"/>
      <c r="X179" s="249"/>
      <c r="Y179" s="249"/>
      <c r="Z179" s="276"/>
    </row>
    <row r="180" spans="1:26">
      <c r="A180" s="265"/>
      <c r="B180" s="251"/>
      <c r="C180" s="251"/>
      <c r="D180" s="251"/>
      <c r="E180" s="251"/>
      <c r="F180" s="251"/>
      <c r="G180" s="251"/>
      <c r="H180" s="251"/>
      <c r="I180" s="251"/>
      <c r="J180" s="251"/>
      <c r="K180" s="252"/>
      <c r="L180" s="252"/>
      <c r="M180" s="252"/>
      <c r="N180" s="251"/>
      <c r="O180" s="251"/>
      <c r="P180" s="266"/>
      <c r="Q180" s="274" t="s">
        <v>3576</v>
      </c>
      <c r="R180" s="275"/>
      <c r="S180" s="275"/>
      <c r="T180" s="249"/>
      <c r="U180" s="249"/>
      <c r="V180" s="249"/>
      <c r="W180" s="249"/>
      <c r="X180" s="249"/>
      <c r="Y180" s="249"/>
      <c r="Z180" s="276"/>
    </row>
    <row r="181" spans="1:26">
      <c r="A181" s="265"/>
      <c r="B181" s="251"/>
      <c r="C181" s="251"/>
      <c r="D181" s="251"/>
      <c r="E181" s="251"/>
      <c r="F181" s="251"/>
      <c r="G181" s="251"/>
      <c r="H181" s="251"/>
      <c r="I181" s="251"/>
      <c r="J181" s="251"/>
      <c r="K181" s="252"/>
      <c r="L181" s="252"/>
      <c r="M181" s="252"/>
      <c r="N181" s="251"/>
      <c r="O181" s="251"/>
      <c r="P181" s="266"/>
      <c r="Q181" s="274" t="s">
        <v>3577</v>
      </c>
      <c r="R181" s="275"/>
      <c r="S181" s="275"/>
      <c r="T181" s="249"/>
      <c r="U181" s="249"/>
      <c r="V181" s="249"/>
      <c r="W181" s="249"/>
      <c r="X181" s="249"/>
      <c r="Y181" s="249"/>
      <c r="Z181" s="276"/>
    </row>
    <row r="182" spans="1:26">
      <c r="A182" s="265"/>
      <c r="B182" s="251"/>
      <c r="C182" s="251"/>
      <c r="D182" s="251"/>
      <c r="E182" s="251"/>
      <c r="F182" s="251"/>
      <c r="G182" s="251"/>
      <c r="H182" s="251"/>
      <c r="I182" s="251"/>
      <c r="J182" s="251"/>
      <c r="K182" s="252"/>
      <c r="L182" s="252"/>
      <c r="M182" s="252"/>
      <c r="N182" s="251"/>
      <c r="O182" s="251"/>
      <c r="P182" s="266"/>
      <c r="Q182" s="282" t="s">
        <v>3578</v>
      </c>
      <c r="R182" s="283"/>
      <c r="S182" s="283"/>
      <c r="T182" s="283"/>
      <c r="U182" s="283"/>
      <c r="V182" s="283"/>
      <c r="W182" s="283"/>
      <c r="X182" s="283"/>
      <c r="Y182" s="283"/>
      <c r="Z182" s="284"/>
    </row>
    <row r="183" spans="1:26">
      <c r="A183" s="265"/>
      <c r="B183" s="251"/>
      <c r="C183" s="251"/>
      <c r="D183" s="251"/>
      <c r="E183" s="251"/>
      <c r="F183" s="251"/>
      <c r="G183" s="251"/>
      <c r="H183" s="251"/>
      <c r="I183" s="251"/>
      <c r="J183" s="251"/>
      <c r="K183" s="252"/>
      <c r="L183" s="252"/>
      <c r="M183" s="252"/>
      <c r="N183" s="251"/>
      <c r="O183" s="251"/>
      <c r="P183" s="266"/>
      <c r="Q183" s="282"/>
      <c r="R183" s="283"/>
      <c r="S183" s="283"/>
      <c r="T183" s="283"/>
      <c r="U183" s="283"/>
      <c r="V183" s="283"/>
      <c r="W183" s="283"/>
      <c r="X183" s="283"/>
      <c r="Y183" s="283"/>
      <c r="Z183" s="284"/>
    </row>
    <row r="184" spans="1:26" ht="15.75" thickBot="1">
      <c r="A184" s="267"/>
      <c r="B184" s="268"/>
      <c r="C184" s="268"/>
      <c r="D184" s="268"/>
      <c r="E184" s="268"/>
      <c r="F184" s="268"/>
      <c r="G184" s="268"/>
      <c r="H184" s="268"/>
      <c r="I184" s="268"/>
      <c r="J184" s="268"/>
      <c r="K184" s="269"/>
      <c r="L184" s="269"/>
      <c r="M184" s="269"/>
      <c r="N184" s="268"/>
      <c r="O184" s="268"/>
      <c r="P184" s="270"/>
      <c r="Q184" s="285"/>
      <c r="R184" s="286"/>
      <c r="S184" s="286"/>
      <c r="T184" s="286"/>
      <c r="U184" s="286"/>
      <c r="V184" s="286"/>
      <c r="W184" s="286"/>
      <c r="X184" s="286"/>
      <c r="Y184" s="286"/>
      <c r="Z184" s="287"/>
    </row>
    <row r="185" spans="1:26">
      <c r="A185" s="195" t="s">
        <v>3564</v>
      </c>
      <c r="B185" s="195"/>
      <c r="C185" s="195"/>
      <c r="D185" s="195"/>
      <c r="E185" s="195"/>
      <c r="F185" s="195"/>
      <c r="G185" s="195"/>
    </row>
    <row r="186" spans="1:26">
      <c r="A186" s="254" t="s">
        <v>807</v>
      </c>
      <c r="B186" s="254"/>
      <c r="C186" s="254"/>
      <c r="D186" s="254"/>
      <c r="E186" s="36" t="s">
        <v>3521</v>
      </c>
      <c r="F186" s="253" t="s">
        <v>3565</v>
      </c>
      <c r="G186" s="253"/>
      <c r="H186" s="253"/>
      <c r="I186" s="253"/>
      <c r="J186" s="253"/>
      <c r="K186" s="253" t="s">
        <v>3566</v>
      </c>
      <c r="L186" s="253"/>
      <c r="M186" s="36" t="s">
        <v>3567</v>
      </c>
      <c r="N186" s="253" t="s">
        <v>3522</v>
      </c>
      <c r="O186" s="253"/>
      <c r="P186" s="253" t="s">
        <v>3568</v>
      </c>
      <c r="Q186" s="253"/>
      <c r="R186" s="253"/>
      <c r="S186" s="253"/>
      <c r="T186" s="253" t="s">
        <v>3569</v>
      </c>
      <c r="U186" s="253"/>
      <c r="V186" s="253"/>
      <c r="W186" s="253" t="s">
        <v>3570</v>
      </c>
      <c r="X186" s="253"/>
      <c r="Y186" s="253"/>
      <c r="Z186" s="253"/>
    </row>
    <row r="187" spans="1:26">
      <c r="A187" s="320"/>
      <c r="B187" s="320"/>
      <c r="C187" s="320"/>
      <c r="D187" s="320"/>
      <c r="E187" s="197"/>
      <c r="F187" s="307"/>
      <c r="G187" s="307"/>
      <c r="H187" s="307"/>
      <c r="I187" s="307"/>
      <c r="J187" s="307"/>
      <c r="K187" s="307"/>
      <c r="L187" s="307"/>
      <c r="M187" s="198"/>
      <c r="N187" s="307"/>
      <c r="O187" s="307"/>
      <c r="P187" s="307"/>
      <c r="Q187" s="307"/>
      <c r="R187" s="307"/>
      <c r="S187" s="307"/>
      <c r="T187" s="307"/>
      <c r="U187" s="307"/>
      <c r="V187" s="307"/>
      <c r="W187" s="307"/>
      <c r="X187" s="307"/>
      <c r="Y187" s="307"/>
      <c r="Z187" s="307"/>
    </row>
    <row r="188" spans="1:26">
      <c r="A188" s="320" t="s">
        <v>3571</v>
      </c>
      <c r="B188" s="320"/>
      <c r="C188" s="307"/>
      <c r="D188" s="307"/>
      <c r="E188" s="307"/>
      <c r="F188" s="307"/>
      <c r="G188" s="307"/>
      <c r="H188" s="307"/>
      <c r="I188" s="307"/>
      <c r="J188" s="307"/>
      <c r="K188" s="307"/>
      <c r="L188" s="307"/>
      <c r="M188" s="307"/>
      <c r="N188" s="307"/>
      <c r="O188" s="307"/>
      <c r="P188" s="307"/>
      <c r="Q188" s="307"/>
      <c r="R188" s="307"/>
      <c r="S188" s="307"/>
      <c r="T188" s="307"/>
      <c r="U188" s="307"/>
      <c r="V188" s="307"/>
      <c r="W188" s="307"/>
      <c r="X188" s="307"/>
      <c r="Y188" s="307"/>
      <c r="Z188" s="307"/>
    </row>
    <row r="189" spans="1:26">
      <c r="A189" s="320"/>
      <c r="B189" s="320"/>
      <c r="C189" s="320"/>
      <c r="D189" s="320"/>
      <c r="E189" s="197"/>
      <c r="F189" s="307"/>
      <c r="G189" s="307"/>
      <c r="H189" s="307"/>
      <c r="I189" s="307"/>
      <c r="J189" s="307"/>
      <c r="K189" s="307"/>
      <c r="L189" s="307"/>
      <c r="M189" s="198"/>
      <c r="N189" s="307"/>
      <c r="O189" s="307"/>
      <c r="P189" s="307"/>
      <c r="Q189" s="307"/>
      <c r="R189" s="307"/>
      <c r="S189" s="307"/>
      <c r="T189" s="307"/>
      <c r="U189" s="307"/>
      <c r="V189" s="307"/>
      <c r="W189" s="307"/>
      <c r="X189" s="307"/>
      <c r="Y189" s="307"/>
      <c r="Z189" s="307"/>
    </row>
    <row r="190" spans="1:26">
      <c r="A190" s="320" t="s">
        <v>3571</v>
      </c>
      <c r="B190" s="320"/>
      <c r="C190" s="307"/>
      <c r="D190" s="307"/>
      <c r="E190" s="307"/>
      <c r="F190" s="307"/>
      <c r="G190" s="307"/>
      <c r="H190" s="307"/>
      <c r="I190" s="307"/>
      <c r="J190" s="307"/>
      <c r="K190" s="307"/>
      <c r="L190" s="307"/>
      <c r="M190" s="307"/>
      <c r="N190" s="307"/>
      <c r="O190" s="307"/>
      <c r="P190" s="307"/>
      <c r="Q190" s="307"/>
      <c r="R190" s="307"/>
      <c r="S190" s="307"/>
      <c r="T190" s="307"/>
      <c r="U190" s="307"/>
      <c r="V190" s="307"/>
      <c r="W190" s="307"/>
      <c r="X190" s="307"/>
      <c r="Y190" s="307"/>
      <c r="Z190" s="307"/>
    </row>
    <row r="191" spans="1:26">
      <c r="A191" s="253" t="s">
        <v>3588</v>
      </c>
      <c r="B191" s="253"/>
      <c r="C191" s="253"/>
      <c r="D191" s="253"/>
      <c r="E191" s="253"/>
      <c r="F191" s="253"/>
      <c r="G191" s="253"/>
      <c r="H191" s="253"/>
      <c r="I191" s="253"/>
      <c r="J191" s="253"/>
      <c r="K191" s="253"/>
      <c r="L191" s="253"/>
      <c r="M191" s="253"/>
      <c r="N191" s="253"/>
      <c r="O191" s="253"/>
      <c r="P191" s="253"/>
      <c r="Q191" s="253" t="s">
        <v>3589</v>
      </c>
      <c r="R191" s="253"/>
      <c r="S191" s="253"/>
      <c r="T191" s="253"/>
      <c r="U191" s="253"/>
      <c r="V191" s="253"/>
      <c r="W191" s="253"/>
      <c r="X191" s="253"/>
      <c r="Y191" s="253"/>
      <c r="Z191" s="253"/>
    </row>
    <row r="192" spans="1:26">
      <c r="A192" s="253" t="s">
        <v>208</v>
      </c>
      <c r="B192" s="253"/>
      <c r="C192" s="253"/>
      <c r="D192" s="253"/>
      <c r="E192" s="253"/>
      <c r="F192" s="253"/>
      <c r="G192" s="253"/>
      <c r="H192" s="253"/>
      <c r="I192" s="253"/>
      <c r="J192" s="253"/>
      <c r="K192" s="253" t="s">
        <v>3540</v>
      </c>
      <c r="L192" s="253"/>
      <c r="M192" s="253"/>
      <c r="N192" s="253" t="s">
        <v>210</v>
      </c>
      <c r="O192" s="253"/>
      <c r="P192" s="253"/>
      <c r="Q192" s="253"/>
      <c r="R192" s="253"/>
      <c r="S192" s="253"/>
      <c r="T192" s="253"/>
      <c r="U192" s="253" t="s">
        <v>729</v>
      </c>
      <c r="V192" s="253"/>
      <c r="W192" s="253"/>
      <c r="X192" s="253" t="s">
        <v>3540</v>
      </c>
      <c r="Y192" s="253"/>
      <c r="Z192" s="253"/>
    </row>
    <row r="193" spans="1:63">
      <c r="A193" s="251"/>
      <c r="B193" s="251"/>
      <c r="C193" s="251"/>
      <c r="D193" s="251"/>
      <c r="E193" s="251"/>
      <c r="F193" s="251"/>
      <c r="G193" s="251"/>
      <c r="H193" s="251"/>
      <c r="I193" s="251"/>
      <c r="J193" s="251"/>
      <c r="K193" s="252"/>
      <c r="L193" s="252"/>
      <c r="M193" s="252"/>
      <c r="N193" s="251"/>
      <c r="O193" s="251"/>
      <c r="P193" s="251"/>
      <c r="Q193" s="254" t="s">
        <v>3590</v>
      </c>
      <c r="R193" s="254"/>
      <c r="S193" s="254"/>
      <c r="T193" s="254"/>
      <c r="U193" s="248"/>
      <c r="V193" s="249"/>
      <c r="W193" s="250"/>
      <c r="X193" s="248"/>
      <c r="Y193" s="249"/>
      <c r="Z193" s="250"/>
    </row>
    <row r="194" spans="1:63">
      <c r="A194" s="251"/>
      <c r="B194" s="251"/>
      <c r="C194" s="251"/>
      <c r="D194" s="251"/>
      <c r="E194" s="251"/>
      <c r="F194" s="251"/>
      <c r="G194" s="251"/>
      <c r="H194" s="251"/>
      <c r="I194" s="251"/>
      <c r="J194" s="251"/>
      <c r="K194" s="252"/>
      <c r="L194" s="252"/>
      <c r="M194" s="252"/>
      <c r="N194" s="251"/>
      <c r="O194" s="251"/>
      <c r="P194" s="251"/>
      <c r="Q194" s="254" t="s">
        <v>3591</v>
      </c>
      <c r="R194" s="254"/>
      <c r="S194" s="254"/>
      <c r="T194" s="254"/>
      <c r="U194" s="248"/>
      <c r="V194" s="249"/>
      <c r="W194" s="250"/>
      <c r="X194" s="248"/>
      <c r="Y194" s="249"/>
      <c r="Z194" s="250"/>
    </row>
    <row r="195" spans="1:63">
      <c r="A195" s="251"/>
      <c r="B195" s="251"/>
      <c r="C195" s="251"/>
      <c r="D195" s="251"/>
      <c r="E195" s="251"/>
      <c r="F195" s="251"/>
      <c r="G195" s="251"/>
      <c r="H195" s="251"/>
      <c r="I195" s="251"/>
      <c r="J195" s="251"/>
      <c r="K195" s="252"/>
      <c r="L195" s="252"/>
      <c r="M195" s="252"/>
      <c r="N195" s="251"/>
      <c r="O195" s="251"/>
      <c r="P195" s="251"/>
      <c r="Q195" s="254" t="s">
        <v>3592</v>
      </c>
      <c r="R195" s="254"/>
      <c r="S195" s="254"/>
      <c r="T195" s="254"/>
      <c r="U195" s="252"/>
      <c r="V195" s="252"/>
      <c r="W195" s="252"/>
      <c r="X195" s="252"/>
      <c r="Y195" s="252"/>
      <c r="Z195" s="252"/>
    </row>
    <row r="196" spans="1:63">
      <c r="A196" s="251"/>
      <c r="B196" s="251"/>
      <c r="C196" s="251"/>
      <c r="D196" s="251"/>
      <c r="E196" s="251"/>
      <c r="F196" s="251"/>
      <c r="G196" s="251"/>
      <c r="H196" s="251"/>
      <c r="I196" s="251"/>
      <c r="J196" s="251"/>
      <c r="K196" s="252"/>
      <c r="L196" s="252"/>
      <c r="M196" s="252"/>
      <c r="N196" s="251"/>
      <c r="O196" s="251"/>
      <c r="P196" s="251"/>
      <c r="Q196" s="254" t="s">
        <v>3593</v>
      </c>
      <c r="R196" s="254"/>
      <c r="S196" s="254"/>
      <c r="T196" s="254"/>
      <c r="U196" s="252"/>
      <c r="V196" s="252"/>
      <c r="W196" s="252"/>
      <c r="X196" s="252"/>
      <c r="Y196" s="252"/>
      <c r="Z196" s="252"/>
    </row>
    <row r="197" spans="1:63">
      <c r="A197" s="251"/>
      <c r="B197" s="251"/>
      <c r="C197" s="251"/>
      <c r="D197" s="251"/>
      <c r="E197" s="251"/>
      <c r="F197" s="251"/>
      <c r="G197" s="251"/>
      <c r="H197" s="251"/>
      <c r="I197" s="251"/>
      <c r="J197" s="251"/>
      <c r="K197" s="252"/>
      <c r="L197" s="252"/>
      <c r="M197" s="252"/>
      <c r="N197" s="251"/>
      <c r="O197" s="251"/>
      <c r="P197" s="251"/>
      <c r="Q197" s="254" t="s">
        <v>3594</v>
      </c>
      <c r="R197" s="254"/>
      <c r="S197" s="254"/>
      <c r="T197" s="254"/>
      <c r="U197" s="252"/>
      <c r="V197" s="252"/>
      <c r="W197" s="252"/>
      <c r="X197" s="252"/>
      <c r="Y197" s="252"/>
      <c r="Z197" s="252"/>
    </row>
    <row r="198" spans="1:63">
      <c r="A198" s="251"/>
      <c r="B198" s="251"/>
      <c r="C198" s="251"/>
      <c r="D198" s="251"/>
      <c r="E198" s="251"/>
      <c r="F198" s="251"/>
      <c r="G198" s="251"/>
      <c r="H198" s="251"/>
      <c r="I198" s="251"/>
      <c r="J198" s="251"/>
      <c r="K198" s="252"/>
      <c r="L198" s="252"/>
      <c r="M198" s="252"/>
      <c r="N198" s="251"/>
      <c r="O198" s="251"/>
      <c r="P198" s="251"/>
      <c r="Q198" s="253" t="s">
        <v>3595</v>
      </c>
      <c r="R198" s="253"/>
      <c r="S198" s="253"/>
      <c r="T198" s="253"/>
      <c r="U198" s="253"/>
      <c r="V198" s="253"/>
      <c r="W198" s="252"/>
      <c r="X198" s="252"/>
      <c r="Y198" s="252"/>
      <c r="Z198" s="252"/>
    </row>
    <row r="199" spans="1:63">
      <c r="A199" s="251"/>
      <c r="B199" s="251"/>
      <c r="C199" s="251"/>
      <c r="D199" s="251"/>
      <c r="E199" s="251"/>
      <c r="F199" s="251"/>
      <c r="G199" s="251"/>
      <c r="H199" s="251"/>
      <c r="I199" s="251"/>
      <c r="J199" s="251"/>
      <c r="K199" s="252"/>
      <c r="L199" s="252"/>
      <c r="M199" s="252"/>
      <c r="N199" s="251"/>
      <c r="O199" s="251"/>
      <c r="P199" s="251"/>
    </row>
    <row r="200" spans="1:63">
      <c r="A200" s="307" t="s">
        <v>796</v>
      </c>
      <c r="B200" s="307"/>
      <c r="C200" s="307"/>
      <c r="D200" s="307"/>
      <c r="E200" s="307"/>
      <c r="F200" s="307"/>
      <c r="G200" s="307"/>
      <c r="H200" s="307"/>
      <c r="I200" s="307"/>
      <c r="J200" s="307"/>
      <c r="K200" s="307"/>
      <c r="L200" s="307"/>
      <c r="M200" s="307"/>
      <c r="N200" s="307"/>
      <c r="O200" s="307"/>
      <c r="P200" s="307"/>
      <c r="Q200" s="307"/>
      <c r="R200" s="307"/>
      <c r="S200" s="307"/>
      <c r="T200" s="307"/>
      <c r="U200" s="307"/>
      <c r="V200" s="307"/>
      <c r="W200" s="307"/>
      <c r="X200" s="307"/>
      <c r="Y200" s="307"/>
      <c r="Z200" s="307"/>
    </row>
    <row r="201" spans="1:63">
      <c r="A201" s="253" t="s">
        <v>1417</v>
      </c>
      <c r="B201" s="253"/>
      <c r="C201" s="253"/>
      <c r="D201" s="253"/>
      <c r="E201" s="253"/>
      <c r="F201" s="251"/>
      <c r="G201" s="251"/>
      <c r="H201" s="251"/>
      <c r="I201" s="251"/>
      <c r="J201" s="251"/>
      <c r="K201" s="251"/>
      <c r="L201" s="251"/>
      <c r="M201" s="251"/>
      <c r="N201" s="253" t="s">
        <v>1416</v>
      </c>
      <c r="O201" s="253"/>
      <c r="P201" s="253"/>
      <c r="Q201" s="253"/>
      <c r="R201" s="253"/>
      <c r="S201" s="253"/>
      <c r="T201" s="251"/>
      <c r="U201" s="251"/>
      <c r="V201" s="251"/>
      <c r="W201" s="251"/>
      <c r="X201" s="251"/>
      <c r="Y201" s="251"/>
      <c r="Z201" s="251"/>
      <c r="AO201" s="16"/>
      <c r="AP201" s="16"/>
      <c r="AQ201" s="16"/>
      <c r="AR201" s="16"/>
      <c r="BJ201" s="74"/>
      <c r="BK201" s="74"/>
    </row>
    <row r="202" spans="1:63">
      <c r="A202" s="253" t="s">
        <v>18</v>
      </c>
      <c r="B202" s="253"/>
      <c r="C202" s="253"/>
      <c r="D202" s="253"/>
      <c r="E202" s="253"/>
      <c r="F202" s="251"/>
      <c r="G202" s="251"/>
      <c r="H202" s="251"/>
      <c r="I202" s="251"/>
      <c r="J202" s="251"/>
      <c r="K202" s="251"/>
      <c r="L202" s="251"/>
      <c r="M202" s="251"/>
      <c r="N202" s="253" t="s">
        <v>58</v>
      </c>
      <c r="O202" s="253"/>
      <c r="P202" s="253"/>
      <c r="Q202" s="253"/>
      <c r="R202" s="253"/>
      <c r="S202" s="253"/>
      <c r="T202" s="251"/>
      <c r="U202" s="251"/>
      <c r="V202" s="251"/>
      <c r="W202" s="251"/>
      <c r="X202" s="251"/>
      <c r="Y202" s="251"/>
      <c r="Z202" s="251"/>
      <c r="AO202" s="16"/>
      <c r="AP202" s="16"/>
      <c r="AQ202" s="16"/>
      <c r="AR202" s="16"/>
      <c r="BJ202" s="16"/>
      <c r="BK202" s="16"/>
    </row>
    <row r="203" spans="1:63">
      <c r="A203" s="253" t="s">
        <v>160</v>
      </c>
      <c r="B203" s="253"/>
      <c r="C203" s="253"/>
      <c r="D203" s="253"/>
      <c r="E203" s="253"/>
      <c r="F203" s="251"/>
      <c r="G203" s="251"/>
      <c r="H203" s="251"/>
      <c r="I203" s="251"/>
      <c r="J203" s="251"/>
      <c r="K203" s="251"/>
      <c r="L203" s="251"/>
      <c r="M203" s="251"/>
      <c r="N203" s="253" t="s">
        <v>20</v>
      </c>
      <c r="O203" s="253"/>
      <c r="P203" s="253"/>
      <c r="Q203" s="253"/>
      <c r="R203" s="253"/>
      <c r="S203" s="253"/>
      <c r="T203" s="251"/>
      <c r="U203" s="251"/>
      <c r="V203" s="251"/>
      <c r="W203" s="251"/>
      <c r="X203" s="251"/>
      <c r="Y203" s="251"/>
      <c r="Z203" s="251"/>
      <c r="AO203" s="16"/>
      <c r="AP203" s="16"/>
      <c r="AQ203" s="16"/>
      <c r="AR203" s="16"/>
    </row>
    <row r="204" spans="1:63">
      <c r="A204" s="253" t="s">
        <v>159</v>
      </c>
      <c r="B204" s="253"/>
      <c r="C204" s="253"/>
      <c r="D204" s="253"/>
      <c r="E204" s="253"/>
      <c r="F204" s="251"/>
      <c r="G204" s="251"/>
      <c r="H204" s="251"/>
      <c r="I204" s="251"/>
      <c r="J204" s="251"/>
      <c r="K204" s="251"/>
      <c r="L204" s="251"/>
      <c r="M204" s="251"/>
      <c r="N204" s="253" t="s">
        <v>23</v>
      </c>
      <c r="O204" s="253"/>
      <c r="P204" s="253"/>
      <c r="Q204" s="253"/>
      <c r="R204" s="253"/>
      <c r="S204" s="253"/>
      <c r="T204" s="251"/>
      <c r="U204" s="251"/>
      <c r="V204" s="251"/>
      <c r="W204" s="251"/>
      <c r="X204" s="251"/>
      <c r="Y204" s="251"/>
      <c r="Z204" s="251"/>
    </row>
    <row r="205" spans="1:63">
      <c r="A205" s="253" t="s">
        <v>19</v>
      </c>
      <c r="B205" s="253"/>
      <c r="C205" s="253"/>
      <c r="D205" s="253"/>
      <c r="E205" s="253"/>
      <c r="F205" s="251"/>
      <c r="G205" s="251"/>
      <c r="H205" s="251"/>
      <c r="I205" s="251"/>
      <c r="J205" s="251"/>
      <c r="K205" s="251"/>
      <c r="L205" s="251"/>
      <c r="M205" s="251"/>
      <c r="N205" s="253" t="s">
        <v>21</v>
      </c>
      <c r="O205" s="253"/>
      <c r="P205" s="253"/>
      <c r="Q205" s="253"/>
      <c r="R205" s="253"/>
      <c r="S205" s="253"/>
      <c r="T205" s="251"/>
      <c r="U205" s="251"/>
      <c r="V205" s="251"/>
      <c r="W205" s="251"/>
      <c r="X205" s="251"/>
      <c r="Y205" s="251"/>
      <c r="Z205" s="251"/>
    </row>
    <row r="206" spans="1:63">
      <c r="A206" s="253" t="s">
        <v>846</v>
      </c>
      <c r="B206" s="253"/>
      <c r="C206" s="253"/>
      <c r="D206" s="253"/>
      <c r="E206" s="253"/>
      <c r="F206" s="293" t="str">
        <f>IF(ISBLANK(AE9),"",AE9)</f>
        <v/>
      </c>
      <c r="G206" s="293"/>
      <c r="H206" s="293"/>
      <c r="I206" s="293"/>
      <c r="J206" s="293"/>
      <c r="K206" s="293"/>
      <c r="L206" s="293"/>
      <c r="M206" s="293"/>
      <c r="N206" s="253" t="s">
        <v>62</v>
      </c>
      <c r="O206" s="253"/>
      <c r="P206" s="253"/>
      <c r="Q206" s="253"/>
      <c r="R206" s="253"/>
      <c r="S206" s="253"/>
      <c r="T206" s="251"/>
      <c r="U206" s="251"/>
      <c r="V206" s="251"/>
      <c r="W206" s="251"/>
      <c r="X206" s="251"/>
      <c r="Y206" s="251"/>
      <c r="Z206" s="251"/>
    </row>
    <row r="207" spans="1:63">
      <c r="A207" s="253" t="s">
        <v>797</v>
      </c>
      <c r="B207" s="253"/>
      <c r="C207" s="253"/>
      <c r="D207" s="253"/>
      <c r="E207" s="253"/>
      <c r="F207" s="251"/>
      <c r="G207" s="251"/>
      <c r="H207" s="251"/>
      <c r="I207" s="251"/>
      <c r="J207" s="251"/>
      <c r="K207" s="251"/>
      <c r="L207" s="251"/>
      <c r="M207" s="251"/>
      <c r="N207" s="253" t="s">
        <v>798</v>
      </c>
      <c r="O207" s="253"/>
      <c r="P207" s="253"/>
      <c r="Q207" s="253"/>
      <c r="R207" s="253"/>
      <c r="S207" s="253"/>
      <c r="T207" s="251"/>
      <c r="U207" s="251"/>
      <c r="V207" s="251"/>
      <c r="W207" s="251"/>
      <c r="X207" s="251"/>
      <c r="Y207" s="251"/>
      <c r="Z207" s="251"/>
    </row>
    <row r="208" spans="1:63">
      <c r="A208" s="253" t="s">
        <v>799</v>
      </c>
      <c r="B208" s="253"/>
      <c r="C208" s="253"/>
      <c r="D208" s="253"/>
      <c r="E208" s="253"/>
      <c r="F208" s="251"/>
      <c r="G208" s="251"/>
      <c r="H208" s="251"/>
      <c r="I208" s="251"/>
      <c r="J208" s="251"/>
      <c r="K208" s="251"/>
      <c r="L208" s="251"/>
      <c r="M208" s="251"/>
      <c r="N208" s="253" t="s">
        <v>801</v>
      </c>
      <c r="O208" s="253"/>
      <c r="P208" s="253"/>
      <c r="Q208" s="253"/>
      <c r="R208" s="253"/>
      <c r="S208" s="253"/>
      <c r="T208" s="251"/>
      <c r="U208" s="251"/>
      <c r="V208" s="251"/>
      <c r="W208" s="251"/>
      <c r="X208" s="251"/>
      <c r="Y208" s="251"/>
      <c r="Z208" s="251"/>
    </row>
    <row r="209" spans="1:26">
      <c r="A209" s="253" t="s">
        <v>800</v>
      </c>
      <c r="B209" s="253"/>
      <c r="C209" s="253"/>
      <c r="D209" s="253"/>
      <c r="E209" s="253"/>
      <c r="F209" s="251"/>
      <c r="G209" s="251"/>
      <c r="H209" s="251"/>
      <c r="I209" s="251"/>
      <c r="J209" s="251"/>
      <c r="K209" s="251"/>
      <c r="L209" s="251"/>
      <c r="M209" s="251"/>
      <c r="N209" s="253" t="s">
        <v>802</v>
      </c>
      <c r="O209" s="253"/>
      <c r="P209" s="253"/>
      <c r="Q209" s="253"/>
      <c r="R209" s="253"/>
      <c r="S209" s="253"/>
      <c r="T209" s="251"/>
      <c r="U209" s="251"/>
      <c r="V209" s="251"/>
      <c r="W209" s="251"/>
      <c r="X209" s="251"/>
      <c r="Y209" s="251"/>
      <c r="Z209" s="251"/>
    </row>
    <row r="210" spans="1:26">
      <c r="A210" s="253" t="s">
        <v>276</v>
      </c>
      <c r="B210" s="253"/>
      <c r="C210" s="253"/>
      <c r="D210" s="253"/>
      <c r="E210" s="253"/>
      <c r="F210" s="293"/>
      <c r="G210" s="293"/>
      <c r="H210" s="293"/>
      <c r="I210" s="293"/>
      <c r="J210" s="293"/>
      <c r="K210" s="293"/>
      <c r="L210" s="293"/>
      <c r="M210" s="293"/>
      <c r="N210" s="253" t="s">
        <v>844</v>
      </c>
      <c r="O210" s="253"/>
      <c r="P210" s="253"/>
      <c r="Q210" s="253"/>
      <c r="R210" s="253"/>
      <c r="S210" s="253"/>
      <c r="T210" s="251"/>
      <c r="U210" s="251"/>
      <c r="V210" s="251"/>
      <c r="W210" s="251"/>
      <c r="X210" s="251"/>
      <c r="Y210" s="251"/>
      <c r="Z210" s="251"/>
    </row>
    <row r="211" spans="1:26">
      <c r="A211" s="290" t="s">
        <v>803</v>
      </c>
      <c r="B211" s="291"/>
      <c r="C211" s="291"/>
      <c r="D211" s="291"/>
      <c r="E211" s="291"/>
      <c r="F211" s="291"/>
      <c r="G211" s="291"/>
      <c r="H211" s="291"/>
      <c r="I211" s="291"/>
      <c r="J211" s="291"/>
      <c r="K211" s="291"/>
      <c r="L211" s="291"/>
      <c r="M211" s="291"/>
      <c r="N211" s="291"/>
      <c r="O211" s="291"/>
      <c r="P211" s="292"/>
      <c r="Q211" s="290" t="s">
        <v>840</v>
      </c>
      <c r="R211" s="291"/>
      <c r="S211" s="291"/>
      <c r="T211" s="291"/>
      <c r="U211" s="291"/>
      <c r="V211" s="291"/>
      <c r="W211" s="291"/>
      <c r="X211" s="291"/>
      <c r="Y211" s="291"/>
      <c r="Z211" s="292"/>
    </row>
    <row r="212" spans="1:26">
      <c r="A212" s="252" t="s">
        <v>806</v>
      </c>
      <c r="B212" s="252"/>
      <c r="C212" s="252"/>
      <c r="D212" s="307" t="s">
        <v>807</v>
      </c>
      <c r="E212" s="307"/>
      <c r="F212" s="307"/>
      <c r="G212" s="307"/>
      <c r="H212" s="279" t="s">
        <v>814</v>
      </c>
      <c r="I212" s="280"/>
      <c r="J212" s="280"/>
      <c r="K212" s="280"/>
      <c r="L212" s="281"/>
      <c r="M212" s="252" t="s">
        <v>808</v>
      </c>
      <c r="N212" s="252"/>
      <c r="O212" s="252" t="s">
        <v>809</v>
      </c>
      <c r="P212" s="252"/>
      <c r="Q212" s="192" t="s">
        <v>841</v>
      </c>
      <c r="R212" s="193"/>
      <c r="S212" s="193"/>
      <c r="T212" s="193"/>
      <c r="U212" s="193" t="s">
        <v>3907</v>
      </c>
      <c r="V212" s="193"/>
      <c r="W212" s="193"/>
      <c r="X212" s="193"/>
      <c r="Y212" s="193"/>
      <c r="Z212" s="194"/>
    </row>
    <row r="213" spans="1:26">
      <c r="A213" s="306" t="s">
        <v>843</v>
      </c>
      <c r="B213" s="306"/>
      <c r="C213" s="306"/>
      <c r="D213" s="307"/>
      <c r="E213" s="307"/>
      <c r="F213" s="307"/>
      <c r="G213" s="307"/>
      <c r="H213" s="279"/>
      <c r="I213" s="280"/>
      <c r="J213" s="280"/>
      <c r="K213" s="280"/>
      <c r="L213" s="281"/>
      <c r="M213" s="305" t="s">
        <v>815</v>
      </c>
      <c r="N213" s="305"/>
      <c r="O213" s="305" t="s">
        <v>815</v>
      </c>
      <c r="P213" s="305"/>
      <c r="Q213" s="192" t="s">
        <v>842</v>
      </c>
      <c r="R213" s="193"/>
      <c r="S213" s="193"/>
      <c r="T213" s="193"/>
      <c r="U213" s="193"/>
      <c r="V213" s="193"/>
      <c r="W213" s="193"/>
      <c r="X213" s="193"/>
      <c r="Y213" s="193"/>
      <c r="Z213" s="194"/>
    </row>
    <row r="214" spans="1:26">
      <c r="A214" s="306" t="s">
        <v>804</v>
      </c>
      <c r="B214" s="306"/>
      <c r="C214" s="306"/>
      <c r="D214" s="307"/>
      <c r="E214" s="307"/>
      <c r="F214" s="307"/>
      <c r="G214" s="307"/>
      <c r="H214" s="279"/>
      <c r="I214" s="280"/>
      <c r="J214" s="280"/>
      <c r="K214" s="280"/>
      <c r="L214" s="281"/>
      <c r="M214" s="305" t="s">
        <v>815</v>
      </c>
      <c r="N214" s="305"/>
      <c r="O214" s="305" t="s">
        <v>815</v>
      </c>
      <c r="P214" s="305"/>
      <c r="Q214" s="192" t="s">
        <v>841</v>
      </c>
      <c r="R214" s="193"/>
      <c r="S214" s="193"/>
      <c r="T214" s="193"/>
      <c r="U214" s="193"/>
      <c r="V214" s="193"/>
      <c r="W214" s="193"/>
      <c r="X214" s="193"/>
      <c r="Y214" s="193"/>
      <c r="Z214" s="194"/>
    </row>
    <row r="215" spans="1:26">
      <c r="A215" s="306" t="s">
        <v>805</v>
      </c>
      <c r="B215" s="306"/>
      <c r="C215" s="306"/>
      <c r="D215" s="307"/>
      <c r="E215" s="307"/>
      <c r="F215" s="307"/>
      <c r="G215" s="307"/>
      <c r="H215" s="279"/>
      <c r="I215" s="280"/>
      <c r="J215" s="280"/>
      <c r="K215" s="280"/>
      <c r="L215" s="281"/>
      <c r="M215" s="305" t="s">
        <v>815</v>
      </c>
      <c r="N215" s="305"/>
      <c r="O215" s="305" t="s">
        <v>815</v>
      </c>
      <c r="P215" s="305"/>
      <c r="Q215" s="192" t="s">
        <v>842</v>
      </c>
      <c r="R215" s="193"/>
      <c r="S215" s="193"/>
      <c r="T215" s="193"/>
      <c r="U215" s="193"/>
      <c r="V215" s="193"/>
      <c r="W215" s="193"/>
      <c r="X215" s="193"/>
      <c r="Y215" s="193"/>
      <c r="Z215" s="194"/>
    </row>
    <row r="216" spans="1:26">
      <c r="A216" s="306" t="s">
        <v>819</v>
      </c>
      <c r="B216" s="306"/>
      <c r="C216" s="306"/>
      <c r="D216" s="307"/>
      <c r="E216" s="307"/>
      <c r="F216" s="307"/>
      <c r="G216" s="307"/>
      <c r="H216" s="279"/>
      <c r="I216" s="280"/>
      <c r="J216" s="280"/>
      <c r="K216" s="280"/>
      <c r="L216" s="281"/>
      <c r="M216" s="305" t="s">
        <v>815</v>
      </c>
      <c r="N216" s="305"/>
      <c r="O216" s="305" t="s">
        <v>815</v>
      </c>
      <c r="P216" s="305"/>
      <c r="Q216" s="192" t="s">
        <v>841</v>
      </c>
      <c r="R216" s="193"/>
      <c r="S216" s="193"/>
      <c r="T216" s="193"/>
      <c r="U216" s="193"/>
      <c r="V216" s="193"/>
      <c r="W216" s="193"/>
      <c r="X216" s="193"/>
      <c r="Y216" s="193"/>
      <c r="Z216" s="194"/>
    </row>
    <row r="217" spans="1:26">
      <c r="A217" s="306" t="s">
        <v>810</v>
      </c>
      <c r="B217" s="306"/>
      <c r="C217" s="306"/>
      <c r="D217" s="307"/>
      <c r="E217" s="307"/>
      <c r="F217" s="307"/>
      <c r="G217" s="307"/>
      <c r="H217" s="279"/>
      <c r="I217" s="280"/>
      <c r="J217" s="280"/>
      <c r="K217" s="280"/>
      <c r="L217" s="281"/>
      <c r="M217" s="305" t="s">
        <v>815</v>
      </c>
      <c r="N217" s="305"/>
      <c r="O217" s="305" t="s">
        <v>815</v>
      </c>
      <c r="P217" s="305"/>
      <c r="Q217" s="192" t="s">
        <v>842</v>
      </c>
      <c r="R217" s="193"/>
      <c r="S217" s="193"/>
      <c r="T217" s="193"/>
      <c r="U217" s="193"/>
      <c r="V217" s="193"/>
      <c r="W217" s="193"/>
      <c r="X217" s="193"/>
      <c r="Y217" s="193"/>
      <c r="Z217" s="194"/>
    </row>
    <row r="218" spans="1:26">
      <c r="A218" s="306" t="s">
        <v>811</v>
      </c>
      <c r="B218" s="306"/>
      <c r="C218" s="306"/>
      <c r="D218" s="307"/>
      <c r="E218" s="307"/>
      <c r="F218" s="307"/>
      <c r="G218" s="307"/>
      <c r="H218" s="279"/>
      <c r="I218" s="280"/>
      <c r="J218" s="280"/>
      <c r="K218" s="280"/>
      <c r="L218" s="281"/>
      <c r="M218" s="305" t="s">
        <v>815</v>
      </c>
      <c r="N218" s="305"/>
      <c r="O218" s="305" t="s">
        <v>815</v>
      </c>
      <c r="P218" s="305"/>
      <c r="Q218" s="290" t="s">
        <v>824</v>
      </c>
      <c r="R218" s="291"/>
      <c r="S218" s="291"/>
      <c r="T218" s="291"/>
      <c r="U218" s="291"/>
      <c r="V218" s="291"/>
      <c r="W218" s="291"/>
      <c r="X218" s="291"/>
      <c r="Y218" s="291"/>
      <c r="Z218" s="292"/>
    </row>
    <row r="219" spans="1:26">
      <c r="A219" s="306" t="s">
        <v>812</v>
      </c>
      <c r="B219" s="306"/>
      <c r="C219" s="306"/>
      <c r="D219" s="307"/>
      <c r="E219" s="307"/>
      <c r="F219" s="307"/>
      <c r="G219" s="307"/>
      <c r="H219" s="279"/>
      <c r="I219" s="280"/>
      <c r="J219" s="280"/>
      <c r="K219" s="280"/>
      <c r="L219" s="281"/>
      <c r="M219" s="305" t="s">
        <v>815</v>
      </c>
      <c r="N219" s="305"/>
      <c r="O219" s="305" t="s">
        <v>815</v>
      </c>
      <c r="P219" s="305"/>
      <c r="Q219" s="295" t="s">
        <v>826</v>
      </c>
      <c r="R219" s="296"/>
      <c r="S219" s="296"/>
      <c r="T219" s="296"/>
      <c r="U219" s="296"/>
      <c r="V219" s="296"/>
      <c r="W219" s="296"/>
      <c r="X219" s="296"/>
      <c r="Y219" s="296"/>
      <c r="Z219" s="297"/>
    </row>
    <row r="220" spans="1:26">
      <c r="A220" s="306" t="s">
        <v>813</v>
      </c>
      <c r="B220" s="306"/>
      <c r="C220" s="306"/>
      <c r="D220" s="307"/>
      <c r="E220" s="307"/>
      <c r="F220" s="307"/>
      <c r="G220" s="307"/>
      <c r="H220" s="279"/>
      <c r="I220" s="280"/>
      <c r="J220" s="280"/>
      <c r="K220" s="280"/>
      <c r="L220" s="281"/>
      <c r="M220" s="305" t="s">
        <v>815</v>
      </c>
      <c r="N220" s="305"/>
      <c r="O220" s="305" t="s">
        <v>815</v>
      </c>
      <c r="P220" s="305"/>
      <c r="Q220" s="298"/>
      <c r="R220" s="299"/>
      <c r="S220" s="299"/>
      <c r="T220" s="299"/>
      <c r="U220" s="299"/>
      <c r="V220" s="299"/>
      <c r="W220" s="299"/>
      <c r="X220" s="299"/>
      <c r="Y220" s="299"/>
      <c r="Z220" s="300"/>
    </row>
    <row r="221" spans="1:26">
      <c r="A221" s="306" t="s">
        <v>880</v>
      </c>
      <c r="B221" s="306"/>
      <c r="C221" s="306"/>
      <c r="D221" s="307"/>
      <c r="E221" s="307"/>
      <c r="F221" s="307"/>
      <c r="G221" s="307"/>
      <c r="H221" s="279"/>
      <c r="I221" s="280"/>
      <c r="J221" s="280"/>
      <c r="K221" s="280"/>
      <c r="L221" s="281"/>
      <c r="M221" s="305" t="s">
        <v>815</v>
      </c>
      <c r="N221" s="305"/>
      <c r="O221" s="305" t="s">
        <v>815</v>
      </c>
      <c r="P221" s="305"/>
      <c r="Q221" s="301"/>
      <c r="R221" s="302"/>
      <c r="S221" s="302"/>
      <c r="T221" s="302"/>
      <c r="U221" s="302"/>
      <c r="V221" s="302"/>
      <c r="W221" s="302"/>
      <c r="X221" s="302"/>
      <c r="Y221" s="302"/>
      <c r="Z221" s="303"/>
    </row>
    <row r="222" spans="1:26">
      <c r="A222" s="306" t="s">
        <v>881</v>
      </c>
      <c r="B222" s="306"/>
      <c r="C222" s="306"/>
      <c r="D222" s="307"/>
      <c r="E222" s="307"/>
      <c r="F222" s="307"/>
      <c r="G222" s="307"/>
      <c r="H222" s="279"/>
      <c r="I222" s="280"/>
      <c r="J222" s="280"/>
      <c r="K222" s="280"/>
      <c r="L222" s="281"/>
      <c r="M222" s="305" t="s">
        <v>815</v>
      </c>
      <c r="N222" s="305"/>
      <c r="O222" s="305" t="s">
        <v>815</v>
      </c>
      <c r="P222" s="305"/>
      <c r="Q222" s="295" t="s">
        <v>827</v>
      </c>
      <c r="R222" s="296"/>
      <c r="S222" s="296"/>
      <c r="T222" s="296"/>
      <c r="U222" s="296"/>
      <c r="V222" s="296"/>
      <c r="W222" s="296"/>
      <c r="X222" s="296"/>
      <c r="Y222" s="296"/>
      <c r="Z222" s="297"/>
    </row>
    <row r="223" spans="1:26">
      <c r="A223" s="253" t="s">
        <v>816</v>
      </c>
      <c r="B223" s="253"/>
      <c r="C223" s="253"/>
      <c r="D223" s="253"/>
      <c r="E223" s="253"/>
      <c r="F223" s="253"/>
      <c r="G223" s="253"/>
      <c r="H223" s="253"/>
      <c r="I223" s="253"/>
      <c r="J223" s="253"/>
      <c r="K223" s="253"/>
      <c r="L223" s="253"/>
      <c r="M223" s="253"/>
      <c r="N223" s="253"/>
      <c r="O223" s="253"/>
      <c r="P223" s="253"/>
      <c r="Q223" s="298"/>
      <c r="R223" s="299"/>
      <c r="S223" s="299"/>
      <c r="T223" s="299"/>
      <c r="U223" s="299"/>
      <c r="V223" s="299"/>
      <c r="W223" s="299"/>
      <c r="X223" s="299"/>
      <c r="Y223" s="299"/>
      <c r="Z223" s="300"/>
    </row>
    <row r="224" spans="1:26">
      <c r="A224" s="304" t="s">
        <v>817</v>
      </c>
      <c r="B224" s="304"/>
      <c r="C224" s="304"/>
      <c r="D224" s="304"/>
      <c r="E224" s="293"/>
      <c r="F224" s="293"/>
      <c r="G224" s="293"/>
      <c r="H224" s="293"/>
      <c r="I224" s="293"/>
      <c r="J224" s="293"/>
      <c r="K224" s="293"/>
      <c r="L224" s="293"/>
      <c r="M224" s="293"/>
      <c r="N224" s="293"/>
      <c r="O224" s="293"/>
      <c r="P224" s="293"/>
      <c r="Q224" s="301"/>
      <c r="R224" s="302"/>
      <c r="S224" s="302"/>
      <c r="T224" s="302"/>
      <c r="U224" s="302"/>
      <c r="V224" s="302"/>
      <c r="W224" s="302"/>
      <c r="X224" s="302"/>
      <c r="Y224" s="302"/>
      <c r="Z224" s="303"/>
    </row>
    <row r="225" spans="1:26">
      <c r="A225" s="304" t="s">
        <v>818</v>
      </c>
      <c r="B225" s="304"/>
      <c r="C225" s="304"/>
      <c r="D225" s="304"/>
      <c r="E225" s="293"/>
      <c r="F225" s="293"/>
      <c r="G225" s="293"/>
      <c r="H225" s="293"/>
      <c r="I225" s="293"/>
      <c r="J225" s="293"/>
      <c r="K225" s="293"/>
      <c r="L225" s="293"/>
      <c r="M225" s="293"/>
      <c r="N225" s="293"/>
      <c r="O225" s="293"/>
      <c r="P225" s="293"/>
      <c r="Q225" s="295" t="s">
        <v>828</v>
      </c>
      <c r="R225" s="296"/>
      <c r="S225" s="296"/>
      <c r="T225" s="296"/>
      <c r="U225" s="296"/>
      <c r="V225" s="296"/>
      <c r="W225" s="296"/>
      <c r="X225" s="296"/>
      <c r="Y225" s="296"/>
      <c r="Z225" s="297"/>
    </row>
    <row r="226" spans="1:26">
      <c r="A226" s="304" t="s">
        <v>821</v>
      </c>
      <c r="B226" s="304"/>
      <c r="C226" s="304"/>
      <c r="D226" s="304"/>
      <c r="E226" s="293"/>
      <c r="F226" s="293"/>
      <c r="G226" s="293"/>
      <c r="H226" s="293"/>
      <c r="I226" s="293"/>
      <c r="J226" s="293"/>
      <c r="K226" s="293"/>
      <c r="L226" s="293"/>
      <c r="M226" s="293"/>
      <c r="N226" s="293"/>
      <c r="O226" s="293"/>
      <c r="P226" s="293"/>
      <c r="Q226" s="298"/>
      <c r="R226" s="299"/>
      <c r="S226" s="299"/>
      <c r="T226" s="299"/>
      <c r="U226" s="299"/>
      <c r="V226" s="299"/>
      <c r="W226" s="299"/>
      <c r="X226" s="299"/>
      <c r="Y226" s="299"/>
      <c r="Z226" s="300"/>
    </row>
    <row r="227" spans="1:26">
      <c r="A227" s="304" t="s">
        <v>822</v>
      </c>
      <c r="B227" s="304"/>
      <c r="C227" s="304"/>
      <c r="D227" s="304"/>
      <c r="E227" s="293"/>
      <c r="F227" s="293"/>
      <c r="G227" s="293"/>
      <c r="H227" s="293"/>
      <c r="I227" s="293"/>
      <c r="J227" s="293"/>
      <c r="K227" s="293"/>
      <c r="L227" s="293"/>
      <c r="M227" s="293"/>
      <c r="N227" s="293"/>
      <c r="O227" s="293"/>
      <c r="P227" s="293"/>
      <c r="Q227" s="301"/>
      <c r="R227" s="302"/>
      <c r="S227" s="302"/>
      <c r="T227" s="302"/>
      <c r="U227" s="302"/>
      <c r="V227" s="302"/>
      <c r="W227" s="302"/>
      <c r="X227" s="302"/>
      <c r="Y227" s="302"/>
      <c r="Z227" s="303"/>
    </row>
    <row r="228" spans="1:26">
      <c r="A228" s="304" t="s">
        <v>820</v>
      </c>
      <c r="B228" s="304"/>
      <c r="C228" s="304"/>
      <c r="D228" s="304"/>
      <c r="E228" s="293"/>
      <c r="F228" s="293"/>
      <c r="G228" s="293"/>
      <c r="H228" s="293"/>
      <c r="I228" s="293"/>
      <c r="J228" s="293"/>
      <c r="K228" s="293"/>
      <c r="L228" s="293"/>
      <c r="M228" s="293"/>
      <c r="N228" s="293"/>
      <c r="O228" s="293"/>
      <c r="P228" s="293"/>
      <c r="Q228" s="295" t="s">
        <v>825</v>
      </c>
      <c r="R228" s="296"/>
      <c r="S228" s="296"/>
      <c r="T228" s="296"/>
      <c r="U228" s="296"/>
      <c r="V228" s="296"/>
      <c r="W228" s="296"/>
      <c r="X228" s="296"/>
      <c r="Y228" s="296"/>
      <c r="Z228" s="297"/>
    </row>
    <row r="229" spans="1:26">
      <c r="A229" s="294" t="s">
        <v>823</v>
      </c>
      <c r="B229" s="294"/>
      <c r="C229" s="294"/>
      <c r="D229" s="294"/>
      <c r="E229" s="294"/>
      <c r="F229" s="294"/>
      <c r="G229" s="294"/>
      <c r="H229" s="294"/>
      <c r="I229" s="294"/>
      <c r="J229" s="294"/>
      <c r="K229" s="294"/>
      <c r="L229" s="294"/>
      <c r="M229" s="294"/>
      <c r="N229" s="294"/>
      <c r="O229" s="294"/>
      <c r="P229" s="294"/>
      <c r="Q229" s="298"/>
      <c r="R229" s="299"/>
      <c r="S229" s="299"/>
      <c r="T229" s="299"/>
      <c r="U229" s="299"/>
      <c r="V229" s="299"/>
      <c r="W229" s="299"/>
      <c r="X229" s="299"/>
      <c r="Y229" s="299"/>
      <c r="Z229" s="300"/>
    </row>
    <row r="230" spans="1:26">
      <c r="A230" s="294"/>
      <c r="B230" s="294"/>
      <c r="C230" s="294"/>
      <c r="D230" s="294"/>
      <c r="E230" s="294"/>
      <c r="F230" s="294"/>
      <c r="G230" s="294"/>
      <c r="H230" s="294"/>
      <c r="I230" s="294"/>
      <c r="J230" s="294"/>
      <c r="K230" s="294"/>
      <c r="L230" s="294"/>
      <c r="M230" s="294"/>
      <c r="N230" s="294"/>
      <c r="O230" s="294"/>
      <c r="P230" s="294"/>
      <c r="Q230" s="298"/>
      <c r="R230" s="299"/>
      <c r="S230" s="299"/>
      <c r="T230" s="299"/>
      <c r="U230" s="299"/>
      <c r="V230" s="299"/>
      <c r="W230" s="299"/>
      <c r="X230" s="299"/>
      <c r="Y230" s="299"/>
      <c r="Z230" s="300"/>
    </row>
    <row r="231" spans="1:26">
      <c r="A231" s="294"/>
      <c r="B231" s="294"/>
      <c r="C231" s="294"/>
      <c r="D231" s="294"/>
      <c r="E231" s="294"/>
      <c r="F231" s="294"/>
      <c r="G231" s="294"/>
      <c r="H231" s="294"/>
      <c r="I231" s="294"/>
      <c r="J231" s="294"/>
      <c r="K231" s="294"/>
      <c r="L231" s="294"/>
      <c r="M231" s="294"/>
      <c r="N231" s="294"/>
      <c r="O231" s="294"/>
      <c r="P231" s="294"/>
      <c r="Q231" s="301"/>
      <c r="R231" s="302"/>
      <c r="S231" s="302"/>
      <c r="T231" s="302"/>
      <c r="U231" s="302"/>
      <c r="V231" s="302"/>
      <c r="W231" s="302"/>
      <c r="X231" s="302"/>
      <c r="Y231" s="302"/>
      <c r="Z231" s="303"/>
    </row>
    <row r="232" spans="1:26">
      <c r="A232" s="253" t="s">
        <v>835</v>
      </c>
      <c r="B232" s="253"/>
      <c r="C232" s="253"/>
      <c r="D232" s="253"/>
      <c r="E232" s="253"/>
      <c r="F232" s="253"/>
      <c r="G232" s="253"/>
      <c r="H232" s="253"/>
      <c r="I232" s="253"/>
      <c r="J232" s="289" t="s">
        <v>832</v>
      </c>
      <c r="K232" s="277"/>
      <c r="L232" s="277"/>
      <c r="M232" s="277"/>
      <c r="N232" s="277"/>
      <c r="O232" s="277"/>
      <c r="P232" s="277"/>
      <c r="Q232" s="277"/>
      <c r="R232" s="277" t="s">
        <v>829</v>
      </c>
      <c r="S232" s="277"/>
      <c r="T232" s="277"/>
      <c r="U232" s="277"/>
      <c r="V232" s="277"/>
      <c r="W232" s="277"/>
      <c r="X232" s="277"/>
      <c r="Y232" s="277"/>
      <c r="Z232" s="278"/>
    </row>
    <row r="233" spans="1:26">
      <c r="A233" s="288" t="s">
        <v>836</v>
      </c>
      <c r="B233" s="288"/>
      <c r="C233" s="288"/>
      <c r="D233" s="288"/>
      <c r="E233" s="288"/>
      <c r="F233" s="288"/>
      <c r="G233" s="288"/>
      <c r="H233" s="288"/>
      <c r="I233" s="288"/>
      <c r="J233" s="252" t="s">
        <v>833</v>
      </c>
      <c r="K233" s="252"/>
      <c r="L233" s="252"/>
      <c r="M233" s="252"/>
      <c r="N233" s="252" t="s">
        <v>834</v>
      </c>
      <c r="O233" s="252"/>
      <c r="P233" s="252"/>
      <c r="Q233" s="252"/>
      <c r="R233" s="252" t="s">
        <v>830</v>
      </c>
      <c r="S233" s="252"/>
      <c r="T233" s="252"/>
      <c r="U233" s="252"/>
      <c r="V233" s="252"/>
      <c r="W233" s="252" t="s">
        <v>831</v>
      </c>
      <c r="X233" s="252"/>
      <c r="Y233" s="252"/>
      <c r="Z233" s="252"/>
    </row>
    <row r="234" spans="1:26">
      <c r="A234" s="288"/>
      <c r="B234" s="288"/>
      <c r="C234" s="288"/>
      <c r="D234" s="288"/>
      <c r="E234" s="288"/>
      <c r="F234" s="288"/>
      <c r="G234" s="288"/>
      <c r="H234" s="288"/>
      <c r="I234" s="288"/>
      <c r="J234" s="252"/>
      <c r="K234" s="252"/>
      <c r="L234" s="252"/>
      <c r="M234" s="252"/>
      <c r="N234" s="252"/>
      <c r="O234" s="252"/>
      <c r="P234" s="252"/>
      <c r="Q234" s="252"/>
      <c r="R234" s="252"/>
      <c r="S234" s="252"/>
      <c r="T234" s="252"/>
      <c r="U234" s="252"/>
      <c r="V234" s="252"/>
      <c r="W234" s="252"/>
      <c r="X234" s="252"/>
      <c r="Y234" s="252"/>
      <c r="Z234" s="252"/>
    </row>
    <row r="235" spans="1:26">
      <c r="A235" s="288"/>
      <c r="B235" s="288"/>
      <c r="C235" s="288"/>
      <c r="D235" s="288"/>
      <c r="E235" s="288"/>
      <c r="F235" s="288"/>
      <c r="G235" s="288"/>
      <c r="H235" s="288"/>
      <c r="I235" s="288"/>
      <c r="J235" s="252"/>
      <c r="K235" s="252"/>
      <c r="L235" s="252"/>
      <c r="M235" s="252"/>
      <c r="N235" s="252"/>
      <c r="O235" s="252"/>
      <c r="P235" s="252"/>
      <c r="Q235" s="252"/>
      <c r="R235" s="252"/>
      <c r="S235" s="252"/>
      <c r="T235" s="252"/>
      <c r="U235" s="252"/>
      <c r="V235" s="252"/>
      <c r="W235" s="252"/>
      <c r="X235" s="252"/>
      <c r="Y235" s="252"/>
      <c r="Z235" s="252"/>
    </row>
    <row r="236" spans="1:26">
      <c r="A236" s="288" t="s">
        <v>837</v>
      </c>
      <c r="B236" s="288"/>
      <c r="C236" s="288"/>
      <c r="D236" s="288"/>
      <c r="E236" s="288"/>
      <c r="F236" s="288"/>
      <c r="G236" s="288"/>
      <c r="H236" s="288"/>
      <c r="I236" s="288"/>
      <c r="J236" s="252"/>
      <c r="K236" s="252"/>
      <c r="L236" s="252"/>
      <c r="M236" s="252"/>
      <c r="N236" s="252"/>
      <c r="O236" s="252"/>
      <c r="P236" s="252"/>
      <c r="Q236" s="252"/>
      <c r="R236" s="252"/>
      <c r="S236" s="252"/>
      <c r="T236" s="252"/>
      <c r="U236" s="252"/>
      <c r="V236" s="252"/>
      <c r="W236" s="252"/>
      <c r="X236" s="252"/>
      <c r="Y236" s="252"/>
      <c r="Z236" s="252"/>
    </row>
    <row r="237" spans="1:26">
      <c r="A237" s="288"/>
      <c r="B237" s="288"/>
      <c r="C237" s="288"/>
      <c r="D237" s="288"/>
      <c r="E237" s="288"/>
      <c r="F237" s="288"/>
      <c r="G237" s="288"/>
      <c r="H237" s="288"/>
      <c r="I237" s="288"/>
      <c r="J237" s="252"/>
      <c r="K237" s="252"/>
      <c r="L237" s="252"/>
      <c r="M237" s="252"/>
      <c r="N237" s="252"/>
      <c r="O237" s="252"/>
      <c r="P237" s="252"/>
      <c r="Q237" s="252"/>
      <c r="R237" s="252"/>
      <c r="S237" s="252"/>
      <c r="T237" s="252"/>
      <c r="U237" s="252"/>
      <c r="V237" s="252"/>
      <c r="W237" s="252"/>
      <c r="X237" s="252"/>
      <c r="Y237" s="252"/>
      <c r="Z237" s="252"/>
    </row>
    <row r="238" spans="1:26">
      <c r="A238" s="288" t="s">
        <v>838</v>
      </c>
      <c r="B238" s="288"/>
      <c r="C238" s="288"/>
      <c r="D238" s="288"/>
      <c r="E238" s="288"/>
      <c r="F238" s="288"/>
      <c r="G238" s="288"/>
      <c r="H238" s="288"/>
      <c r="I238" s="288"/>
      <c r="J238" s="252"/>
      <c r="K238" s="252"/>
      <c r="L238" s="252"/>
      <c r="M238" s="252"/>
      <c r="N238" s="252"/>
      <c r="O238" s="252"/>
      <c r="P238" s="252"/>
      <c r="Q238" s="252"/>
      <c r="R238" s="252"/>
      <c r="S238" s="252"/>
      <c r="T238" s="252"/>
      <c r="U238" s="252"/>
      <c r="V238" s="252"/>
      <c r="W238" s="252"/>
      <c r="X238" s="252"/>
      <c r="Y238" s="252"/>
      <c r="Z238" s="252"/>
    </row>
    <row r="239" spans="1:26">
      <c r="A239" s="288"/>
      <c r="B239" s="288"/>
      <c r="C239" s="288"/>
      <c r="D239" s="288"/>
      <c r="E239" s="288"/>
      <c r="F239" s="288"/>
      <c r="G239" s="288"/>
      <c r="H239" s="288"/>
      <c r="I239" s="288"/>
      <c r="J239" s="252"/>
      <c r="K239" s="252"/>
      <c r="L239" s="252"/>
      <c r="M239" s="252"/>
      <c r="N239" s="252"/>
      <c r="O239" s="252"/>
      <c r="P239" s="252"/>
      <c r="Q239" s="252"/>
      <c r="R239" s="252"/>
      <c r="S239" s="252"/>
      <c r="T239" s="252"/>
      <c r="U239" s="252"/>
      <c r="V239" s="252"/>
      <c r="W239" s="252"/>
      <c r="X239" s="252"/>
      <c r="Y239" s="252"/>
      <c r="Z239" s="252"/>
    </row>
    <row r="240" spans="1:26">
      <c r="A240" s="288" t="s">
        <v>839</v>
      </c>
      <c r="B240" s="288"/>
      <c r="C240" s="288"/>
      <c r="D240" s="288"/>
      <c r="E240" s="288"/>
      <c r="F240" s="288"/>
      <c r="G240" s="288"/>
      <c r="H240" s="288"/>
      <c r="I240" s="288"/>
      <c r="J240" s="252"/>
      <c r="K240" s="252"/>
      <c r="L240" s="252"/>
      <c r="M240" s="252"/>
      <c r="N240" s="252"/>
      <c r="O240" s="252"/>
      <c r="P240" s="252"/>
      <c r="Q240" s="252"/>
      <c r="R240" s="252"/>
      <c r="S240" s="252"/>
      <c r="T240" s="252"/>
      <c r="U240" s="252"/>
      <c r="V240" s="252"/>
      <c r="W240" s="252"/>
      <c r="X240" s="252"/>
      <c r="Y240" s="252"/>
      <c r="Z240" s="252"/>
    </row>
    <row r="241" spans="1:26">
      <c r="A241" s="288"/>
      <c r="B241" s="288"/>
      <c r="C241" s="288"/>
      <c r="D241" s="288"/>
      <c r="E241" s="288"/>
      <c r="F241" s="288"/>
      <c r="G241" s="288"/>
      <c r="H241" s="288"/>
      <c r="I241" s="288"/>
      <c r="J241" s="252"/>
      <c r="K241" s="252"/>
      <c r="L241" s="252"/>
      <c r="M241" s="252"/>
      <c r="N241" s="252"/>
      <c r="O241" s="252"/>
      <c r="P241" s="252"/>
      <c r="Q241" s="252"/>
      <c r="R241" s="252"/>
      <c r="S241" s="252"/>
      <c r="T241" s="252"/>
      <c r="U241" s="252"/>
      <c r="V241" s="252"/>
      <c r="W241" s="252"/>
      <c r="X241" s="252"/>
      <c r="Y241" s="252"/>
      <c r="Z241" s="252"/>
    </row>
    <row r="242" spans="1:26">
      <c r="A242" s="253" t="s">
        <v>3572</v>
      </c>
      <c r="B242" s="253"/>
      <c r="C242" s="253"/>
      <c r="D242" s="253"/>
      <c r="E242" s="253"/>
      <c r="F242" s="253"/>
      <c r="G242" s="253"/>
      <c r="H242" s="253"/>
      <c r="I242" s="253"/>
      <c r="J242" s="253"/>
      <c r="K242" s="253"/>
      <c r="L242" s="253"/>
      <c r="M242" s="253"/>
      <c r="N242" s="253"/>
      <c r="O242" s="253"/>
      <c r="P242" s="253"/>
      <c r="Q242" s="253"/>
      <c r="R242" s="253"/>
      <c r="S242" s="253"/>
      <c r="T242" s="253"/>
      <c r="U242" s="253"/>
      <c r="V242" s="253"/>
      <c r="W242" s="253"/>
      <c r="X242" s="253"/>
      <c r="Y242" s="253"/>
      <c r="Z242" s="253"/>
    </row>
    <row r="243" spans="1:26">
      <c r="A243" s="252"/>
      <c r="B243" s="252"/>
      <c r="C243" s="252"/>
      <c r="D243" s="252"/>
      <c r="E243" s="252"/>
      <c r="F243" s="252"/>
      <c r="G243" s="252"/>
      <c r="H243" s="252"/>
      <c r="I243" s="252"/>
      <c r="J243" s="252"/>
      <c r="K243" s="252"/>
      <c r="L243" s="252"/>
      <c r="M243" s="252"/>
      <c r="N243" s="252"/>
      <c r="O243" s="252"/>
      <c r="P243" s="252"/>
      <c r="Q243" s="252"/>
      <c r="R243" s="252"/>
      <c r="S243" s="252"/>
      <c r="T243" s="252"/>
      <c r="U243" s="252"/>
      <c r="V243" s="252"/>
      <c r="W243" s="252"/>
      <c r="X243" s="252"/>
      <c r="Y243" s="252"/>
      <c r="Z243" s="252"/>
    </row>
    <row r="244" spans="1:26">
      <c r="A244" s="252"/>
      <c r="B244" s="252"/>
      <c r="C244" s="252"/>
      <c r="D244" s="252"/>
      <c r="E244" s="252"/>
      <c r="F244" s="252"/>
      <c r="G244" s="252"/>
      <c r="H244" s="252"/>
      <c r="I244" s="252"/>
      <c r="J244" s="252"/>
      <c r="K244" s="252"/>
      <c r="L244" s="252"/>
      <c r="M244" s="252"/>
      <c r="N244" s="252"/>
      <c r="O244" s="252"/>
      <c r="P244" s="252"/>
      <c r="Q244" s="252"/>
      <c r="R244" s="252"/>
      <c r="S244" s="252"/>
      <c r="T244" s="252"/>
      <c r="U244" s="252"/>
      <c r="V244" s="252"/>
      <c r="W244" s="252"/>
      <c r="X244" s="252"/>
      <c r="Y244" s="252"/>
      <c r="Z244" s="252"/>
    </row>
    <row r="245" spans="1:26">
      <c r="A245" s="252"/>
      <c r="B245" s="252"/>
      <c r="C245" s="252"/>
      <c r="D245" s="252"/>
      <c r="E245" s="252"/>
      <c r="F245" s="252"/>
      <c r="G245" s="252"/>
      <c r="H245" s="252"/>
      <c r="I245" s="252"/>
      <c r="J245" s="252"/>
      <c r="K245" s="252"/>
      <c r="L245" s="252"/>
      <c r="M245" s="252"/>
      <c r="N245" s="252"/>
      <c r="O245" s="252"/>
      <c r="P245" s="252"/>
      <c r="Q245" s="252"/>
      <c r="R245" s="252"/>
      <c r="S245" s="252"/>
      <c r="T245" s="252"/>
      <c r="U245" s="252"/>
      <c r="V245" s="252"/>
      <c r="W245" s="252"/>
      <c r="X245" s="252"/>
      <c r="Y245" s="252"/>
      <c r="Z245" s="252"/>
    </row>
    <row r="246" spans="1:26">
      <c r="A246" s="252"/>
      <c r="B246" s="252"/>
      <c r="C246" s="252"/>
      <c r="D246" s="252"/>
      <c r="E246" s="252"/>
      <c r="F246" s="252"/>
      <c r="G246" s="252"/>
      <c r="H246" s="252"/>
      <c r="I246" s="252"/>
      <c r="J246" s="252"/>
      <c r="K246" s="252"/>
      <c r="L246" s="252"/>
      <c r="M246" s="252"/>
      <c r="N246" s="252"/>
      <c r="O246" s="252"/>
      <c r="P246" s="252"/>
      <c r="Q246" s="252"/>
      <c r="R246" s="252"/>
      <c r="S246" s="252"/>
      <c r="T246" s="252"/>
      <c r="U246" s="252"/>
      <c r="V246" s="252"/>
      <c r="W246" s="252"/>
      <c r="X246" s="252"/>
      <c r="Y246" s="252"/>
      <c r="Z246" s="252"/>
    </row>
    <row r="247" spans="1:26">
      <c r="A247" s="252"/>
      <c r="B247" s="252"/>
      <c r="C247" s="252"/>
      <c r="D247" s="252"/>
      <c r="E247" s="252"/>
      <c r="F247" s="252"/>
      <c r="G247" s="252"/>
      <c r="H247" s="252"/>
      <c r="I247" s="252"/>
      <c r="J247" s="252"/>
      <c r="K247" s="252"/>
      <c r="L247" s="252"/>
      <c r="M247" s="252"/>
      <c r="N247" s="252"/>
      <c r="O247" s="252"/>
      <c r="P247" s="252"/>
      <c r="Q247" s="252"/>
      <c r="R247" s="252"/>
      <c r="S247" s="252"/>
      <c r="T247" s="252"/>
      <c r="U247" s="252"/>
      <c r="V247" s="252"/>
      <c r="W247" s="252"/>
      <c r="X247" s="252"/>
      <c r="Y247" s="252"/>
      <c r="Z247" s="252"/>
    </row>
    <row r="248" spans="1:26">
      <c r="A248" s="252"/>
      <c r="B248" s="252"/>
      <c r="C248" s="252"/>
      <c r="D248" s="252"/>
      <c r="E248" s="252"/>
      <c r="F248" s="252"/>
      <c r="G248" s="252"/>
      <c r="H248" s="252"/>
      <c r="I248" s="252"/>
      <c r="J248" s="252"/>
      <c r="K248" s="252"/>
      <c r="L248" s="252"/>
      <c r="M248" s="252"/>
      <c r="N248" s="252"/>
      <c r="O248" s="252"/>
      <c r="P248" s="252"/>
      <c r="Q248" s="252"/>
      <c r="R248" s="252"/>
      <c r="S248" s="252"/>
      <c r="T248" s="252"/>
      <c r="U248" s="252"/>
      <c r="V248" s="252"/>
      <c r="W248" s="252"/>
      <c r="X248" s="252"/>
      <c r="Y248" s="252"/>
      <c r="Z248" s="252"/>
    </row>
    <row r="249" spans="1:26">
      <c r="A249" s="252"/>
      <c r="B249" s="252"/>
      <c r="C249" s="252"/>
      <c r="D249" s="252"/>
      <c r="E249" s="252"/>
      <c r="F249" s="252"/>
      <c r="G249" s="252"/>
      <c r="H249" s="252"/>
      <c r="I249" s="252"/>
      <c r="J249" s="252"/>
      <c r="K249" s="252"/>
      <c r="L249" s="252"/>
      <c r="M249" s="252"/>
      <c r="N249" s="252"/>
      <c r="O249" s="252"/>
      <c r="P249" s="252"/>
      <c r="Q249" s="252"/>
      <c r="R249" s="252"/>
      <c r="S249" s="252"/>
      <c r="T249" s="252"/>
      <c r="U249" s="252"/>
      <c r="V249" s="252"/>
      <c r="W249" s="252"/>
      <c r="X249" s="252"/>
      <c r="Y249" s="252"/>
      <c r="Z249" s="252"/>
    </row>
    <row r="254" spans="1:26">
      <c r="J254" s="1"/>
      <c r="K254" s="1"/>
      <c r="L254" s="1"/>
      <c r="M254" s="1"/>
      <c r="N254" s="1"/>
      <c r="O254" s="1"/>
      <c r="P254" s="1"/>
      <c r="Q254" s="1"/>
      <c r="R254" s="1"/>
    </row>
    <row r="255" spans="1:26">
      <c r="J255" s="1"/>
      <c r="K255" s="1"/>
      <c r="L255" s="1"/>
      <c r="M255" s="1"/>
      <c r="N255" s="1"/>
      <c r="O255" s="1"/>
      <c r="P255" s="1"/>
      <c r="Q255" s="1"/>
      <c r="R255" s="1"/>
    </row>
    <row r="256" spans="1:26">
      <c r="J256" s="1"/>
      <c r="K256" s="1"/>
      <c r="L256" s="1"/>
      <c r="M256" s="1"/>
      <c r="N256" s="1"/>
      <c r="O256" s="1"/>
      <c r="P256" s="1"/>
      <c r="Q256" s="1"/>
      <c r="R256" s="1"/>
    </row>
    <row r="257" spans="10:18">
      <c r="J257" s="1"/>
      <c r="K257" s="1"/>
      <c r="L257" s="1"/>
      <c r="M257" s="1"/>
      <c r="N257" s="1"/>
      <c r="O257" s="1"/>
      <c r="P257" s="1"/>
      <c r="Q257" s="1"/>
      <c r="R257" s="1"/>
    </row>
    <row r="258" spans="10:18">
      <c r="J258" s="1"/>
      <c r="K258" s="1"/>
      <c r="L258" s="1"/>
      <c r="M258" s="1"/>
      <c r="N258" s="1"/>
      <c r="O258" s="1"/>
      <c r="P258" s="1"/>
      <c r="Q258" s="1"/>
      <c r="R258" s="1"/>
    </row>
    <row r="259" spans="10:18">
      <c r="J259" s="1"/>
      <c r="K259" s="1"/>
      <c r="L259" s="1"/>
      <c r="M259" s="1"/>
      <c r="N259" s="1"/>
      <c r="O259" s="1"/>
      <c r="P259" s="1"/>
      <c r="Q259" s="1"/>
      <c r="R259" s="1"/>
    </row>
    <row r="260" spans="10:18">
      <c r="J260" s="1"/>
      <c r="K260" s="1"/>
      <c r="L260" s="1"/>
      <c r="M260" s="1"/>
      <c r="N260" s="1"/>
      <c r="O260" s="1"/>
      <c r="P260" s="1"/>
      <c r="Q260" s="1"/>
      <c r="R260" s="1"/>
    </row>
    <row r="261" spans="10:18">
      <c r="J261" s="1"/>
      <c r="K261" s="1"/>
      <c r="L261" s="1"/>
      <c r="M261" s="1"/>
      <c r="N261" s="1"/>
      <c r="O261" s="1"/>
      <c r="P261" s="1"/>
      <c r="Q261" s="1"/>
      <c r="R261" s="1"/>
    </row>
    <row r="262" spans="10:18">
      <c r="J262" s="1"/>
      <c r="K262" s="1"/>
      <c r="L262" s="1"/>
      <c r="M262" s="1"/>
      <c r="N262" s="1"/>
      <c r="O262" s="1"/>
      <c r="P262" s="1"/>
      <c r="Q262" s="1"/>
      <c r="R262" s="1"/>
    </row>
    <row r="263" spans="10:18">
      <c r="J263" s="1"/>
      <c r="K263" s="1"/>
      <c r="L263" s="1"/>
      <c r="M263" s="1"/>
      <c r="N263" s="1"/>
      <c r="O263" s="1"/>
      <c r="P263" s="1"/>
      <c r="Q263" s="1"/>
      <c r="R263" s="1"/>
    </row>
    <row r="264" spans="10:18">
      <c r="J264" s="1"/>
      <c r="K264" s="1"/>
      <c r="L264" s="1"/>
      <c r="M264" s="1"/>
      <c r="N264" s="1"/>
      <c r="O264" s="1"/>
      <c r="P264" s="1"/>
      <c r="Q264" s="1"/>
      <c r="R264" s="1"/>
    </row>
    <row r="265" spans="10:18">
      <c r="J265" s="1"/>
      <c r="K265" s="1"/>
      <c r="L265" s="1"/>
      <c r="M265" s="1"/>
      <c r="N265" s="1"/>
      <c r="O265" s="1"/>
      <c r="P265" s="1"/>
      <c r="Q265" s="1"/>
      <c r="R265" s="1"/>
    </row>
    <row r="266" spans="10:18">
      <c r="J266" s="1"/>
      <c r="K266" s="1"/>
      <c r="L266" s="1"/>
      <c r="M266" s="1"/>
      <c r="N266" s="1"/>
      <c r="O266" s="1"/>
      <c r="P266" s="1"/>
      <c r="Q266" s="1"/>
      <c r="R266" s="1"/>
    </row>
    <row r="267" spans="10:18">
      <c r="J267" s="1"/>
      <c r="K267" s="1"/>
      <c r="L267" s="1"/>
      <c r="M267" s="1"/>
      <c r="N267" s="1"/>
      <c r="O267" s="1"/>
      <c r="P267" s="1"/>
      <c r="Q267" s="1"/>
      <c r="R267" s="1"/>
    </row>
    <row r="268" spans="10:18">
      <c r="J268" s="1"/>
      <c r="K268" s="1"/>
      <c r="L268" s="1"/>
      <c r="M268" s="1"/>
      <c r="N268" s="1"/>
      <c r="O268" s="1"/>
      <c r="P268" s="1"/>
      <c r="Q268" s="1"/>
      <c r="R268" s="1"/>
    </row>
    <row r="269" spans="10:18">
      <c r="J269" s="1"/>
      <c r="K269" s="1"/>
      <c r="L269" s="1"/>
      <c r="M269" s="1"/>
      <c r="N269" s="1"/>
      <c r="O269" s="1"/>
      <c r="P269" s="1"/>
      <c r="Q269" s="1"/>
      <c r="R269" s="1"/>
    </row>
    <row r="270" spans="10:18">
      <c r="J270" s="1"/>
      <c r="K270" s="1"/>
      <c r="L270" s="1"/>
      <c r="M270" s="1"/>
      <c r="N270" s="1"/>
      <c r="O270" s="1"/>
      <c r="P270" s="1"/>
      <c r="Q270" s="1"/>
      <c r="R270" s="1"/>
    </row>
    <row r="271" spans="10:18">
      <c r="J271" s="1"/>
      <c r="K271" s="1"/>
      <c r="L271" s="1"/>
      <c r="M271" s="1"/>
      <c r="N271" s="1"/>
      <c r="O271" s="1"/>
      <c r="P271" s="1"/>
      <c r="Q271" s="1"/>
      <c r="R271" s="1"/>
    </row>
    <row r="272" spans="10:18">
      <c r="J272" s="1"/>
      <c r="K272" s="1"/>
      <c r="L272" s="1"/>
      <c r="M272" s="1"/>
      <c r="N272" s="1"/>
      <c r="O272" s="1"/>
      <c r="P272" s="1"/>
      <c r="Q272" s="1"/>
      <c r="R272" s="1"/>
    </row>
    <row r="273" spans="10:18">
      <c r="J273" s="1"/>
      <c r="K273" s="1"/>
      <c r="L273" s="1"/>
      <c r="M273" s="1"/>
      <c r="N273" s="1"/>
      <c r="O273" s="1"/>
      <c r="P273" s="1"/>
      <c r="Q273" s="1"/>
      <c r="R273" s="1"/>
    </row>
    <row r="274" spans="10:18">
      <c r="J274" s="1"/>
      <c r="K274" s="1"/>
      <c r="L274" s="1"/>
      <c r="M274" s="1"/>
      <c r="N274" s="1"/>
      <c r="O274" s="1"/>
      <c r="P274" s="1"/>
      <c r="Q274" s="1"/>
      <c r="R274" s="1"/>
    </row>
    <row r="275" spans="10:18">
      <c r="J275" s="1"/>
      <c r="K275" s="1"/>
      <c r="L275" s="1"/>
      <c r="M275" s="1"/>
      <c r="N275" s="1"/>
      <c r="O275" s="1"/>
      <c r="P275" s="1"/>
      <c r="Q275" s="1"/>
      <c r="R275" s="1"/>
    </row>
    <row r="276" spans="10:18">
      <c r="J276" s="1"/>
      <c r="K276" s="1"/>
      <c r="L276" s="1"/>
      <c r="M276" s="1"/>
      <c r="N276" s="1"/>
      <c r="O276" s="1"/>
      <c r="P276" s="1"/>
      <c r="Q276" s="1"/>
      <c r="R276" s="1"/>
    </row>
    <row r="277" spans="10:18">
      <c r="J277" s="1"/>
      <c r="K277" s="1"/>
      <c r="L277" s="1"/>
      <c r="M277" s="1"/>
      <c r="N277" s="1"/>
      <c r="O277" s="1"/>
      <c r="P277" s="1"/>
      <c r="Q277" s="1"/>
      <c r="R277" s="1"/>
    </row>
    <row r="278" spans="10:18">
      <c r="J278" s="1"/>
      <c r="K278" s="1"/>
      <c r="L278" s="1"/>
      <c r="M278" s="1"/>
      <c r="N278" s="1"/>
      <c r="O278" s="1"/>
      <c r="P278" s="1"/>
      <c r="Q278" s="1"/>
      <c r="R278" s="1"/>
    </row>
    <row r="279" spans="10:18">
      <c r="J279" s="1"/>
      <c r="K279" s="1"/>
      <c r="L279" s="1"/>
      <c r="M279" s="1"/>
      <c r="N279" s="1"/>
      <c r="O279" s="1"/>
      <c r="P279" s="1"/>
      <c r="Q279" s="1"/>
      <c r="R279" s="1"/>
    </row>
    <row r="280" spans="10:18">
      <c r="J280" s="1"/>
      <c r="K280" s="1"/>
      <c r="L280" s="1"/>
      <c r="M280" s="1"/>
      <c r="N280" s="1"/>
      <c r="O280" s="1"/>
      <c r="P280" s="1"/>
      <c r="Q280" s="1"/>
      <c r="R280" s="1"/>
    </row>
    <row r="281" spans="10:18">
      <c r="J281" s="1"/>
      <c r="K281" s="1"/>
      <c r="L281" s="1"/>
      <c r="M281" s="1"/>
      <c r="N281" s="1"/>
      <c r="O281" s="1"/>
      <c r="P281" s="1"/>
      <c r="Q281" s="1"/>
      <c r="R281" s="1"/>
    </row>
    <row r="282" spans="10:18">
      <c r="J282" s="1"/>
      <c r="K282" s="1"/>
      <c r="L282" s="1"/>
      <c r="M282" s="1"/>
      <c r="N282" s="1"/>
      <c r="O282" s="1"/>
      <c r="P282" s="1"/>
      <c r="Q282" s="1"/>
      <c r="R282" s="1"/>
    </row>
    <row r="283" spans="10:18">
      <c r="J283" s="1"/>
      <c r="K283" s="1"/>
      <c r="L283" s="1"/>
      <c r="M283" s="1"/>
      <c r="N283" s="1"/>
      <c r="O283" s="1"/>
      <c r="P283" s="1"/>
      <c r="Q283" s="1"/>
      <c r="R283" s="1"/>
    </row>
    <row r="284" spans="10:18">
      <c r="J284" s="1"/>
      <c r="K284" s="1"/>
      <c r="L284" s="1"/>
      <c r="M284" s="1"/>
      <c r="N284" s="1"/>
      <c r="O284" s="1"/>
      <c r="P284" s="1"/>
      <c r="Q284" s="1"/>
      <c r="R284" s="1"/>
    </row>
    <row r="285" spans="10:18">
      <c r="J285" s="1"/>
      <c r="K285" s="1"/>
      <c r="L285" s="1"/>
      <c r="M285" s="1"/>
      <c r="N285" s="1"/>
      <c r="O285" s="1"/>
      <c r="P285" s="1"/>
      <c r="Q285" s="1"/>
      <c r="R285" s="1"/>
    </row>
    <row r="286" spans="10:18">
      <c r="J286" s="1"/>
      <c r="K286" s="1"/>
      <c r="L286" s="1"/>
      <c r="M286" s="1"/>
      <c r="N286" s="1"/>
      <c r="O286" s="1"/>
      <c r="P286" s="1"/>
      <c r="Q286" s="1"/>
      <c r="R286" s="1"/>
    </row>
    <row r="287" spans="10:18">
      <c r="J287" s="1"/>
      <c r="K287" s="1"/>
      <c r="L287" s="1"/>
      <c r="M287" s="1"/>
      <c r="N287" s="1"/>
      <c r="O287" s="1"/>
      <c r="P287" s="1"/>
      <c r="Q287" s="1"/>
      <c r="R287" s="1"/>
    </row>
    <row r="288" spans="10:18">
      <c r="J288" s="1"/>
      <c r="K288" s="1"/>
      <c r="L288" s="1"/>
      <c r="M288" s="1"/>
      <c r="N288" s="1"/>
      <c r="O288" s="1"/>
      <c r="P288" s="1"/>
      <c r="Q288" s="1"/>
      <c r="R288" s="1"/>
    </row>
    <row r="289" spans="10:18">
      <c r="J289" s="1"/>
      <c r="K289" s="1"/>
      <c r="L289" s="1"/>
      <c r="M289" s="1"/>
      <c r="N289" s="1"/>
      <c r="O289" s="1"/>
      <c r="P289" s="1"/>
      <c r="Q289" s="1"/>
      <c r="R289" s="1"/>
    </row>
    <row r="290" spans="10:18">
      <c r="J290" s="1"/>
      <c r="K290" s="1"/>
      <c r="L290" s="1"/>
      <c r="M290" s="1"/>
      <c r="N290" s="1"/>
      <c r="O290" s="1"/>
      <c r="P290" s="1"/>
      <c r="Q290" s="1"/>
      <c r="R290" s="1"/>
    </row>
    <row r="291" spans="10:18">
      <c r="J291" s="1"/>
      <c r="K291" s="1"/>
      <c r="L291" s="1"/>
      <c r="M291" s="1"/>
      <c r="N291" s="1"/>
      <c r="O291" s="1"/>
      <c r="P291" s="1"/>
      <c r="Q291" s="1"/>
      <c r="R291" s="1"/>
    </row>
    <row r="292" spans="10:18">
      <c r="J292" s="1"/>
      <c r="K292" s="1"/>
      <c r="L292" s="1"/>
      <c r="M292" s="1"/>
      <c r="N292" s="1"/>
      <c r="O292" s="1"/>
      <c r="P292" s="1"/>
      <c r="Q292" s="1"/>
      <c r="R292" s="1"/>
    </row>
    <row r="293" spans="10:18">
      <c r="J293" s="1"/>
      <c r="K293" s="1"/>
      <c r="L293" s="1"/>
      <c r="M293" s="1"/>
      <c r="N293" s="1"/>
      <c r="O293" s="1"/>
      <c r="P293" s="1"/>
      <c r="Q293" s="1"/>
      <c r="R293" s="1"/>
    </row>
    <row r="294" spans="10:18">
      <c r="J294" s="1"/>
      <c r="K294" s="1"/>
      <c r="L294" s="1"/>
      <c r="M294" s="1"/>
      <c r="N294" s="1"/>
      <c r="O294" s="1"/>
      <c r="P294" s="1"/>
      <c r="Q294" s="1"/>
      <c r="R294" s="1"/>
    </row>
    <row r="295" spans="10:18">
      <c r="J295" s="1"/>
      <c r="K295" s="1"/>
      <c r="L295" s="1"/>
      <c r="M295" s="1"/>
      <c r="N295" s="1"/>
      <c r="O295" s="1"/>
      <c r="P295" s="1"/>
      <c r="Q295" s="1"/>
      <c r="R295" s="1"/>
    </row>
    <row r="296" spans="10:18">
      <c r="J296" s="1"/>
      <c r="K296" s="1"/>
      <c r="L296" s="1"/>
      <c r="M296" s="1"/>
      <c r="N296" s="1"/>
      <c r="O296" s="1"/>
      <c r="P296" s="1"/>
      <c r="Q296" s="1"/>
      <c r="R296" s="1"/>
    </row>
    <row r="297" spans="10:18">
      <c r="J297" s="1"/>
      <c r="K297" s="1"/>
      <c r="L297" s="1"/>
      <c r="M297" s="1"/>
      <c r="N297" s="1"/>
      <c r="O297" s="1"/>
      <c r="P297" s="1"/>
      <c r="Q297" s="1"/>
      <c r="R297" s="1"/>
    </row>
    <row r="298" spans="10:18">
      <c r="J298" s="1"/>
      <c r="K298" s="1"/>
      <c r="L298" s="1"/>
      <c r="M298" s="1"/>
      <c r="N298" s="1"/>
      <c r="O298" s="1"/>
      <c r="P298" s="1"/>
      <c r="Q298" s="1"/>
      <c r="R298" s="1"/>
    </row>
    <row r="299" spans="10:18">
      <c r="J299" s="1"/>
      <c r="K299" s="1"/>
      <c r="L299" s="1"/>
      <c r="M299" s="1"/>
      <c r="N299" s="1"/>
      <c r="O299" s="1"/>
      <c r="P299" s="1"/>
      <c r="Q299" s="1"/>
      <c r="R299" s="1"/>
    </row>
    <row r="300" spans="10:18">
      <c r="J300" s="1"/>
      <c r="K300" s="1"/>
      <c r="L300" s="1"/>
      <c r="M300" s="1"/>
      <c r="N300" s="1"/>
      <c r="O300" s="1"/>
      <c r="P300" s="1"/>
      <c r="Q300" s="1"/>
      <c r="R300" s="1"/>
    </row>
    <row r="301" spans="10:18">
      <c r="J301" s="1"/>
      <c r="K301" s="1"/>
      <c r="L301" s="1"/>
      <c r="M301" s="1"/>
      <c r="N301" s="1"/>
      <c r="O301" s="1"/>
      <c r="P301" s="1"/>
      <c r="Q301" s="1"/>
      <c r="R301" s="1"/>
    </row>
    <row r="302" spans="10:18">
      <c r="J302" s="1"/>
      <c r="K302" s="1"/>
      <c r="L302" s="1"/>
      <c r="M302" s="1"/>
      <c r="N302" s="1"/>
      <c r="O302" s="1"/>
      <c r="P302" s="1"/>
      <c r="Q302" s="1"/>
      <c r="R302" s="1"/>
    </row>
    <row r="303" spans="10:18">
      <c r="J303" s="1"/>
      <c r="K303" s="1"/>
      <c r="L303" s="1"/>
      <c r="M303" s="1"/>
      <c r="N303" s="1"/>
      <c r="O303" s="1"/>
      <c r="P303" s="1"/>
      <c r="Q303" s="1"/>
      <c r="R303" s="1"/>
    </row>
    <row r="304" spans="10:18">
      <c r="J304" s="1"/>
      <c r="K304" s="1"/>
      <c r="L304" s="1"/>
      <c r="M304" s="1"/>
      <c r="N304" s="1"/>
      <c r="O304" s="1"/>
      <c r="P304" s="1"/>
      <c r="Q304" s="1"/>
      <c r="R304" s="1"/>
    </row>
    <row r="305" spans="10:18">
      <c r="J305" s="1"/>
      <c r="K305" s="1"/>
      <c r="L305" s="1"/>
      <c r="M305" s="1"/>
      <c r="N305" s="1"/>
      <c r="O305" s="1"/>
      <c r="P305" s="1"/>
      <c r="Q305" s="1"/>
      <c r="R305" s="1"/>
    </row>
    <row r="306" spans="10:18">
      <c r="J306" s="1"/>
      <c r="K306" s="1"/>
      <c r="L306" s="1"/>
      <c r="M306" s="1"/>
      <c r="N306" s="1"/>
      <c r="O306" s="1"/>
      <c r="P306" s="1"/>
      <c r="Q306" s="1"/>
      <c r="R306" s="1"/>
    </row>
    <row r="307" spans="10:18">
      <c r="J307" s="1"/>
      <c r="K307" s="1"/>
      <c r="L307" s="1"/>
      <c r="M307" s="1"/>
      <c r="N307" s="1"/>
      <c r="O307" s="1"/>
      <c r="P307" s="1"/>
      <c r="Q307" s="1"/>
      <c r="R307" s="1"/>
    </row>
    <row r="308" spans="10:18">
      <c r="J308" s="1"/>
      <c r="K308" s="1"/>
      <c r="L308" s="1"/>
      <c r="M308" s="1"/>
      <c r="N308" s="1"/>
      <c r="O308" s="1"/>
      <c r="P308" s="1"/>
      <c r="Q308" s="1"/>
      <c r="R308" s="1"/>
    </row>
    <row r="309" spans="10:18">
      <c r="J309" s="1"/>
      <c r="K309" s="1"/>
      <c r="L309" s="1"/>
      <c r="M309" s="1"/>
      <c r="N309" s="1"/>
      <c r="O309" s="1"/>
      <c r="P309" s="1"/>
      <c r="Q309" s="1"/>
      <c r="R309" s="1"/>
    </row>
    <row r="310" spans="10:18">
      <c r="J310" s="1"/>
      <c r="K310" s="1"/>
      <c r="L310" s="1"/>
      <c r="M310" s="1"/>
      <c r="N310" s="1"/>
      <c r="O310" s="1"/>
      <c r="P310" s="1"/>
      <c r="Q310" s="1"/>
      <c r="R310" s="1"/>
    </row>
    <row r="311" spans="10:18">
      <c r="J311" s="1"/>
      <c r="K311" s="1"/>
      <c r="L311" s="1"/>
      <c r="M311" s="1"/>
      <c r="N311" s="1"/>
      <c r="O311" s="1"/>
      <c r="P311" s="1"/>
      <c r="Q311" s="1"/>
      <c r="R311" s="1"/>
    </row>
    <row r="312" spans="10:18">
      <c r="J312" s="1"/>
      <c r="K312" s="1"/>
      <c r="L312" s="1"/>
      <c r="M312" s="1"/>
      <c r="N312" s="1"/>
      <c r="O312" s="1"/>
      <c r="P312" s="1"/>
      <c r="Q312" s="1"/>
      <c r="R312" s="1"/>
    </row>
    <row r="313" spans="10:18">
      <c r="J313" s="1"/>
      <c r="K313" s="1"/>
      <c r="L313" s="1"/>
      <c r="M313" s="1"/>
      <c r="N313" s="1"/>
      <c r="O313" s="1"/>
      <c r="P313" s="1"/>
      <c r="Q313" s="1"/>
      <c r="R313" s="1"/>
    </row>
    <row r="314" spans="10:18">
      <c r="J314" s="1"/>
      <c r="K314" s="1"/>
      <c r="L314" s="1"/>
      <c r="M314" s="1"/>
      <c r="N314" s="1"/>
      <c r="O314" s="1"/>
      <c r="P314" s="1"/>
      <c r="Q314" s="1"/>
      <c r="R314" s="1"/>
    </row>
    <row r="315" spans="10:18">
      <c r="J315" s="1"/>
      <c r="K315" s="1"/>
      <c r="L315" s="1"/>
      <c r="M315" s="1"/>
      <c r="N315" s="1"/>
      <c r="O315" s="1"/>
      <c r="P315" s="1"/>
      <c r="Q315" s="1"/>
      <c r="R315" s="1"/>
    </row>
    <row r="316" spans="10:18">
      <c r="J316" s="1"/>
      <c r="K316" s="1"/>
      <c r="L316" s="1"/>
      <c r="M316" s="1"/>
      <c r="N316" s="1"/>
      <c r="O316" s="1"/>
      <c r="P316" s="1"/>
      <c r="Q316" s="1"/>
      <c r="R316" s="1"/>
    </row>
    <row r="317" spans="10:18">
      <c r="J317" s="1"/>
      <c r="K317" s="1"/>
      <c r="L317" s="1"/>
      <c r="M317" s="1"/>
      <c r="N317" s="1"/>
      <c r="O317" s="1"/>
      <c r="P317" s="1"/>
      <c r="Q317" s="1"/>
      <c r="R317" s="1"/>
    </row>
    <row r="318" spans="10:18">
      <c r="J318" s="1"/>
      <c r="K318" s="1"/>
      <c r="L318" s="1"/>
      <c r="M318" s="1"/>
      <c r="N318" s="1"/>
      <c r="O318" s="1"/>
      <c r="P318" s="1"/>
      <c r="Q318" s="1"/>
      <c r="R318" s="1"/>
    </row>
    <row r="319" spans="10:18">
      <c r="J319" s="1"/>
      <c r="K319" s="1"/>
      <c r="L319" s="1"/>
      <c r="M319" s="1"/>
      <c r="N319" s="1"/>
      <c r="O319" s="1"/>
      <c r="P319" s="1"/>
      <c r="Q319" s="1"/>
      <c r="R319" s="1"/>
    </row>
    <row r="320" spans="10:18">
      <c r="J320" s="1"/>
      <c r="K320" s="1"/>
      <c r="L320" s="1"/>
      <c r="M320" s="1"/>
      <c r="N320" s="1"/>
      <c r="O320" s="1"/>
      <c r="P320" s="1"/>
      <c r="Q320" s="1"/>
      <c r="R320" s="1"/>
    </row>
    <row r="321" spans="10:18">
      <c r="J321" s="1"/>
      <c r="K321" s="1"/>
      <c r="L321" s="1"/>
      <c r="M321" s="1"/>
      <c r="N321" s="1"/>
      <c r="O321" s="1"/>
      <c r="P321" s="1"/>
      <c r="Q321" s="1"/>
      <c r="R321" s="1"/>
    </row>
    <row r="322" spans="10:18">
      <c r="J322" s="1"/>
      <c r="K322" s="1"/>
      <c r="L322" s="1"/>
      <c r="M322" s="1"/>
      <c r="N322" s="1"/>
      <c r="O322" s="1"/>
      <c r="P322" s="1"/>
      <c r="Q322" s="1"/>
      <c r="R322" s="1"/>
    </row>
    <row r="323" spans="10:18">
      <c r="J323" s="1"/>
      <c r="K323" s="1"/>
      <c r="L323" s="1"/>
      <c r="M323" s="1"/>
      <c r="N323" s="1"/>
      <c r="O323" s="1"/>
      <c r="P323" s="1"/>
      <c r="Q323" s="1"/>
      <c r="R323" s="1"/>
    </row>
    <row r="324" spans="10:18">
      <c r="J324" s="1"/>
      <c r="K324" s="1"/>
      <c r="L324" s="1"/>
      <c r="M324" s="1"/>
      <c r="N324" s="1"/>
      <c r="O324" s="1"/>
      <c r="P324" s="1"/>
      <c r="Q324" s="1"/>
      <c r="R324" s="1"/>
    </row>
    <row r="325" spans="10:18">
      <c r="J325" s="1"/>
      <c r="K325" s="1"/>
      <c r="L325" s="1"/>
      <c r="M325" s="1"/>
      <c r="N325" s="1"/>
      <c r="O325" s="1"/>
      <c r="P325" s="1"/>
      <c r="Q325" s="1"/>
      <c r="R325" s="1"/>
    </row>
    <row r="326" spans="10:18">
      <c r="J326" s="1"/>
      <c r="K326" s="1"/>
      <c r="L326" s="1"/>
      <c r="M326" s="1"/>
      <c r="N326" s="1"/>
      <c r="O326" s="1"/>
      <c r="P326" s="1"/>
      <c r="Q326" s="1"/>
      <c r="R326" s="1"/>
    </row>
    <row r="327" spans="10:18">
      <c r="J327" s="1"/>
      <c r="K327" s="1"/>
      <c r="L327" s="1"/>
      <c r="M327" s="1"/>
      <c r="N327" s="1"/>
      <c r="O327" s="1"/>
      <c r="P327" s="1"/>
      <c r="Q327" s="1"/>
      <c r="R327" s="1"/>
    </row>
    <row r="328" spans="10:18">
      <c r="J328" s="1"/>
      <c r="K328" s="1"/>
      <c r="L328" s="1"/>
      <c r="M328" s="1"/>
      <c r="N328" s="1"/>
      <c r="O328" s="1"/>
      <c r="P328" s="1"/>
      <c r="Q328" s="1"/>
      <c r="R328" s="1"/>
    </row>
    <row r="329" spans="10:18">
      <c r="J329" s="1"/>
      <c r="K329" s="1"/>
      <c r="L329" s="1"/>
      <c r="M329" s="1"/>
      <c r="N329" s="1"/>
      <c r="O329" s="1"/>
      <c r="P329" s="1"/>
      <c r="Q329" s="1"/>
      <c r="R329" s="1"/>
    </row>
    <row r="330" spans="10:18">
      <c r="J330" s="1"/>
      <c r="K330" s="1"/>
      <c r="L330" s="1"/>
      <c r="M330" s="1"/>
      <c r="N330" s="1"/>
      <c r="O330" s="1"/>
      <c r="P330" s="1"/>
      <c r="Q330" s="1"/>
      <c r="R330" s="1"/>
    </row>
    <row r="331" spans="10:18">
      <c r="J331" s="1"/>
      <c r="K331" s="1"/>
      <c r="L331" s="1"/>
      <c r="M331" s="1"/>
      <c r="N331" s="1"/>
      <c r="O331" s="1"/>
      <c r="P331" s="1"/>
      <c r="Q331" s="1"/>
      <c r="R331" s="1"/>
    </row>
    <row r="332" spans="10:18">
      <c r="J332" s="1"/>
      <c r="K332" s="1"/>
      <c r="L332" s="1"/>
      <c r="M332" s="1"/>
      <c r="N332" s="1"/>
      <c r="O332" s="1"/>
      <c r="P332" s="1"/>
      <c r="Q332" s="1"/>
      <c r="R332" s="1"/>
    </row>
    <row r="333" spans="10:18">
      <c r="J333" s="1"/>
      <c r="K333" s="1"/>
      <c r="L333" s="1"/>
      <c r="M333" s="1"/>
      <c r="N333" s="1"/>
      <c r="O333" s="1"/>
      <c r="P333" s="1"/>
      <c r="Q333" s="1"/>
      <c r="R333" s="1"/>
    </row>
    <row r="334" spans="10:18">
      <c r="J334" s="1"/>
      <c r="K334" s="1"/>
      <c r="L334" s="1"/>
      <c r="M334" s="1"/>
      <c r="N334" s="1"/>
      <c r="O334" s="1"/>
      <c r="P334" s="1"/>
      <c r="Q334" s="1"/>
      <c r="R334" s="1"/>
    </row>
    <row r="335" spans="10:18">
      <c r="J335" s="1"/>
      <c r="K335" s="1"/>
      <c r="L335" s="1"/>
      <c r="M335" s="1"/>
      <c r="N335" s="1"/>
      <c r="O335" s="1"/>
      <c r="P335" s="1"/>
      <c r="Q335" s="1"/>
      <c r="R335" s="1"/>
    </row>
    <row r="336" spans="10:18">
      <c r="J336" s="1"/>
      <c r="K336" s="1"/>
      <c r="L336" s="1"/>
      <c r="M336" s="1"/>
      <c r="N336" s="1"/>
      <c r="O336" s="1"/>
      <c r="P336" s="1"/>
      <c r="Q336" s="1"/>
      <c r="R336" s="1"/>
    </row>
    <row r="337" spans="10:18">
      <c r="J337" s="1"/>
      <c r="K337" s="1"/>
      <c r="L337" s="1"/>
      <c r="M337" s="1"/>
      <c r="N337" s="1"/>
      <c r="O337" s="1"/>
      <c r="P337" s="1"/>
      <c r="Q337" s="1"/>
      <c r="R337" s="1"/>
    </row>
    <row r="338" spans="10:18">
      <c r="J338" s="1"/>
      <c r="K338" s="1"/>
      <c r="L338" s="1"/>
      <c r="M338" s="1"/>
      <c r="N338" s="1"/>
      <c r="O338" s="1"/>
      <c r="P338" s="1"/>
      <c r="Q338" s="1"/>
      <c r="R338" s="1"/>
    </row>
    <row r="339" spans="10:18">
      <c r="J339" s="1"/>
      <c r="K339" s="1"/>
      <c r="L339" s="1"/>
      <c r="M339" s="1"/>
      <c r="N339" s="1"/>
      <c r="O339" s="1"/>
      <c r="P339" s="1"/>
      <c r="Q339" s="1"/>
      <c r="R339" s="1"/>
    </row>
    <row r="340" spans="10:18">
      <c r="J340" s="1"/>
      <c r="K340" s="1"/>
      <c r="L340" s="1"/>
      <c r="M340" s="1"/>
      <c r="N340" s="1"/>
      <c r="O340" s="1"/>
      <c r="P340" s="1"/>
      <c r="Q340" s="1"/>
      <c r="R340" s="1"/>
    </row>
    <row r="341" spans="10:18">
      <c r="J341" s="1"/>
      <c r="K341" s="1"/>
      <c r="L341" s="1"/>
      <c r="M341" s="1"/>
      <c r="N341" s="1"/>
      <c r="O341" s="1"/>
      <c r="P341" s="1"/>
      <c r="Q341" s="1"/>
      <c r="R341" s="1"/>
    </row>
    <row r="342" spans="10:18">
      <c r="J342" s="1"/>
      <c r="K342" s="1"/>
      <c r="L342" s="1"/>
      <c r="M342" s="1"/>
      <c r="N342" s="1"/>
      <c r="O342" s="1"/>
      <c r="P342" s="1"/>
      <c r="Q342" s="1"/>
      <c r="R342" s="1"/>
    </row>
    <row r="343" spans="10:18">
      <c r="J343" s="1"/>
      <c r="K343" s="1"/>
      <c r="L343" s="1"/>
      <c r="M343" s="1"/>
      <c r="N343" s="1"/>
      <c r="O343" s="1"/>
      <c r="P343" s="1"/>
      <c r="Q343" s="1"/>
      <c r="R343" s="1"/>
    </row>
    <row r="344" spans="10:18">
      <c r="J344" s="1"/>
      <c r="K344" s="1"/>
      <c r="L344" s="1"/>
      <c r="M344" s="1"/>
      <c r="N344" s="1"/>
      <c r="O344" s="1"/>
      <c r="P344" s="1"/>
      <c r="Q344" s="1"/>
      <c r="R344" s="1"/>
    </row>
    <row r="345" spans="10:18">
      <c r="J345" s="1"/>
      <c r="K345" s="1"/>
      <c r="L345" s="1"/>
      <c r="M345" s="1"/>
      <c r="N345" s="1"/>
      <c r="O345" s="1"/>
      <c r="P345" s="1"/>
      <c r="Q345" s="1"/>
      <c r="R345" s="1"/>
    </row>
    <row r="346" spans="10:18">
      <c r="J346" s="1"/>
      <c r="K346" s="1"/>
      <c r="L346" s="1"/>
      <c r="M346" s="1"/>
      <c r="N346" s="1"/>
      <c r="O346" s="1"/>
      <c r="P346" s="1"/>
      <c r="Q346" s="1"/>
      <c r="R346" s="1"/>
    </row>
    <row r="347" spans="10:18">
      <c r="J347" s="1"/>
      <c r="K347" s="1"/>
      <c r="L347" s="1"/>
      <c r="M347" s="1"/>
      <c r="N347" s="1"/>
      <c r="O347" s="1"/>
      <c r="P347" s="1"/>
      <c r="Q347" s="1"/>
      <c r="R347" s="1"/>
    </row>
    <row r="348" spans="10:18">
      <c r="J348" s="1"/>
      <c r="K348" s="1"/>
      <c r="L348" s="1"/>
      <c r="M348" s="1"/>
      <c r="N348" s="1"/>
      <c r="O348" s="1"/>
      <c r="P348" s="1"/>
      <c r="Q348" s="1"/>
      <c r="R348" s="1"/>
    </row>
    <row r="349" spans="10:18">
      <c r="J349" s="1"/>
      <c r="K349" s="1"/>
      <c r="L349" s="1"/>
      <c r="M349" s="1"/>
      <c r="N349" s="1"/>
      <c r="O349" s="1"/>
      <c r="P349" s="1"/>
      <c r="Q349" s="1"/>
      <c r="R349" s="1"/>
    </row>
    <row r="350" spans="10:18">
      <c r="J350" s="1"/>
      <c r="K350" s="1"/>
      <c r="L350" s="1"/>
      <c r="M350" s="1"/>
      <c r="N350" s="1"/>
      <c r="O350" s="1"/>
      <c r="P350" s="1"/>
      <c r="Q350" s="1"/>
      <c r="R350" s="1"/>
    </row>
    <row r="351" spans="10:18">
      <c r="J351" s="1"/>
      <c r="K351" s="1"/>
      <c r="L351" s="1"/>
      <c r="M351" s="1"/>
      <c r="N351" s="1"/>
      <c r="O351" s="1"/>
      <c r="P351" s="1"/>
      <c r="Q351" s="1"/>
      <c r="R351" s="1"/>
    </row>
    <row r="352" spans="10:18">
      <c r="J352" s="1"/>
      <c r="K352" s="1"/>
      <c r="L352" s="1"/>
      <c r="M352" s="1"/>
      <c r="N352" s="1"/>
      <c r="O352" s="1"/>
      <c r="P352" s="1"/>
      <c r="Q352" s="1"/>
      <c r="R352" s="1"/>
    </row>
    <row r="353" spans="10:18">
      <c r="J353" s="1"/>
      <c r="K353" s="1"/>
      <c r="L353" s="1"/>
      <c r="M353" s="1"/>
      <c r="N353" s="1"/>
      <c r="O353" s="1"/>
      <c r="P353" s="1"/>
      <c r="Q353" s="1"/>
      <c r="R353" s="1"/>
    </row>
    <row r="354" spans="10:18">
      <c r="J354" s="1"/>
      <c r="K354" s="1"/>
      <c r="L354" s="1"/>
      <c r="M354" s="1"/>
      <c r="N354" s="1"/>
      <c r="O354" s="1"/>
      <c r="P354" s="1"/>
      <c r="Q354" s="1"/>
      <c r="R354" s="1"/>
    </row>
    <row r="355" spans="10:18">
      <c r="J355" s="1"/>
      <c r="K355" s="1"/>
      <c r="L355" s="1"/>
      <c r="M355" s="1"/>
      <c r="N355" s="1"/>
      <c r="O355" s="1"/>
      <c r="P355" s="1"/>
      <c r="Q355" s="1"/>
      <c r="R355" s="1"/>
    </row>
    <row r="356" spans="10:18">
      <c r="J356" s="1"/>
      <c r="K356" s="1"/>
      <c r="L356" s="1"/>
      <c r="M356" s="1"/>
      <c r="N356" s="1"/>
      <c r="O356" s="1"/>
      <c r="P356" s="1"/>
      <c r="Q356" s="1"/>
      <c r="R356" s="1"/>
    </row>
    <row r="357" spans="10:18">
      <c r="J357" s="1"/>
      <c r="K357" s="1"/>
      <c r="L357" s="1"/>
      <c r="M357" s="1"/>
      <c r="N357" s="1"/>
      <c r="O357" s="1"/>
      <c r="P357" s="1"/>
      <c r="Q357" s="1"/>
      <c r="R357" s="1"/>
    </row>
    <row r="358" spans="10:18">
      <c r="J358" s="1"/>
      <c r="K358" s="1"/>
      <c r="L358" s="1"/>
      <c r="M358" s="1"/>
      <c r="N358" s="1"/>
      <c r="O358" s="1"/>
      <c r="P358" s="1"/>
      <c r="Q358" s="1"/>
      <c r="R358" s="1"/>
    </row>
    <row r="359" spans="10:18">
      <c r="J359" s="1"/>
      <c r="K359" s="1"/>
      <c r="L359" s="1"/>
      <c r="M359" s="1"/>
      <c r="N359" s="1"/>
      <c r="O359" s="1"/>
      <c r="P359" s="1"/>
      <c r="Q359" s="1"/>
      <c r="R359" s="1"/>
    </row>
    <row r="360" spans="10:18">
      <c r="J360" s="1"/>
      <c r="K360" s="1"/>
      <c r="L360" s="1"/>
      <c r="M360" s="1"/>
      <c r="N360" s="1"/>
      <c r="O360" s="1"/>
      <c r="P360" s="1"/>
      <c r="Q360" s="1"/>
      <c r="R360" s="1"/>
    </row>
    <row r="361" spans="10:18">
      <c r="J361" s="1"/>
      <c r="K361" s="1"/>
      <c r="L361" s="1"/>
      <c r="M361" s="1"/>
      <c r="N361" s="1"/>
      <c r="O361" s="1"/>
      <c r="P361" s="1"/>
      <c r="Q361" s="1"/>
      <c r="R361" s="1"/>
    </row>
    <row r="362" spans="10:18">
      <c r="J362" s="1"/>
      <c r="K362" s="1"/>
      <c r="L362" s="1"/>
      <c r="M362" s="1"/>
      <c r="N362" s="1"/>
      <c r="O362" s="1"/>
      <c r="P362" s="1"/>
      <c r="Q362" s="1"/>
      <c r="R362" s="1"/>
    </row>
    <row r="363" spans="10:18">
      <c r="J363" s="1"/>
      <c r="K363" s="1"/>
      <c r="L363" s="1"/>
      <c r="M363" s="1"/>
      <c r="N363" s="1"/>
      <c r="O363" s="1"/>
      <c r="P363" s="1"/>
      <c r="Q363" s="1"/>
      <c r="R363" s="1"/>
    </row>
    <row r="364" spans="10:18">
      <c r="J364" s="1"/>
      <c r="K364" s="1"/>
      <c r="L364" s="1"/>
      <c r="M364" s="1"/>
      <c r="N364" s="1"/>
      <c r="O364" s="1"/>
      <c r="P364" s="1"/>
      <c r="Q364" s="1"/>
      <c r="R364" s="1"/>
    </row>
    <row r="365" spans="10:18">
      <c r="J365" s="1"/>
      <c r="K365" s="1"/>
      <c r="L365" s="1"/>
      <c r="M365" s="1"/>
      <c r="N365" s="1"/>
      <c r="O365" s="1"/>
      <c r="P365" s="1"/>
      <c r="Q365" s="1"/>
      <c r="R365" s="1"/>
    </row>
    <row r="366" spans="10:18">
      <c r="J366" s="1"/>
      <c r="K366" s="1"/>
      <c r="L366" s="1"/>
      <c r="M366" s="1"/>
      <c r="N366" s="1"/>
      <c r="O366" s="1"/>
      <c r="P366" s="1"/>
      <c r="Q366" s="1"/>
      <c r="R366" s="1"/>
    </row>
    <row r="367" spans="10:18">
      <c r="J367" s="1"/>
      <c r="K367" s="1"/>
      <c r="L367" s="1"/>
      <c r="M367" s="1"/>
      <c r="N367" s="1"/>
      <c r="O367" s="1"/>
      <c r="P367" s="1"/>
      <c r="Q367" s="1"/>
      <c r="R367" s="1"/>
    </row>
    <row r="368" spans="10:18">
      <c r="J368" s="1"/>
      <c r="K368" s="1"/>
      <c r="L368" s="1"/>
      <c r="M368" s="1"/>
      <c r="N368" s="1"/>
      <c r="O368" s="1"/>
      <c r="P368" s="1"/>
      <c r="Q368" s="1"/>
      <c r="R368" s="1"/>
    </row>
    <row r="369" spans="10:18">
      <c r="J369" s="1"/>
      <c r="K369" s="1"/>
      <c r="L369" s="1"/>
      <c r="M369" s="1"/>
      <c r="N369" s="1"/>
      <c r="O369" s="1"/>
      <c r="P369" s="1"/>
      <c r="Q369" s="1"/>
      <c r="R369" s="1"/>
    </row>
    <row r="370" spans="10:18">
      <c r="J370" s="1"/>
      <c r="K370" s="1"/>
      <c r="L370" s="1"/>
      <c r="M370" s="1"/>
      <c r="N370" s="1"/>
      <c r="O370" s="1"/>
      <c r="P370" s="1"/>
      <c r="Q370" s="1"/>
      <c r="R370" s="1"/>
    </row>
    <row r="371" spans="10:18">
      <c r="J371" s="1"/>
      <c r="K371" s="1"/>
      <c r="L371" s="1"/>
      <c r="M371" s="1"/>
      <c r="N371" s="1"/>
      <c r="O371" s="1"/>
      <c r="P371" s="1"/>
      <c r="Q371" s="1"/>
      <c r="R371" s="1"/>
    </row>
    <row r="372" spans="10:18">
      <c r="J372" s="1"/>
      <c r="K372" s="1"/>
      <c r="L372" s="1"/>
      <c r="M372" s="1"/>
      <c r="N372" s="1"/>
      <c r="O372" s="1"/>
      <c r="P372" s="1"/>
      <c r="Q372" s="1"/>
      <c r="R372" s="1"/>
    </row>
    <row r="373" spans="10:18">
      <c r="J373" s="1"/>
      <c r="K373" s="1"/>
      <c r="L373" s="1"/>
      <c r="M373" s="1"/>
      <c r="N373" s="1"/>
      <c r="O373" s="1"/>
      <c r="P373" s="1"/>
      <c r="Q373" s="1"/>
      <c r="R373" s="1"/>
    </row>
    <row r="374" spans="10:18">
      <c r="J374" s="1"/>
      <c r="K374" s="1"/>
      <c r="L374" s="1"/>
      <c r="M374" s="1"/>
      <c r="N374" s="1"/>
      <c r="O374" s="1"/>
      <c r="P374" s="1"/>
      <c r="Q374" s="1"/>
      <c r="R374" s="1"/>
    </row>
    <row r="375" spans="10:18">
      <c r="J375" s="1"/>
      <c r="K375" s="1"/>
      <c r="L375" s="1"/>
      <c r="M375" s="1"/>
      <c r="N375" s="1"/>
      <c r="O375" s="1"/>
      <c r="P375" s="1"/>
      <c r="Q375" s="1"/>
      <c r="R375" s="1"/>
    </row>
    <row r="376" spans="10:18">
      <c r="J376" s="1"/>
      <c r="K376" s="1"/>
      <c r="L376" s="1"/>
      <c r="M376" s="1"/>
      <c r="N376" s="1"/>
      <c r="O376" s="1"/>
      <c r="P376" s="1"/>
      <c r="Q376" s="1"/>
      <c r="R376" s="1"/>
    </row>
    <row r="377" spans="10:18">
      <c r="J377" s="1"/>
      <c r="K377" s="1"/>
      <c r="L377" s="1"/>
      <c r="M377" s="1"/>
      <c r="N377" s="1"/>
      <c r="O377" s="1"/>
      <c r="P377" s="1"/>
      <c r="Q377" s="1"/>
      <c r="R377" s="1"/>
    </row>
    <row r="378" spans="10:18">
      <c r="J378" s="1"/>
      <c r="K378" s="1"/>
      <c r="L378" s="1"/>
      <c r="M378" s="1"/>
      <c r="N378" s="1"/>
      <c r="O378" s="1"/>
      <c r="P378" s="1"/>
      <c r="Q378" s="1"/>
      <c r="R378" s="1"/>
    </row>
    <row r="379" spans="10:18">
      <c r="J379" s="1"/>
      <c r="K379" s="1"/>
      <c r="L379" s="1"/>
      <c r="M379" s="1"/>
      <c r="N379" s="1"/>
      <c r="O379" s="1"/>
      <c r="P379" s="1"/>
      <c r="Q379" s="1"/>
      <c r="R379" s="1"/>
    </row>
    <row r="380" spans="10:18">
      <c r="J380" s="1"/>
      <c r="K380" s="1"/>
      <c r="L380" s="1"/>
      <c r="M380" s="1"/>
      <c r="N380" s="1"/>
      <c r="O380" s="1"/>
      <c r="P380" s="1"/>
      <c r="Q380" s="1"/>
      <c r="R380" s="1"/>
    </row>
    <row r="381" spans="10:18">
      <c r="J381" s="1"/>
      <c r="K381" s="1"/>
      <c r="L381" s="1"/>
      <c r="M381" s="1"/>
      <c r="N381" s="1"/>
      <c r="O381" s="1"/>
      <c r="P381" s="1"/>
      <c r="Q381" s="1"/>
      <c r="R381" s="1"/>
    </row>
    <row r="382" spans="10:18">
      <c r="J382" s="1"/>
      <c r="K382" s="1"/>
      <c r="L382" s="1"/>
      <c r="M382" s="1"/>
      <c r="N382" s="1"/>
      <c r="O382" s="1"/>
      <c r="P382" s="1"/>
      <c r="Q382" s="1"/>
      <c r="R382" s="1"/>
    </row>
    <row r="383" spans="10:18">
      <c r="J383" s="1"/>
      <c r="K383" s="1"/>
      <c r="L383" s="1"/>
      <c r="M383" s="1"/>
      <c r="N383" s="1"/>
      <c r="O383" s="1"/>
      <c r="P383" s="1"/>
      <c r="Q383" s="1"/>
      <c r="R383" s="1"/>
    </row>
    <row r="384" spans="10:18">
      <c r="J384" s="1"/>
      <c r="K384" s="1"/>
      <c r="L384" s="1"/>
      <c r="M384" s="1"/>
      <c r="N384" s="1"/>
      <c r="O384" s="1"/>
      <c r="P384" s="1"/>
      <c r="Q384" s="1"/>
      <c r="R384" s="1"/>
    </row>
    <row r="385" spans="10:18">
      <c r="J385" s="1"/>
      <c r="K385" s="1"/>
      <c r="L385" s="1"/>
      <c r="M385" s="1"/>
      <c r="N385" s="1"/>
      <c r="O385" s="1"/>
      <c r="P385" s="1"/>
      <c r="Q385" s="1"/>
      <c r="R385" s="1"/>
    </row>
    <row r="386" spans="10:18">
      <c r="J386" s="1"/>
      <c r="K386" s="1"/>
      <c r="L386" s="1"/>
      <c r="M386" s="1"/>
      <c r="N386" s="1"/>
      <c r="O386" s="1"/>
      <c r="P386" s="1"/>
      <c r="Q386" s="1"/>
      <c r="R386" s="1"/>
    </row>
    <row r="387" spans="10:18">
      <c r="J387" s="1"/>
      <c r="K387" s="1"/>
      <c r="L387" s="1"/>
      <c r="M387" s="1"/>
      <c r="N387" s="1"/>
      <c r="O387" s="1"/>
      <c r="P387" s="1"/>
      <c r="Q387" s="1"/>
      <c r="R387" s="1"/>
    </row>
    <row r="388" spans="10:18">
      <c r="J388" s="1"/>
      <c r="K388" s="1"/>
      <c r="L388" s="1"/>
      <c r="M388" s="1"/>
      <c r="N388" s="1"/>
      <c r="O388" s="1"/>
      <c r="P388" s="1"/>
      <c r="Q388" s="1"/>
      <c r="R388" s="1"/>
    </row>
    <row r="389" spans="10:18">
      <c r="J389" s="1"/>
      <c r="K389" s="1"/>
      <c r="L389" s="1"/>
      <c r="M389" s="1"/>
      <c r="N389" s="1"/>
      <c r="O389" s="1"/>
      <c r="P389" s="1"/>
      <c r="Q389" s="1"/>
      <c r="R389" s="1"/>
    </row>
    <row r="390" spans="10:18">
      <c r="J390" s="1"/>
      <c r="K390" s="1"/>
      <c r="L390" s="1"/>
      <c r="M390" s="1"/>
      <c r="N390" s="1"/>
      <c r="O390" s="1"/>
      <c r="P390" s="1"/>
      <c r="Q390" s="1"/>
      <c r="R390" s="1"/>
    </row>
    <row r="391" spans="10:18">
      <c r="J391" s="1"/>
      <c r="K391" s="1"/>
      <c r="L391" s="1"/>
      <c r="M391" s="1"/>
      <c r="N391" s="1"/>
      <c r="O391" s="1"/>
      <c r="P391" s="1"/>
      <c r="Q391" s="1"/>
      <c r="R391" s="1"/>
    </row>
    <row r="392" spans="10:18">
      <c r="J392" s="1"/>
      <c r="K392" s="1"/>
      <c r="L392" s="1"/>
      <c r="M392" s="1"/>
      <c r="N392" s="1"/>
      <c r="O392" s="1"/>
      <c r="P392" s="1"/>
      <c r="Q392" s="1"/>
      <c r="R392" s="1"/>
    </row>
    <row r="393" spans="10:18">
      <c r="J393" s="1"/>
      <c r="K393" s="1"/>
      <c r="L393" s="1"/>
      <c r="M393" s="1"/>
      <c r="N393" s="1"/>
      <c r="O393" s="1"/>
      <c r="P393" s="1"/>
      <c r="Q393" s="1"/>
      <c r="R393" s="1"/>
    </row>
    <row r="394" spans="10:18">
      <c r="J394" s="1"/>
      <c r="K394" s="1"/>
      <c r="L394" s="1"/>
      <c r="M394" s="1"/>
      <c r="N394" s="1"/>
      <c r="O394" s="1"/>
      <c r="P394" s="1"/>
      <c r="Q394" s="1"/>
      <c r="R394" s="1"/>
    </row>
    <row r="395" spans="10:18">
      <c r="J395" s="1"/>
      <c r="K395" s="1"/>
      <c r="L395" s="1"/>
      <c r="M395" s="1"/>
      <c r="N395" s="1"/>
      <c r="O395" s="1"/>
      <c r="P395" s="1"/>
      <c r="Q395" s="1"/>
      <c r="R395" s="1"/>
    </row>
    <row r="396" spans="10:18">
      <c r="J396" s="1"/>
      <c r="K396" s="1"/>
      <c r="L396" s="1"/>
      <c r="M396" s="1"/>
      <c r="N396" s="1"/>
      <c r="O396" s="1"/>
      <c r="P396" s="1"/>
      <c r="Q396" s="1"/>
      <c r="R396" s="1"/>
    </row>
    <row r="397" spans="10:18">
      <c r="J397" s="1"/>
      <c r="K397" s="1"/>
      <c r="L397" s="1"/>
      <c r="M397" s="1"/>
      <c r="N397" s="1"/>
      <c r="O397" s="1"/>
      <c r="P397" s="1"/>
      <c r="Q397" s="1"/>
      <c r="R397" s="1"/>
    </row>
    <row r="398" spans="10:18">
      <c r="J398" s="1"/>
      <c r="K398" s="1"/>
      <c r="L398" s="1"/>
      <c r="M398" s="1"/>
      <c r="N398" s="1"/>
      <c r="O398" s="1"/>
      <c r="P398" s="1"/>
      <c r="Q398" s="1"/>
      <c r="R398" s="1"/>
    </row>
    <row r="399" spans="10:18">
      <c r="J399" s="1"/>
      <c r="K399" s="1"/>
      <c r="L399" s="1"/>
      <c r="M399" s="1"/>
      <c r="N399" s="1"/>
      <c r="O399" s="1"/>
      <c r="P399" s="1"/>
      <c r="Q399" s="1"/>
      <c r="R399" s="1"/>
    </row>
    <row r="400" spans="10:18">
      <c r="J400" s="1"/>
      <c r="K400" s="1"/>
      <c r="L400" s="1"/>
      <c r="M400" s="1"/>
      <c r="N400" s="1"/>
      <c r="O400" s="1"/>
      <c r="P400" s="1"/>
      <c r="Q400" s="1"/>
      <c r="R400" s="1"/>
    </row>
    <row r="401" spans="10:18">
      <c r="J401" s="1"/>
      <c r="K401" s="1"/>
      <c r="L401" s="1"/>
      <c r="M401" s="1"/>
      <c r="N401" s="1"/>
      <c r="O401" s="1"/>
      <c r="P401" s="1"/>
      <c r="Q401" s="1"/>
      <c r="R401" s="1"/>
    </row>
    <row r="402" spans="10:18">
      <c r="J402" s="1"/>
      <c r="K402" s="1"/>
      <c r="L402" s="1"/>
      <c r="M402" s="1"/>
      <c r="N402" s="1"/>
      <c r="O402" s="1"/>
      <c r="P402" s="1"/>
      <c r="Q402" s="1"/>
      <c r="R402" s="1"/>
    </row>
    <row r="403" spans="10:18">
      <c r="J403" s="1"/>
      <c r="K403" s="1"/>
      <c r="L403" s="1"/>
      <c r="M403" s="1"/>
      <c r="N403" s="1"/>
      <c r="O403" s="1"/>
      <c r="P403" s="1"/>
      <c r="Q403" s="1"/>
      <c r="R403" s="1"/>
    </row>
    <row r="404" spans="10:18">
      <c r="J404" s="1"/>
      <c r="K404" s="1"/>
      <c r="L404" s="1"/>
      <c r="M404" s="1"/>
      <c r="N404" s="1"/>
      <c r="O404" s="1"/>
      <c r="P404" s="1"/>
      <c r="Q404" s="1"/>
      <c r="R404" s="1"/>
    </row>
    <row r="405" spans="10:18">
      <c r="J405" s="1"/>
      <c r="K405" s="1"/>
      <c r="L405" s="1"/>
      <c r="M405" s="1"/>
      <c r="N405" s="1"/>
      <c r="O405" s="1"/>
      <c r="P405" s="1"/>
      <c r="Q405" s="1"/>
      <c r="R405" s="1"/>
    </row>
    <row r="406" spans="10:18">
      <c r="J406" s="1"/>
      <c r="K406" s="1"/>
      <c r="L406" s="1"/>
      <c r="M406" s="1"/>
      <c r="N406" s="1"/>
      <c r="O406" s="1"/>
      <c r="P406" s="1"/>
      <c r="Q406" s="1"/>
      <c r="R406" s="1"/>
    </row>
    <row r="407" spans="10:18">
      <c r="J407" s="1"/>
      <c r="K407" s="1"/>
      <c r="L407" s="1"/>
      <c r="M407" s="1"/>
      <c r="N407" s="1"/>
      <c r="O407" s="1"/>
      <c r="P407" s="1"/>
      <c r="Q407" s="1"/>
      <c r="R407" s="1"/>
    </row>
    <row r="408" spans="10:18">
      <c r="J408" s="1"/>
      <c r="K408" s="1"/>
      <c r="L408" s="1"/>
      <c r="M408" s="1"/>
      <c r="N408" s="1"/>
      <c r="O408" s="1"/>
      <c r="P408" s="1"/>
      <c r="Q408" s="1"/>
      <c r="R408" s="1"/>
    </row>
    <row r="409" spans="10:18">
      <c r="J409" s="1"/>
      <c r="K409" s="1"/>
      <c r="L409" s="1"/>
      <c r="M409" s="1"/>
      <c r="N409" s="1"/>
      <c r="O409" s="1"/>
      <c r="P409" s="1"/>
      <c r="Q409" s="1"/>
      <c r="R409" s="1"/>
    </row>
    <row r="410" spans="10:18">
      <c r="J410" s="1"/>
      <c r="K410" s="1"/>
      <c r="L410" s="1"/>
      <c r="M410" s="1"/>
      <c r="N410" s="1"/>
      <c r="O410" s="1"/>
      <c r="P410" s="1"/>
      <c r="Q410" s="1"/>
      <c r="R410" s="1"/>
    </row>
    <row r="411" spans="10:18">
      <c r="J411" s="1"/>
      <c r="K411" s="1"/>
      <c r="L411" s="1"/>
      <c r="M411" s="1"/>
      <c r="N411" s="1"/>
      <c r="O411" s="1"/>
      <c r="P411" s="1"/>
      <c r="Q411" s="1"/>
      <c r="R411" s="1"/>
    </row>
    <row r="412" spans="10:18">
      <c r="J412" s="1"/>
      <c r="K412" s="1"/>
      <c r="L412" s="1"/>
      <c r="M412" s="1"/>
      <c r="N412" s="1"/>
      <c r="O412" s="1"/>
      <c r="P412" s="1"/>
      <c r="Q412" s="1"/>
      <c r="R412" s="1"/>
    </row>
    <row r="413" spans="10:18">
      <c r="J413" s="1"/>
      <c r="K413" s="1"/>
      <c r="L413" s="1"/>
      <c r="M413" s="1"/>
      <c r="N413" s="1"/>
      <c r="O413" s="1"/>
      <c r="P413" s="1"/>
      <c r="Q413" s="1"/>
      <c r="R413" s="1"/>
    </row>
    <row r="414" spans="10:18">
      <c r="J414" s="1"/>
      <c r="K414" s="1"/>
      <c r="L414" s="1"/>
      <c r="M414" s="1"/>
      <c r="N414" s="1"/>
      <c r="O414" s="1"/>
      <c r="P414" s="1"/>
      <c r="Q414" s="1"/>
      <c r="R414" s="1"/>
    </row>
    <row r="415" spans="10:18">
      <c r="J415" s="1"/>
      <c r="K415" s="1"/>
      <c r="L415" s="1"/>
      <c r="M415" s="1"/>
      <c r="N415" s="1"/>
      <c r="O415" s="1"/>
      <c r="P415" s="1"/>
      <c r="Q415" s="1"/>
      <c r="R415" s="1"/>
    </row>
    <row r="416" spans="10:18">
      <c r="J416" s="1"/>
      <c r="K416" s="1"/>
      <c r="L416" s="1"/>
      <c r="M416" s="1"/>
      <c r="N416" s="1"/>
      <c r="O416" s="1"/>
      <c r="P416" s="1"/>
      <c r="Q416" s="1"/>
      <c r="R416" s="1"/>
    </row>
    <row r="417" spans="10:18">
      <c r="J417" s="1"/>
      <c r="K417" s="1"/>
      <c r="L417" s="1"/>
      <c r="M417" s="1"/>
      <c r="N417" s="1"/>
      <c r="O417" s="1"/>
      <c r="P417" s="1"/>
      <c r="Q417" s="1"/>
      <c r="R417" s="1"/>
    </row>
    <row r="418" spans="10:18">
      <c r="J418" s="1"/>
      <c r="K418" s="1"/>
      <c r="L418" s="1"/>
      <c r="M418" s="1"/>
      <c r="N418" s="1"/>
      <c r="O418" s="1"/>
      <c r="P418" s="1"/>
      <c r="Q418" s="1"/>
      <c r="R418" s="1"/>
    </row>
    <row r="419" spans="10:18">
      <c r="J419" s="1"/>
      <c r="K419" s="1"/>
      <c r="L419" s="1"/>
      <c r="M419" s="1"/>
      <c r="N419" s="1"/>
      <c r="O419" s="1"/>
      <c r="P419" s="1"/>
      <c r="Q419" s="1"/>
      <c r="R419" s="1"/>
    </row>
    <row r="420" spans="10:18">
      <c r="J420" s="1"/>
      <c r="K420" s="1"/>
      <c r="L420" s="1"/>
      <c r="M420" s="1"/>
      <c r="N420" s="1"/>
      <c r="O420" s="1"/>
      <c r="P420" s="1"/>
      <c r="Q420" s="1"/>
      <c r="R420" s="1"/>
    </row>
    <row r="421" spans="10:18">
      <c r="J421" s="1"/>
      <c r="K421" s="1"/>
      <c r="L421" s="1"/>
      <c r="M421" s="1"/>
      <c r="N421" s="1"/>
      <c r="O421" s="1"/>
      <c r="P421" s="1"/>
      <c r="Q421" s="1"/>
      <c r="R421" s="1"/>
    </row>
    <row r="422" spans="10:18">
      <c r="J422" s="1"/>
      <c r="K422" s="1"/>
      <c r="L422" s="1"/>
      <c r="M422" s="1"/>
      <c r="N422" s="1"/>
      <c r="O422" s="1"/>
      <c r="P422" s="1"/>
      <c r="Q422" s="1"/>
      <c r="R422" s="1"/>
    </row>
    <row r="423" spans="10:18">
      <c r="J423" s="1"/>
      <c r="K423" s="1"/>
      <c r="L423" s="1"/>
      <c r="M423" s="1"/>
      <c r="N423" s="1"/>
      <c r="O423" s="1"/>
      <c r="P423" s="1"/>
      <c r="Q423" s="1"/>
      <c r="R423" s="1"/>
    </row>
    <row r="424" spans="10:18">
      <c r="J424" s="1"/>
      <c r="K424" s="1"/>
      <c r="L424" s="1"/>
      <c r="M424" s="1"/>
      <c r="N424" s="1"/>
      <c r="O424" s="1"/>
      <c r="P424" s="1"/>
      <c r="Q424" s="1"/>
      <c r="R424" s="1"/>
    </row>
    <row r="425" spans="10:18">
      <c r="J425" s="1"/>
      <c r="K425" s="1"/>
      <c r="L425" s="1"/>
      <c r="M425" s="1"/>
      <c r="N425" s="1"/>
      <c r="O425" s="1"/>
      <c r="P425" s="1"/>
      <c r="Q425" s="1"/>
      <c r="R425" s="1"/>
    </row>
    <row r="426" spans="10:18">
      <c r="J426" s="1"/>
      <c r="K426" s="1"/>
      <c r="L426" s="1"/>
      <c r="M426" s="1"/>
      <c r="N426" s="1"/>
      <c r="O426" s="1"/>
      <c r="P426" s="1"/>
      <c r="Q426" s="1"/>
      <c r="R426" s="1"/>
    </row>
    <row r="427" spans="10:18">
      <c r="J427" s="1"/>
      <c r="K427" s="1"/>
      <c r="L427" s="1"/>
      <c r="M427" s="1"/>
      <c r="N427" s="1"/>
      <c r="O427" s="1"/>
      <c r="P427" s="1"/>
      <c r="Q427" s="1"/>
      <c r="R427" s="1"/>
    </row>
    <row r="428" spans="10:18">
      <c r="J428" s="1"/>
      <c r="K428" s="1"/>
      <c r="L428" s="1"/>
      <c r="M428" s="1"/>
      <c r="N428" s="1"/>
      <c r="O428" s="1"/>
      <c r="P428" s="1"/>
      <c r="Q428" s="1"/>
      <c r="R428" s="1"/>
    </row>
    <row r="429" spans="10:18">
      <c r="J429" s="1"/>
      <c r="K429" s="1"/>
      <c r="L429" s="1"/>
      <c r="M429" s="1"/>
      <c r="N429" s="1"/>
      <c r="O429" s="1"/>
      <c r="P429" s="1"/>
      <c r="Q429" s="1"/>
      <c r="R429" s="1"/>
    </row>
    <row r="430" spans="10:18">
      <c r="J430" s="1"/>
      <c r="K430" s="1"/>
      <c r="L430" s="1"/>
      <c r="M430" s="1"/>
      <c r="N430" s="1"/>
      <c r="O430" s="1"/>
      <c r="P430" s="1"/>
      <c r="Q430" s="1"/>
      <c r="R430" s="1"/>
    </row>
    <row r="431" spans="10:18">
      <c r="J431" s="1"/>
      <c r="K431" s="1"/>
      <c r="L431" s="1"/>
      <c r="M431" s="1"/>
      <c r="N431" s="1"/>
      <c r="O431" s="1"/>
      <c r="P431" s="1"/>
      <c r="Q431" s="1"/>
      <c r="R431" s="1"/>
    </row>
    <row r="432" spans="10:18">
      <c r="J432" s="1"/>
      <c r="K432" s="1"/>
      <c r="L432" s="1"/>
      <c r="M432" s="1"/>
      <c r="N432" s="1"/>
      <c r="O432" s="1"/>
      <c r="P432" s="1"/>
      <c r="Q432" s="1"/>
      <c r="R432" s="1"/>
    </row>
    <row r="433" spans="10:18">
      <c r="J433" s="1"/>
      <c r="K433" s="1"/>
      <c r="L433" s="1"/>
      <c r="M433" s="1"/>
      <c r="N433" s="1"/>
      <c r="O433" s="1"/>
      <c r="P433" s="1"/>
      <c r="Q433" s="1"/>
      <c r="R433" s="1"/>
    </row>
    <row r="434" spans="10:18">
      <c r="J434" s="1"/>
      <c r="K434" s="1"/>
      <c r="L434" s="1"/>
      <c r="M434" s="1"/>
      <c r="N434" s="1"/>
      <c r="O434" s="1"/>
      <c r="P434" s="1"/>
      <c r="Q434" s="1"/>
      <c r="R434" s="1"/>
    </row>
    <row r="435" spans="10:18">
      <c r="J435" s="1"/>
      <c r="K435" s="1"/>
      <c r="L435" s="1"/>
      <c r="M435" s="1"/>
      <c r="N435" s="1"/>
      <c r="O435" s="1"/>
      <c r="P435" s="1"/>
      <c r="Q435" s="1"/>
      <c r="R435" s="1"/>
    </row>
    <row r="436" spans="10:18">
      <c r="J436" s="1"/>
      <c r="K436" s="1"/>
      <c r="L436" s="1"/>
      <c r="M436" s="1"/>
      <c r="N436" s="1"/>
      <c r="O436" s="1"/>
      <c r="P436" s="1"/>
      <c r="Q436" s="1"/>
      <c r="R436" s="1"/>
    </row>
    <row r="437" spans="10:18">
      <c r="J437" s="1"/>
      <c r="K437" s="1"/>
      <c r="L437" s="1"/>
      <c r="M437" s="1"/>
      <c r="N437" s="1"/>
      <c r="O437" s="1"/>
      <c r="P437" s="1"/>
      <c r="Q437" s="1"/>
      <c r="R437" s="1"/>
    </row>
    <row r="438" spans="10:18">
      <c r="J438" s="1"/>
      <c r="K438" s="1"/>
      <c r="L438" s="1"/>
      <c r="M438" s="1"/>
      <c r="N438" s="1"/>
      <c r="O438" s="1"/>
      <c r="P438" s="1"/>
      <c r="Q438" s="1"/>
      <c r="R438" s="1"/>
    </row>
    <row r="439" spans="10:18">
      <c r="J439" s="1"/>
      <c r="K439" s="1"/>
      <c r="L439" s="1"/>
      <c r="M439" s="1"/>
      <c r="N439" s="1"/>
      <c r="O439" s="1"/>
      <c r="P439" s="1"/>
      <c r="Q439" s="1"/>
      <c r="R439" s="1"/>
    </row>
    <row r="440" spans="10:18">
      <c r="J440" s="1"/>
      <c r="K440" s="1"/>
      <c r="L440" s="1"/>
      <c r="M440" s="1"/>
      <c r="N440" s="1"/>
      <c r="O440" s="1"/>
      <c r="P440" s="1"/>
      <c r="Q440" s="1"/>
      <c r="R440" s="1"/>
    </row>
    <row r="441" spans="10:18">
      <c r="J441" s="1"/>
      <c r="K441" s="1"/>
      <c r="L441" s="1"/>
      <c r="M441" s="1"/>
      <c r="N441" s="1"/>
      <c r="O441" s="1"/>
      <c r="P441" s="1"/>
      <c r="Q441" s="1"/>
      <c r="R441" s="1"/>
    </row>
    <row r="442" spans="10:18">
      <c r="J442" s="1"/>
      <c r="K442" s="1"/>
      <c r="L442" s="1"/>
      <c r="M442" s="1"/>
      <c r="N442" s="1"/>
      <c r="O442" s="1"/>
      <c r="P442" s="1"/>
      <c r="Q442" s="1"/>
      <c r="R442" s="1"/>
    </row>
    <row r="443" spans="10:18">
      <c r="J443" s="1"/>
      <c r="K443" s="1"/>
      <c r="L443" s="1"/>
      <c r="M443" s="1"/>
      <c r="N443" s="1"/>
      <c r="O443" s="1"/>
      <c r="P443" s="1"/>
      <c r="Q443" s="1"/>
      <c r="R443" s="1"/>
    </row>
    <row r="444" spans="10:18">
      <c r="J444" s="1"/>
      <c r="K444" s="1"/>
      <c r="L444" s="1"/>
      <c r="M444" s="1"/>
      <c r="N444" s="1"/>
      <c r="O444" s="1"/>
      <c r="P444" s="1"/>
      <c r="Q444" s="1"/>
      <c r="R444" s="1"/>
    </row>
    <row r="445" spans="10:18">
      <c r="J445" s="1"/>
      <c r="K445" s="1"/>
      <c r="L445" s="1"/>
      <c r="M445" s="1"/>
      <c r="N445" s="1"/>
      <c r="O445" s="1"/>
      <c r="P445" s="1"/>
      <c r="Q445" s="1"/>
      <c r="R445" s="1"/>
    </row>
    <row r="446" spans="10:18">
      <c r="J446" s="1"/>
      <c r="K446" s="1"/>
      <c r="L446" s="1"/>
      <c r="M446" s="1"/>
      <c r="N446" s="1"/>
      <c r="O446" s="1"/>
      <c r="P446" s="1"/>
      <c r="Q446" s="1"/>
      <c r="R446" s="1"/>
    </row>
    <row r="447" spans="10:18">
      <c r="J447" s="1"/>
      <c r="K447" s="1"/>
      <c r="L447" s="1"/>
      <c r="M447" s="1"/>
      <c r="N447" s="1"/>
      <c r="O447" s="1"/>
      <c r="P447" s="1"/>
      <c r="Q447" s="1"/>
      <c r="R447" s="1"/>
    </row>
    <row r="448" spans="10:18">
      <c r="J448" s="1"/>
      <c r="K448" s="1"/>
      <c r="L448" s="1"/>
      <c r="M448" s="1"/>
      <c r="N448" s="1"/>
      <c r="O448" s="1"/>
      <c r="P448" s="1"/>
      <c r="Q448" s="1"/>
      <c r="R448" s="1"/>
    </row>
    <row r="449" spans="10:18">
      <c r="J449" s="1"/>
      <c r="K449" s="1"/>
      <c r="L449" s="1"/>
      <c r="M449" s="1"/>
      <c r="N449" s="1"/>
      <c r="O449" s="1"/>
      <c r="P449" s="1"/>
      <c r="Q449" s="1"/>
      <c r="R449" s="1"/>
    </row>
    <row r="450" spans="10:18">
      <c r="J450" s="1"/>
      <c r="K450" s="1"/>
      <c r="L450" s="1"/>
      <c r="M450" s="1"/>
      <c r="N450" s="1"/>
      <c r="O450" s="1"/>
      <c r="P450" s="1"/>
      <c r="Q450" s="1"/>
      <c r="R450" s="1"/>
    </row>
    <row r="451" spans="10:18">
      <c r="J451" s="1"/>
      <c r="K451" s="1"/>
      <c r="L451" s="1"/>
      <c r="M451" s="1"/>
      <c r="N451" s="1"/>
      <c r="O451" s="1"/>
      <c r="P451" s="1"/>
      <c r="Q451" s="1"/>
      <c r="R451" s="1"/>
    </row>
    <row r="452" spans="10:18">
      <c r="J452" s="1"/>
      <c r="K452" s="1"/>
      <c r="L452" s="1"/>
      <c r="M452" s="1"/>
      <c r="N452" s="1"/>
      <c r="O452" s="1"/>
      <c r="P452" s="1"/>
      <c r="Q452" s="1"/>
      <c r="R452" s="1"/>
    </row>
    <row r="453" spans="10:18">
      <c r="J453" s="1"/>
      <c r="K453" s="1"/>
      <c r="L453" s="1"/>
      <c r="M453" s="1"/>
      <c r="N453" s="1"/>
      <c r="O453" s="1"/>
      <c r="P453" s="1"/>
      <c r="Q453" s="1"/>
      <c r="R453" s="1"/>
    </row>
    <row r="454" spans="10:18">
      <c r="J454" s="1"/>
      <c r="K454" s="1"/>
      <c r="L454" s="1"/>
      <c r="M454" s="1"/>
      <c r="N454" s="1"/>
      <c r="O454" s="1"/>
      <c r="P454" s="1"/>
      <c r="Q454" s="1"/>
      <c r="R454" s="1"/>
    </row>
    <row r="455" spans="10:18">
      <c r="J455" s="1"/>
      <c r="K455" s="1"/>
      <c r="L455" s="1"/>
      <c r="M455" s="1"/>
      <c r="N455" s="1"/>
      <c r="O455" s="1"/>
      <c r="P455" s="1"/>
      <c r="Q455" s="1"/>
      <c r="R455" s="1"/>
    </row>
    <row r="456" spans="10:18">
      <c r="J456" s="1"/>
      <c r="K456" s="1"/>
      <c r="L456" s="1"/>
      <c r="M456" s="1"/>
      <c r="N456" s="1"/>
      <c r="O456" s="1"/>
      <c r="P456" s="1"/>
      <c r="Q456" s="1"/>
      <c r="R456" s="1"/>
    </row>
    <row r="457" spans="10:18">
      <c r="J457" s="1"/>
      <c r="K457" s="1"/>
      <c r="L457" s="1"/>
      <c r="M457" s="1"/>
      <c r="N457" s="1"/>
      <c r="O457" s="1"/>
      <c r="P457" s="1"/>
      <c r="Q457" s="1"/>
      <c r="R457" s="1"/>
    </row>
    <row r="458" spans="10:18">
      <c r="J458" s="1"/>
      <c r="K458" s="1"/>
      <c r="L458" s="1"/>
      <c r="M458" s="1"/>
      <c r="N458" s="1"/>
      <c r="O458" s="1"/>
      <c r="P458" s="1"/>
      <c r="Q458" s="1"/>
      <c r="R458" s="1"/>
    </row>
    <row r="459" spans="10:18">
      <c r="J459" s="1"/>
      <c r="K459" s="1"/>
      <c r="L459" s="1"/>
      <c r="M459" s="1"/>
      <c r="N459" s="1"/>
      <c r="O459" s="1"/>
      <c r="P459" s="1"/>
      <c r="Q459" s="1"/>
      <c r="R459" s="1"/>
    </row>
    <row r="460" spans="10:18">
      <c r="J460" s="1"/>
      <c r="K460" s="1"/>
      <c r="L460" s="1"/>
      <c r="M460" s="1"/>
      <c r="N460" s="1"/>
      <c r="O460" s="1"/>
      <c r="P460" s="1"/>
      <c r="Q460" s="1"/>
      <c r="R460" s="1"/>
    </row>
    <row r="461" spans="10:18">
      <c r="J461" s="1"/>
      <c r="K461" s="1"/>
      <c r="L461" s="1"/>
      <c r="M461" s="1"/>
      <c r="N461" s="1"/>
      <c r="O461" s="1"/>
      <c r="P461" s="1"/>
      <c r="Q461" s="1"/>
      <c r="R461" s="1"/>
    </row>
    <row r="462" spans="10:18">
      <c r="J462" s="1"/>
      <c r="K462" s="1"/>
      <c r="L462" s="1"/>
      <c r="M462" s="1"/>
      <c r="N462" s="1"/>
      <c r="O462" s="1"/>
      <c r="P462" s="1"/>
      <c r="Q462" s="1"/>
      <c r="R462" s="1"/>
    </row>
    <row r="463" spans="10:18">
      <c r="J463" s="1"/>
      <c r="K463" s="1"/>
      <c r="L463" s="1"/>
      <c r="M463" s="1"/>
      <c r="N463" s="1"/>
      <c r="O463" s="1"/>
      <c r="P463" s="1"/>
      <c r="Q463" s="1"/>
      <c r="R463" s="1"/>
    </row>
    <row r="464" spans="10:18">
      <c r="J464" s="1"/>
      <c r="K464" s="1"/>
      <c r="L464" s="1"/>
      <c r="M464" s="1"/>
      <c r="N464" s="1"/>
      <c r="O464" s="1"/>
      <c r="P464" s="1"/>
      <c r="Q464" s="1"/>
      <c r="R464" s="1"/>
    </row>
    <row r="465" spans="10:18">
      <c r="J465" s="1"/>
      <c r="K465" s="1"/>
      <c r="L465" s="1"/>
      <c r="M465" s="1"/>
      <c r="N465" s="1"/>
      <c r="O465" s="1"/>
      <c r="P465" s="1"/>
      <c r="Q465" s="1"/>
      <c r="R465" s="1"/>
    </row>
    <row r="466" spans="10:18">
      <c r="J466" s="1"/>
      <c r="K466" s="1"/>
      <c r="L466" s="1"/>
      <c r="M466" s="1"/>
      <c r="N466" s="1"/>
      <c r="O466" s="1"/>
      <c r="P466" s="1"/>
      <c r="Q466" s="1"/>
      <c r="R466" s="1"/>
    </row>
    <row r="467" spans="10:18">
      <c r="J467" s="1"/>
      <c r="K467" s="1"/>
      <c r="L467" s="1"/>
      <c r="M467" s="1"/>
      <c r="N467" s="1"/>
      <c r="O467" s="1"/>
      <c r="P467" s="1"/>
      <c r="Q467" s="1"/>
      <c r="R467" s="1"/>
    </row>
    <row r="468" spans="10:18">
      <c r="J468" s="1"/>
      <c r="K468" s="1"/>
      <c r="L468" s="1"/>
      <c r="M468" s="1"/>
      <c r="N468" s="1"/>
      <c r="O468" s="1"/>
      <c r="P468" s="1"/>
      <c r="Q468" s="1"/>
      <c r="R468" s="1"/>
    </row>
    <row r="469" spans="10:18">
      <c r="J469" s="1"/>
      <c r="K469" s="1"/>
      <c r="L469" s="1"/>
      <c r="M469" s="1"/>
      <c r="N469" s="1"/>
      <c r="O469" s="1"/>
      <c r="P469" s="1"/>
      <c r="Q469" s="1"/>
      <c r="R469" s="1"/>
    </row>
    <row r="470" spans="10:18">
      <c r="J470" s="1"/>
      <c r="K470" s="1"/>
      <c r="L470" s="1"/>
      <c r="M470" s="1"/>
      <c r="N470" s="1"/>
      <c r="O470" s="1"/>
      <c r="P470" s="1"/>
      <c r="Q470" s="1"/>
      <c r="R470" s="1"/>
    </row>
    <row r="471" spans="10:18">
      <c r="J471" s="1"/>
      <c r="K471" s="1"/>
      <c r="L471" s="1"/>
      <c r="M471" s="1"/>
      <c r="N471" s="1"/>
      <c r="O471" s="1"/>
      <c r="P471" s="1"/>
      <c r="Q471" s="1"/>
      <c r="R471" s="1"/>
    </row>
    <row r="472" spans="10:18">
      <c r="J472" s="1"/>
      <c r="K472" s="1"/>
      <c r="L472" s="1"/>
      <c r="M472" s="1"/>
      <c r="N472" s="1"/>
      <c r="O472" s="1"/>
      <c r="P472" s="1"/>
      <c r="Q472" s="1"/>
      <c r="R472" s="1"/>
    </row>
    <row r="473" spans="10:18">
      <c r="J473" s="1"/>
      <c r="K473" s="1"/>
      <c r="L473" s="1"/>
      <c r="M473" s="1"/>
      <c r="N473" s="1"/>
      <c r="O473" s="1"/>
      <c r="P473" s="1"/>
      <c r="Q473" s="1"/>
      <c r="R473" s="1"/>
    </row>
    <row r="474" spans="10:18">
      <c r="J474" s="1"/>
      <c r="K474" s="1"/>
      <c r="L474" s="1"/>
      <c r="M474" s="1"/>
      <c r="N474" s="1"/>
      <c r="O474" s="1"/>
      <c r="P474" s="1"/>
      <c r="Q474" s="1"/>
      <c r="R474" s="1"/>
    </row>
    <row r="475" spans="10:18">
      <c r="J475" s="1"/>
      <c r="K475" s="1"/>
      <c r="L475" s="1"/>
      <c r="M475" s="1"/>
      <c r="N475" s="1"/>
      <c r="O475" s="1"/>
      <c r="P475" s="1"/>
      <c r="Q475" s="1"/>
      <c r="R475" s="1"/>
    </row>
    <row r="476" spans="10:18">
      <c r="J476" s="1"/>
      <c r="K476" s="1"/>
      <c r="L476" s="1"/>
      <c r="M476" s="1"/>
      <c r="N476" s="1"/>
      <c r="O476" s="1"/>
      <c r="P476" s="1"/>
      <c r="Q476" s="1"/>
      <c r="R476" s="1"/>
    </row>
    <row r="477" spans="10:18">
      <c r="J477" s="1"/>
      <c r="K477" s="1"/>
      <c r="L477" s="1"/>
      <c r="M477" s="1"/>
      <c r="N477" s="1"/>
      <c r="O477" s="1"/>
      <c r="P477" s="1"/>
      <c r="Q477" s="1"/>
      <c r="R477" s="1"/>
    </row>
    <row r="478" spans="10:18">
      <c r="J478" s="1"/>
      <c r="K478" s="1"/>
      <c r="L478" s="1"/>
      <c r="M478" s="1"/>
      <c r="N478" s="1"/>
      <c r="O478" s="1"/>
      <c r="P478" s="1"/>
      <c r="Q478" s="1"/>
      <c r="R478" s="1"/>
    </row>
    <row r="479" spans="10:18">
      <c r="J479" s="1"/>
      <c r="K479" s="1"/>
      <c r="L479" s="1"/>
      <c r="M479" s="1"/>
      <c r="N479" s="1"/>
      <c r="O479" s="1"/>
      <c r="P479" s="1"/>
      <c r="Q479" s="1"/>
      <c r="R479" s="1"/>
    </row>
    <row r="480" spans="10:18">
      <c r="J480" s="1"/>
      <c r="K480" s="1"/>
      <c r="L480" s="1"/>
      <c r="M480" s="1"/>
      <c r="N480" s="1"/>
      <c r="O480" s="1"/>
      <c r="P480" s="1"/>
      <c r="Q480" s="1"/>
      <c r="R480" s="1"/>
    </row>
    <row r="481" spans="10:18">
      <c r="J481" s="1"/>
      <c r="K481" s="1"/>
      <c r="L481" s="1"/>
      <c r="M481" s="1"/>
      <c r="N481" s="1"/>
      <c r="O481" s="1"/>
      <c r="P481" s="1"/>
      <c r="Q481" s="1"/>
      <c r="R481" s="1"/>
    </row>
    <row r="482" spans="10:18">
      <c r="J482" s="1"/>
      <c r="K482" s="1"/>
      <c r="L482" s="1"/>
      <c r="M482" s="1"/>
      <c r="N482" s="1"/>
      <c r="O482" s="1"/>
      <c r="P482" s="1"/>
      <c r="Q482" s="1"/>
      <c r="R482" s="1"/>
    </row>
    <row r="483" spans="10:18">
      <c r="J483" s="1"/>
      <c r="K483" s="1"/>
      <c r="L483" s="1"/>
      <c r="M483" s="1"/>
      <c r="N483" s="1"/>
      <c r="O483" s="1"/>
      <c r="P483" s="1"/>
      <c r="Q483" s="1"/>
      <c r="R483" s="1"/>
    </row>
    <row r="484" spans="10:18">
      <c r="J484" s="1"/>
      <c r="K484" s="1"/>
      <c r="L484" s="1"/>
      <c r="M484" s="1"/>
      <c r="N484" s="1"/>
      <c r="O484" s="1"/>
      <c r="P484" s="1"/>
      <c r="Q484" s="1"/>
      <c r="R484" s="1"/>
    </row>
    <row r="485" spans="10:18">
      <c r="J485" s="1"/>
      <c r="K485" s="1"/>
      <c r="L485" s="1"/>
      <c r="M485" s="1"/>
      <c r="N485" s="1"/>
      <c r="O485" s="1"/>
      <c r="P485" s="1"/>
      <c r="Q485" s="1"/>
      <c r="R485" s="1"/>
    </row>
    <row r="486" spans="10:18">
      <c r="J486" s="1"/>
      <c r="K486" s="1"/>
      <c r="L486" s="1"/>
      <c r="M486" s="1"/>
      <c r="N486" s="1"/>
      <c r="O486" s="1"/>
      <c r="P486" s="1"/>
      <c r="Q486" s="1"/>
      <c r="R486" s="1"/>
    </row>
    <row r="487" spans="10:18">
      <c r="J487" s="1"/>
      <c r="K487" s="1"/>
      <c r="L487" s="1"/>
      <c r="M487" s="1"/>
      <c r="N487" s="1"/>
      <c r="O487" s="1"/>
      <c r="P487" s="1"/>
      <c r="Q487" s="1"/>
      <c r="R487" s="1"/>
    </row>
    <row r="488" spans="10:18">
      <c r="J488" s="1"/>
      <c r="K488" s="1"/>
      <c r="L488" s="1"/>
      <c r="M488" s="1"/>
      <c r="N488" s="1"/>
      <c r="O488" s="1"/>
      <c r="P488" s="1"/>
      <c r="Q488" s="1"/>
      <c r="R488" s="1"/>
    </row>
    <row r="489" spans="10:18">
      <c r="J489" s="1"/>
      <c r="K489" s="1"/>
      <c r="L489" s="1"/>
      <c r="M489" s="1"/>
      <c r="N489" s="1"/>
      <c r="O489" s="1"/>
      <c r="P489" s="1"/>
      <c r="Q489" s="1"/>
      <c r="R489" s="1"/>
    </row>
    <row r="490" spans="10:18">
      <c r="J490" s="1"/>
      <c r="K490" s="1"/>
      <c r="L490" s="1"/>
      <c r="M490" s="1"/>
      <c r="N490" s="1"/>
      <c r="O490" s="1"/>
      <c r="P490" s="1"/>
      <c r="Q490" s="1"/>
      <c r="R490" s="1"/>
    </row>
    <row r="491" spans="10:18">
      <c r="J491" s="1"/>
      <c r="K491" s="1"/>
      <c r="L491" s="1"/>
      <c r="M491" s="1"/>
      <c r="N491" s="1"/>
      <c r="O491" s="1"/>
      <c r="P491" s="1"/>
      <c r="Q491" s="1"/>
      <c r="R491" s="1"/>
    </row>
    <row r="492" spans="10:18">
      <c r="J492" s="1"/>
      <c r="K492" s="1"/>
      <c r="L492" s="1"/>
      <c r="M492" s="1"/>
      <c r="N492" s="1"/>
      <c r="O492" s="1"/>
      <c r="P492" s="1"/>
      <c r="Q492" s="1"/>
      <c r="R492" s="1"/>
    </row>
    <row r="493" spans="10:18">
      <c r="J493" s="1"/>
      <c r="K493" s="1"/>
      <c r="L493" s="1"/>
      <c r="M493" s="1"/>
      <c r="N493" s="1"/>
      <c r="O493" s="1"/>
      <c r="P493" s="1"/>
      <c r="Q493" s="1"/>
      <c r="R493" s="1"/>
    </row>
    <row r="494" spans="10:18">
      <c r="J494" s="1"/>
      <c r="K494" s="1"/>
      <c r="L494" s="1"/>
      <c r="M494" s="1"/>
      <c r="N494" s="1"/>
      <c r="O494" s="1"/>
      <c r="P494" s="1"/>
      <c r="Q494" s="1"/>
      <c r="R494" s="1"/>
    </row>
    <row r="495" spans="10:18">
      <c r="J495" s="1"/>
      <c r="K495" s="1"/>
      <c r="L495" s="1"/>
      <c r="M495" s="1"/>
      <c r="N495" s="1"/>
      <c r="O495" s="1"/>
      <c r="P495" s="1"/>
      <c r="Q495" s="1"/>
      <c r="R495" s="1"/>
    </row>
    <row r="496" spans="10:18">
      <c r="J496" s="1"/>
      <c r="K496" s="1"/>
      <c r="L496" s="1"/>
      <c r="M496" s="1"/>
      <c r="N496" s="1"/>
      <c r="O496" s="1"/>
      <c r="P496" s="1"/>
      <c r="Q496" s="1"/>
      <c r="R496" s="1"/>
    </row>
    <row r="497" spans="10:18">
      <c r="J497" s="1"/>
      <c r="K497" s="1"/>
      <c r="L497" s="1"/>
      <c r="M497" s="1"/>
      <c r="N497" s="1"/>
      <c r="O497" s="1"/>
      <c r="P497" s="1"/>
      <c r="Q497" s="1"/>
      <c r="R497" s="1"/>
    </row>
    <row r="498" spans="10:18">
      <c r="J498" s="1"/>
      <c r="K498" s="1"/>
      <c r="L498" s="1"/>
      <c r="M498" s="1"/>
      <c r="N498" s="1"/>
      <c r="O498" s="1"/>
      <c r="P498" s="1"/>
      <c r="Q498" s="1"/>
      <c r="R498" s="1"/>
    </row>
    <row r="499" spans="10:18">
      <c r="J499" s="1"/>
      <c r="K499" s="1"/>
      <c r="L499" s="1"/>
      <c r="M499" s="1"/>
      <c r="N499" s="1"/>
      <c r="O499" s="1"/>
      <c r="P499" s="1"/>
      <c r="Q499" s="1"/>
      <c r="R499" s="1"/>
    </row>
    <row r="500" spans="10:18">
      <c r="J500" s="1"/>
      <c r="K500" s="1"/>
      <c r="L500" s="1"/>
      <c r="M500" s="1"/>
      <c r="N500" s="1"/>
      <c r="O500" s="1"/>
      <c r="P500" s="1"/>
      <c r="Q500" s="1"/>
      <c r="R500" s="1"/>
    </row>
    <row r="501" spans="10:18">
      <c r="J501" s="1"/>
      <c r="K501" s="1"/>
      <c r="L501" s="1"/>
      <c r="M501" s="1"/>
      <c r="N501" s="1"/>
      <c r="O501" s="1"/>
      <c r="P501" s="1"/>
      <c r="Q501" s="1"/>
      <c r="R501" s="1"/>
    </row>
    <row r="502" spans="10:18">
      <c r="J502" s="1"/>
      <c r="K502" s="1"/>
      <c r="L502" s="1"/>
      <c r="M502" s="1"/>
      <c r="N502" s="1"/>
      <c r="O502" s="1"/>
      <c r="P502" s="1"/>
      <c r="Q502" s="1"/>
      <c r="R502" s="1"/>
    </row>
    <row r="503" spans="10:18">
      <c r="J503" s="1"/>
      <c r="K503" s="1"/>
      <c r="L503" s="1"/>
      <c r="M503" s="1"/>
      <c r="N503" s="1"/>
      <c r="O503" s="1"/>
      <c r="P503" s="1"/>
      <c r="Q503" s="1"/>
      <c r="R503" s="1"/>
    </row>
    <row r="504" spans="10:18">
      <c r="J504" s="1"/>
      <c r="K504" s="1"/>
      <c r="L504" s="1"/>
      <c r="M504" s="1"/>
      <c r="N504" s="1"/>
      <c r="O504" s="1"/>
      <c r="P504" s="1"/>
      <c r="Q504" s="1"/>
      <c r="R504" s="1"/>
    </row>
    <row r="505" spans="10:18">
      <c r="J505" s="1"/>
      <c r="K505" s="1"/>
      <c r="L505" s="1"/>
      <c r="M505" s="1"/>
      <c r="N505" s="1"/>
      <c r="O505" s="1"/>
      <c r="P505" s="1"/>
      <c r="Q505" s="1"/>
      <c r="R505" s="1"/>
    </row>
    <row r="506" spans="10:18">
      <c r="J506" s="1"/>
      <c r="K506" s="1"/>
      <c r="L506" s="1"/>
      <c r="M506" s="1"/>
      <c r="N506" s="1"/>
      <c r="O506" s="1"/>
      <c r="P506" s="1"/>
      <c r="Q506" s="1"/>
      <c r="R506" s="1"/>
    </row>
    <row r="507" spans="10:18">
      <c r="J507" s="1"/>
      <c r="K507" s="1"/>
      <c r="L507" s="1"/>
      <c r="M507" s="1"/>
      <c r="N507" s="1"/>
      <c r="O507" s="1"/>
      <c r="P507" s="1"/>
      <c r="Q507" s="1"/>
      <c r="R507" s="1"/>
    </row>
    <row r="508" spans="10:18">
      <c r="J508" s="1"/>
      <c r="K508" s="1"/>
      <c r="L508" s="1"/>
      <c r="M508" s="1"/>
      <c r="N508" s="1"/>
      <c r="O508" s="1"/>
      <c r="P508" s="1"/>
      <c r="Q508" s="1"/>
      <c r="R508" s="1"/>
    </row>
    <row r="509" spans="10:18">
      <c r="J509" s="1"/>
      <c r="K509" s="1"/>
      <c r="L509" s="1"/>
      <c r="M509" s="1"/>
      <c r="N509" s="1"/>
      <c r="O509" s="1"/>
      <c r="P509" s="1"/>
      <c r="Q509" s="1"/>
      <c r="R509" s="1"/>
    </row>
    <row r="510" spans="10:18">
      <c r="J510" s="1"/>
      <c r="K510" s="1"/>
      <c r="L510" s="1"/>
      <c r="M510" s="1"/>
      <c r="N510" s="1"/>
      <c r="O510" s="1"/>
      <c r="P510" s="1"/>
      <c r="Q510" s="1"/>
      <c r="R510" s="1"/>
    </row>
    <row r="511" spans="10:18">
      <c r="J511" s="1"/>
      <c r="K511" s="1"/>
      <c r="L511" s="1"/>
      <c r="M511" s="1"/>
      <c r="N511" s="1"/>
      <c r="O511" s="1"/>
      <c r="P511" s="1"/>
      <c r="Q511" s="1"/>
      <c r="R511" s="1"/>
    </row>
    <row r="512" spans="10:18">
      <c r="J512" s="1"/>
      <c r="K512" s="1"/>
      <c r="L512" s="1"/>
      <c r="M512" s="1"/>
      <c r="N512" s="1"/>
      <c r="O512" s="1"/>
      <c r="P512" s="1"/>
      <c r="Q512" s="1"/>
      <c r="R512" s="1"/>
    </row>
    <row r="513" spans="10:18">
      <c r="J513" s="1"/>
      <c r="K513" s="1"/>
      <c r="L513" s="1"/>
      <c r="M513" s="1"/>
      <c r="N513" s="1"/>
      <c r="O513" s="1"/>
      <c r="P513" s="1"/>
      <c r="Q513" s="1"/>
      <c r="R513" s="1"/>
    </row>
    <row r="514" spans="10:18">
      <c r="J514" s="1"/>
      <c r="K514" s="1"/>
      <c r="L514" s="1"/>
      <c r="M514" s="1"/>
      <c r="N514" s="1"/>
      <c r="O514" s="1"/>
      <c r="P514" s="1"/>
      <c r="Q514" s="1"/>
      <c r="R514" s="1"/>
    </row>
    <row r="515" spans="10:18">
      <c r="J515" s="1"/>
      <c r="K515" s="1"/>
      <c r="L515" s="1"/>
      <c r="M515" s="1"/>
      <c r="N515" s="1"/>
      <c r="O515" s="1"/>
      <c r="P515" s="1"/>
      <c r="Q515" s="1"/>
      <c r="R515" s="1"/>
    </row>
    <row r="516" spans="10:18">
      <c r="J516" s="1"/>
      <c r="K516" s="1"/>
      <c r="L516" s="1"/>
      <c r="M516" s="1"/>
      <c r="N516" s="1"/>
      <c r="O516" s="1"/>
      <c r="P516" s="1"/>
      <c r="Q516" s="1"/>
      <c r="R516" s="1"/>
    </row>
    <row r="517" spans="10:18">
      <c r="J517" s="1"/>
      <c r="K517" s="1"/>
      <c r="L517" s="1"/>
      <c r="M517" s="1"/>
      <c r="N517" s="1"/>
      <c r="O517" s="1"/>
      <c r="P517" s="1"/>
      <c r="Q517" s="1"/>
      <c r="R517" s="1"/>
    </row>
    <row r="518" spans="10:18">
      <c r="J518" s="1"/>
      <c r="K518" s="1"/>
      <c r="L518" s="1"/>
      <c r="M518" s="1"/>
      <c r="N518" s="1"/>
      <c r="O518" s="1"/>
      <c r="P518" s="1"/>
      <c r="Q518" s="1"/>
      <c r="R518" s="1"/>
    </row>
    <row r="519" spans="10:18">
      <c r="J519" s="1"/>
      <c r="K519" s="1"/>
      <c r="L519" s="1"/>
      <c r="M519" s="1"/>
      <c r="N519" s="1"/>
      <c r="O519" s="1"/>
      <c r="P519" s="1"/>
      <c r="Q519" s="1"/>
      <c r="R519" s="1"/>
    </row>
    <row r="520" spans="10:18">
      <c r="J520" s="1"/>
      <c r="K520" s="1"/>
      <c r="L520" s="1"/>
      <c r="M520" s="1"/>
      <c r="N520" s="1"/>
      <c r="O520" s="1"/>
      <c r="P520" s="1"/>
      <c r="Q520" s="1"/>
      <c r="R520" s="1"/>
    </row>
    <row r="521" spans="10:18">
      <c r="J521" s="1"/>
      <c r="K521" s="1"/>
      <c r="L521" s="1"/>
      <c r="M521" s="1"/>
      <c r="N521" s="1"/>
      <c r="O521" s="1"/>
      <c r="P521" s="1"/>
      <c r="Q521" s="1"/>
      <c r="R521" s="1"/>
    </row>
    <row r="522" spans="10:18">
      <c r="J522" s="1"/>
      <c r="K522" s="1"/>
      <c r="L522" s="1"/>
      <c r="M522" s="1"/>
      <c r="N522" s="1"/>
      <c r="O522" s="1"/>
      <c r="P522" s="1"/>
      <c r="Q522" s="1"/>
      <c r="R522" s="1"/>
    </row>
    <row r="523" spans="10:18">
      <c r="J523" s="1"/>
      <c r="K523" s="1"/>
      <c r="L523" s="1"/>
      <c r="M523" s="1"/>
      <c r="N523" s="1"/>
      <c r="O523" s="1"/>
      <c r="P523" s="1"/>
      <c r="Q523" s="1"/>
      <c r="R523" s="1"/>
    </row>
    <row r="524" spans="10:18">
      <c r="J524" s="1"/>
      <c r="K524" s="1"/>
      <c r="L524" s="1"/>
      <c r="M524" s="1"/>
      <c r="N524" s="1"/>
      <c r="O524" s="1"/>
      <c r="P524" s="1"/>
      <c r="Q524" s="1"/>
      <c r="R524" s="1"/>
    </row>
    <row r="525" spans="10:18">
      <c r="J525" s="1"/>
      <c r="K525" s="1"/>
      <c r="L525" s="1"/>
      <c r="M525" s="1"/>
      <c r="N525" s="1"/>
      <c r="O525" s="1"/>
      <c r="P525" s="1"/>
      <c r="Q525" s="1"/>
      <c r="R525" s="1"/>
    </row>
    <row r="526" spans="10:18">
      <c r="J526" s="1"/>
      <c r="K526" s="1"/>
      <c r="L526" s="1"/>
      <c r="M526" s="1"/>
      <c r="N526" s="1"/>
      <c r="O526" s="1"/>
      <c r="P526" s="1"/>
      <c r="Q526" s="1"/>
      <c r="R526" s="1"/>
    </row>
    <row r="527" spans="10:18">
      <c r="J527" s="1"/>
      <c r="K527" s="1"/>
      <c r="L527" s="1"/>
      <c r="M527" s="1"/>
      <c r="N527" s="1"/>
      <c r="O527" s="1"/>
      <c r="P527" s="1"/>
      <c r="Q527" s="1"/>
      <c r="R527" s="1"/>
    </row>
    <row r="528" spans="10:18">
      <c r="J528" s="1"/>
      <c r="K528" s="1"/>
      <c r="L528" s="1"/>
      <c r="M528" s="1"/>
      <c r="N528" s="1"/>
      <c r="O528" s="1"/>
      <c r="P528" s="1"/>
      <c r="Q528" s="1"/>
      <c r="R528" s="1"/>
    </row>
    <row r="529" spans="10:18">
      <c r="J529" s="1"/>
      <c r="K529" s="1"/>
      <c r="L529" s="1"/>
      <c r="M529" s="1"/>
      <c r="N529" s="1"/>
      <c r="O529" s="1"/>
      <c r="P529" s="1"/>
      <c r="Q529" s="1"/>
      <c r="R529" s="1"/>
    </row>
    <row r="530" spans="10:18">
      <c r="J530" s="1"/>
      <c r="K530" s="1"/>
      <c r="L530" s="1"/>
      <c r="M530" s="1"/>
      <c r="N530" s="1"/>
      <c r="O530" s="1"/>
      <c r="P530" s="1"/>
      <c r="Q530" s="1"/>
      <c r="R530" s="1"/>
    </row>
    <row r="531" spans="10:18">
      <c r="J531" s="1"/>
      <c r="K531" s="1"/>
      <c r="L531" s="1"/>
      <c r="M531" s="1"/>
      <c r="N531" s="1"/>
      <c r="O531" s="1"/>
      <c r="P531" s="1"/>
      <c r="Q531" s="1"/>
      <c r="R531" s="1"/>
    </row>
    <row r="532" spans="10:18">
      <c r="J532" s="1"/>
      <c r="K532" s="1"/>
      <c r="L532" s="1"/>
      <c r="M532" s="1"/>
      <c r="N532" s="1"/>
      <c r="O532" s="1"/>
      <c r="P532" s="1"/>
      <c r="Q532" s="1"/>
      <c r="R532" s="1"/>
    </row>
    <row r="533" spans="10:18">
      <c r="J533" s="1"/>
      <c r="K533" s="1"/>
      <c r="L533" s="1"/>
      <c r="M533" s="1"/>
      <c r="N533" s="1"/>
      <c r="O533" s="1"/>
      <c r="P533" s="1"/>
      <c r="Q533" s="1"/>
      <c r="R533" s="1"/>
    </row>
    <row r="534" spans="10:18">
      <c r="J534" s="1"/>
      <c r="K534" s="1"/>
      <c r="L534" s="1"/>
      <c r="M534" s="1"/>
      <c r="N534" s="1"/>
      <c r="O534" s="1"/>
      <c r="P534" s="1"/>
      <c r="Q534" s="1"/>
      <c r="R534" s="1"/>
    </row>
    <row r="535" spans="10:18">
      <c r="J535" s="1"/>
      <c r="K535" s="1"/>
      <c r="L535" s="1"/>
      <c r="M535" s="1"/>
      <c r="N535" s="1"/>
      <c r="O535" s="1"/>
      <c r="P535" s="1"/>
      <c r="Q535" s="1"/>
      <c r="R535" s="1"/>
    </row>
    <row r="536" spans="10:18">
      <c r="J536" s="1"/>
      <c r="K536" s="1"/>
      <c r="L536" s="1"/>
      <c r="M536" s="1"/>
      <c r="N536" s="1"/>
      <c r="O536" s="1"/>
      <c r="P536" s="1"/>
      <c r="Q536" s="1"/>
      <c r="R536" s="1"/>
    </row>
    <row r="537" spans="10:18">
      <c r="J537" s="1"/>
      <c r="K537" s="1"/>
      <c r="L537" s="1"/>
      <c r="M537" s="1"/>
      <c r="N537" s="1"/>
      <c r="O537" s="1"/>
      <c r="P537" s="1"/>
      <c r="Q537" s="1"/>
      <c r="R537" s="1"/>
    </row>
    <row r="538" spans="10:18">
      <c r="J538" s="1"/>
      <c r="K538" s="1"/>
      <c r="L538" s="1"/>
      <c r="M538" s="1"/>
      <c r="N538" s="1"/>
      <c r="O538" s="1"/>
      <c r="P538" s="1"/>
      <c r="Q538" s="1"/>
      <c r="R538" s="1"/>
    </row>
    <row r="539" spans="10:18">
      <c r="J539" s="1"/>
      <c r="K539" s="1"/>
      <c r="L539" s="1"/>
      <c r="M539" s="1"/>
      <c r="N539" s="1"/>
      <c r="O539" s="1"/>
      <c r="P539" s="1"/>
      <c r="Q539" s="1"/>
      <c r="R539" s="1"/>
    </row>
    <row r="540" spans="10:18">
      <c r="J540" s="1"/>
      <c r="K540" s="1"/>
      <c r="L540" s="1"/>
      <c r="M540" s="1"/>
      <c r="N540" s="1"/>
      <c r="O540" s="1"/>
      <c r="P540" s="1"/>
      <c r="Q540" s="1"/>
      <c r="R540" s="1"/>
    </row>
    <row r="541" spans="10:18">
      <c r="J541" s="1"/>
      <c r="K541" s="1"/>
      <c r="L541" s="1"/>
      <c r="M541" s="1"/>
      <c r="N541" s="1"/>
      <c r="O541" s="1"/>
      <c r="P541" s="1"/>
      <c r="Q541" s="1"/>
      <c r="R541" s="1"/>
    </row>
    <row r="542" spans="10:18">
      <c r="J542" s="1"/>
      <c r="K542" s="1"/>
      <c r="L542" s="1"/>
      <c r="M542" s="1"/>
      <c r="N542" s="1"/>
      <c r="O542" s="1"/>
      <c r="P542" s="1"/>
      <c r="Q542" s="1"/>
      <c r="R542" s="1"/>
    </row>
    <row r="543" spans="10:18">
      <c r="J543" s="1"/>
      <c r="K543" s="1"/>
      <c r="L543" s="1"/>
      <c r="M543" s="1"/>
      <c r="N543" s="1"/>
      <c r="O543" s="1"/>
      <c r="P543" s="1"/>
      <c r="Q543" s="1"/>
      <c r="R543" s="1"/>
    </row>
    <row r="544" spans="10:18">
      <c r="J544" s="1"/>
      <c r="K544" s="1"/>
      <c r="L544" s="1"/>
      <c r="M544" s="1"/>
      <c r="N544" s="1"/>
      <c r="O544" s="1"/>
      <c r="P544" s="1"/>
      <c r="Q544" s="1"/>
      <c r="R544" s="1"/>
    </row>
    <row r="545" spans="10:18">
      <c r="J545" s="1"/>
      <c r="K545" s="1"/>
      <c r="L545" s="1"/>
      <c r="M545" s="1"/>
      <c r="N545" s="1"/>
      <c r="O545" s="1"/>
      <c r="P545" s="1"/>
      <c r="Q545" s="1"/>
      <c r="R545" s="1"/>
    </row>
    <row r="546" spans="10:18">
      <c r="J546" s="1"/>
      <c r="K546" s="1"/>
      <c r="L546" s="1"/>
      <c r="M546" s="1"/>
      <c r="N546" s="1"/>
      <c r="O546" s="1"/>
      <c r="P546" s="1"/>
      <c r="Q546" s="1"/>
      <c r="R546" s="1"/>
    </row>
    <row r="547" spans="10:18">
      <c r="J547" s="1"/>
      <c r="K547" s="1"/>
      <c r="L547" s="1"/>
      <c r="M547" s="1"/>
      <c r="N547" s="1"/>
      <c r="O547" s="1"/>
      <c r="P547" s="1"/>
      <c r="Q547" s="1"/>
      <c r="R547" s="1"/>
    </row>
    <row r="548" spans="10:18">
      <c r="J548" s="1"/>
      <c r="K548" s="1"/>
      <c r="L548" s="1"/>
      <c r="M548" s="1"/>
      <c r="N548" s="1"/>
      <c r="O548" s="1"/>
      <c r="P548" s="1"/>
      <c r="Q548" s="1"/>
      <c r="R548" s="1"/>
    </row>
    <row r="549" spans="10:18">
      <c r="J549" s="1"/>
      <c r="K549" s="1"/>
      <c r="L549" s="1"/>
      <c r="M549" s="1"/>
      <c r="N549" s="1"/>
      <c r="O549" s="1"/>
      <c r="P549" s="1"/>
      <c r="Q549" s="1"/>
      <c r="R549" s="1"/>
    </row>
    <row r="550" spans="10:18">
      <c r="J550" s="1"/>
      <c r="K550" s="1"/>
      <c r="L550" s="1"/>
      <c r="M550" s="1"/>
      <c r="N550" s="1"/>
      <c r="O550" s="1"/>
      <c r="P550" s="1"/>
      <c r="Q550" s="1"/>
      <c r="R550" s="1"/>
    </row>
    <row r="551" spans="10:18">
      <c r="J551" s="1"/>
      <c r="K551" s="1"/>
      <c r="L551" s="1"/>
      <c r="M551" s="1"/>
      <c r="N551" s="1"/>
      <c r="O551" s="1"/>
      <c r="P551" s="1"/>
      <c r="Q551" s="1"/>
      <c r="R551" s="1"/>
    </row>
    <row r="552" spans="10:18">
      <c r="J552" s="1"/>
      <c r="K552" s="1"/>
      <c r="L552" s="1"/>
      <c r="M552" s="1"/>
      <c r="N552" s="1"/>
      <c r="O552" s="1"/>
      <c r="P552" s="1"/>
      <c r="Q552" s="1"/>
      <c r="R552" s="1"/>
    </row>
    <row r="553" spans="10:18">
      <c r="J553" s="1"/>
      <c r="K553" s="1"/>
      <c r="L553" s="1"/>
      <c r="M553" s="1"/>
      <c r="N553" s="1"/>
      <c r="O553" s="1"/>
      <c r="P553" s="1"/>
      <c r="Q553" s="1"/>
      <c r="R553" s="1"/>
    </row>
    <row r="554" spans="10:18">
      <c r="J554" s="1"/>
      <c r="K554" s="1"/>
      <c r="L554" s="1"/>
      <c r="M554" s="1"/>
      <c r="N554" s="1"/>
      <c r="O554" s="1"/>
      <c r="P554" s="1"/>
      <c r="Q554" s="1"/>
      <c r="R554" s="1"/>
    </row>
    <row r="555" spans="10:18">
      <c r="J555" s="1"/>
      <c r="K555" s="1"/>
      <c r="L555" s="1"/>
      <c r="M555" s="1"/>
      <c r="N555" s="1"/>
      <c r="O555" s="1"/>
      <c r="P555" s="1"/>
      <c r="Q555" s="1"/>
      <c r="R555" s="1"/>
    </row>
    <row r="556" spans="10:18">
      <c r="J556" s="1"/>
      <c r="K556" s="1"/>
      <c r="L556" s="1"/>
      <c r="M556" s="1"/>
      <c r="N556" s="1"/>
      <c r="O556" s="1"/>
      <c r="P556" s="1"/>
      <c r="Q556" s="1"/>
      <c r="R556" s="1"/>
    </row>
    <row r="557" spans="10:18">
      <c r="J557" s="1"/>
      <c r="K557" s="1"/>
      <c r="L557" s="1"/>
      <c r="M557" s="1"/>
      <c r="N557" s="1"/>
      <c r="O557" s="1"/>
      <c r="P557" s="1"/>
      <c r="Q557" s="1"/>
      <c r="R557" s="1"/>
    </row>
    <row r="558" spans="10:18">
      <c r="J558" s="1"/>
      <c r="K558" s="1"/>
      <c r="L558" s="1"/>
      <c r="M558" s="1"/>
      <c r="N558" s="1"/>
      <c r="O558" s="1"/>
      <c r="P558" s="1"/>
      <c r="Q558" s="1"/>
      <c r="R558" s="1"/>
    </row>
    <row r="559" spans="10:18">
      <c r="J559" s="1"/>
      <c r="K559" s="1"/>
      <c r="L559" s="1"/>
      <c r="M559" s="1"/>
      <c r="N559" s="1"/>
      <c r="O559" s="1"/>
      <c r="P559" s="1"/>
      <c r="Q559" s="1"/>
      <c r="R559" s="1"/>
    </row>
    <row r="560" spans="10:18">
      <c r="J560" s="1"/>
      <c r="K560" s="1"/>
      <c r="L560" s="1"/>
      <c r="M560" s="1"/>
      <c r="N560" s="1"/>
      <c r="O560" s="1"/>
      <c r="P560" s="1"/>
      <c r="Q560" s="1"/>
      <c r="R560" s="1"/>
    </row>
    <row r="561" spans="10:18">
      <c r="J561" s="1"/>
      <c r="K561" s="1"/>
      <c r="L561" s="1"/>
      <c r="M561" s="1"/>
      <c r="N561" s="1"/>
      <c r="O561" s="1"/>
      <c r="P561" s="1"/>
      <c r="Q561" s="1"/>
      <c r="R561" s="1"/>
    </row>
    <row r="562" spans="10:18">
      <c r="J562" s="1"/>
      <c r="K562" s="1"/>
      <c r="L562" s="1"/>
      <c r="M562" s="1"/>
      <c r="N562" s="1"/>
      <c r="O562" s="1"/>
      <c r="P562" s="1"/>
      <c r="Q562" s="1"/>
      <c r="R562" s="1"/>
    </row>
    <row r="563" spans="10:18">
      <c r="J563" s="1"/>
      <c r="K563" s="1"/>
      <c r="L563" s="1"/>
      <c r="M563" s="1"/>
      <c r="N563" s="1"/>
      <c r="O563" s="1"/>
      <c r="P563" s="1"/>
      <c r="Q563" s="1"/>
      <c r="R563" s="1"/>
    </row>
    <row r="564" spans="10:18">
      <c r="J564" s="1"/>
      <c r="K564" s="1"/>
      <c r="L564" s="1"/>
      <c r="M564" s="1"/>
      <c r="N564" s="1"/>
      <c r="O564" s="1"/>
      <c r="P564" s="1"/>
      <c r="Q564" s="1"/>
      <c r="R564" s="1"/>
    </row>
    <row r="565" spans="10:18">
      <c r="J565" s="1"/>
      <c r="K565" s="1"/>
      <c r="L565" s="1"/>
      <c r="M565" s="1"/>
      <c r="N565" s="1"/>
      <c r="O565" s="1"/>
      <c r="P565" s="1"/>
      <c r="Q565" s="1"/>
      <c r="R565" s="1"/>
    </row>
    <row r="566" spans="10:18">
      <c r="J566" s="1"/>
      <c r="K566" s="1"/>
      <c r="L566" s="1"/>
      <c r="M566" s="1"/>
      <c r="N566" s="1"/>
      <c r="O566" s="1"/>
      <c r="P566" s="1"/>
      <c r="Q566" s="1"/>
      <c r="R566" s="1"/>
    </row>
    <row r="567" spans="10:18">
      <c r="J567" s="1"/>
      <c r="K567" s="1"/>
      <c r="L567" s="1"/>
      <c r="M567" s="1"/>
      <c r="N567" s="1"/>
      <c r="O567" s="1"/>
      <c r="P567" s="1"/>
      <c r="Q567" s="1"/>
      <c r="R567" s="1"/>
    </row>
    <row r="568" spans="10:18">
      <c r="J568" s="1"/>
      <c r="K568" s="1"/>
      <c r="L568" s="1"/>
      <c r="M568" s="1"/>
      <c r="N568" s="1"/>
      <c r="O568" s="1"/>
      <c r="P568" s="1"/>
      <c r="Q568" s="1"/>
      <c r="R568" s="1"/>
    </row>
    <row r="569" spans="10:18">
      <c r="J569" s="1"/>
      <c r="K569" s="1"/>
      <c r="L569" s="1"/>
      <c r="M569" s="1"/>
      <c r="N569" s="1"/>
      <c r="O569" s="1"/>
      <c r="P569" s="1"/>
      <c r="Q569" s="1"/>
      <c r="R569" s="1"/>
    </row>
    <row r="570" spans="10:18">
      <c r="J570" s="1"/>
      <c r="K570" s="1"/>
      <c r="L570" s="1"/>
      <c r="M570" s="1"/>
      <c r="N570" s="1"/>
      <c r="O570" s="1"/>
      <c r="P570" s="1"/>
      <c r="Q570" s="1"/>
      <c r="R570" s="1"/>
    </row>
    <row r="571" spans="10:18">
      <c r="J571" s="1"/>
      <c r="K571" s="1"/>
      <c r="L571" s="1"/>
      <c r="M571" s="1"/>
      <c r="N571" s="1"/>
      <c r="O571" s="1"/>
      <c r="P571" s="1"/>
      <c r="Q571" s="1"/>
      <c r="R571" s="1"/>
    </row>
    <row r="572" spans="10:18">
      <c r="J572" s="1"/>
      <c r="K572" s="1"/>
      <c r="L572" s="1"/>
      <c r="M572" s="1"/>
      <c r="N572" s="1"/>
      <c r="O572" s="1"/>
      <c r="P572" s="1"/>
      <c r="Q572" s="1"/>
      <c r="R572" s="1"/>
    </row>
    <row r="573" spans="10:18">
      <c r="J573" s="1"/>
      <c r="K573" s="1"/>
      <c r="L573" s="1"/>
      <c r="M573" s="1"/>
      <c r="N573" s="1"/>
      <c r="O573" s="1"/>
      <c r="P573" s="1"/>
      <c r="Q573" s="1"/>
      <c r="R573" s="1"/>
    </row>
    <row r="574" spans="10:18">
      <c r="J574" s="1"/>
      <c r="K574" s="1"/>
      <c r="L574" s="1"/>
      <c r="M574" s="1"/>
      <c r="N574" s="1"/>
      <c r="O574" s="1"/>
      <c r="P574" s="1"/>
      <c r="Q574" s="1"/>
      <c r="R574" s="1"/>
    </row>
    <row r="575" spans="10:18">
      <c r="J575" s="1"/>
      <c r="K575" s="1"/>
      <c r="L575" s="1"/>
      <c r="M575" s="1"/>
      <c r="N575" s="1"/>
      <c r="O575" s="1"/>
      <c r="P575" s="1"/>
      <c r="Q575" s="1"/>
      <c r="R575" s="1"/>
    </row>
    <row r="576" spans="10:18">
      <c r="J576" s="1"/>
      <c r="K576" s="1"/>
      <c r="L576" s="1"/>
      <c r="M576" s="1"/>
      <c r="N576" s="1"/>
      <c r="O576" s="1"/>
      <c r="P576" s="1"/>
      <c r="Q576" s="1"/>
      <c r="R576" s="1"/>
    </row>
    <row r="577" spans="10:18">
      <c r="J577" s="1"/>
      <c r="K577" s="1"/>
      <c r="L577" s="1"/>
      <c r="M577" s="1"/>
      <c r="N577" s="1"/>
      <c r="O577" s="1"/>
      <c r="P577" s="1"/>
      <c r="Q577" s="1"/>
      <c r="R577" s="1"/>
    </row>
    <row r="578" spans="10:18">
      <c r="J578" s="1"/>
      <c r="K578" s="1"/>
      <c r="L578" s="1"/>
      <c r="M578" s="1"/>
      <c r="N578" s="1"/>
      <c r="O578" s="1"/>
      <c r="P578" s="1"/>
      <c r="Q578" s="1"/>
      <c r="R578" s="1"/>
    </row>
    <row r="579" spans="10:18">
      <c r="J579" s="1"/>
      <c r="K579" s="1"/>
      <c r="L579" s="1"/>
      <c r="M579" s="1"/>
      <c r="N579" s="1"/>
      <c r="O579" s="1"/>
      <c r="P579" s="1"/>
      <c r="Q579" s="1"/>
      <c r="R579" s="1"/>
    </row>
    <row r="580" spans="10:18">
      <c r="J580" s="1"/>
      <c r="K580" s="1"/>
      <c r="L580" s="1"/>
      <c r="M580" s="1"/>
      <c r="N580" s="1"/>
      <c r="O580" s="1"/>
      <c r="P580" s="1"/>
      <c r="Q580" s="1"/>
      <c r="R580" s="1"/>
    </row>
    <row r="581" spans="10:18">
      <c r="J581" s="1"/>
      <c r="K581" s="1"/>
      <c r="L581" s="1"/>
      <c r="M581" s="1"/>
      <c r="N581" s="1"/>
      <c r="O581" s="1"/>
      <c r="P581" s="1"/>
      <c r="Q581" s="1"/>
      <c r="R581" s="1"/>
    </row>
    <row r="582" spans="10:18">
      <c r="J582" s="1"/>
      <c r="K582" s="1"/>
      <c r="L582" s="1"/>
      <c r="M582" s="1"/>
      <c r="N582" s="1"/>
      <c r="O582" s="1"/>
      <c r="P582" s="1"/>
      <c r="Q582" s="1"/>
      <c r="R582" s="1"/>
    </row>
    <row r="583" spans="10:18">
      <c r="J583" s="1"/>
      <c r="K583" s="1"/>
      <c r="L583" s="1"/>
      <c r="M583" s="1"/>
      <c r="N583" s="1"/>
      <c r="O583" s="1"/>
      <c r="P583" s="1"/>
      <c r="Q583" s="1"/>
      <c r="R583" s="1"/>
    </row>
    <row r="584" spans="10:18">
      <c r="J584" s="1"/>
      <c r="K584" s="1"/>
      <c r="L584" s="1"/>
      <c r="M584" s="1"/>
      <c r="N584" s="1"/>
      <c r="O584" s="1"/>
      <c r="P584" s="1"/>
      <c r="Q584" s="1"/>
      <c r="R584" s="1"/>
    </row>
    <row r="585" spans="10:18">
      <c r="J585" s="1"/>
      <c r="K585" s="1"/>
      <c r="L585" s="1"/>
      <c r="M585" s="1"/>
      <c r="N585" s="1"/>
      <c r="O585" s="1"/>
      <c r="P585" s="1"/>
      <c r="Q585" s="1"/>
      <c r="R585" s="1"/>
    </row>
    <row r="586" spans="10:18">
      <c r="J586" s="1"/>
      <c r="K586" s="1"/>
      <c r="L586" s="1"/>
      <c r="M586" s="1"/>
      <c r="N586" s="1"/>
      <c r="O586" s="1"/>
      <c r="P586" s="1"/>
      <c r="Q586" s="1"/>
      <c r="R586" s="1"/>
    </row>
    <row r="587" spans="10:18">
      <c r="J587" s="1"/>
      <c r="K587" s="1"/>
      <c r="L587" s="1"/>
      <c r="M587" s="1"/>
      <c r="N587" s="1"/>
      <c r="O587" s="1"/>
      <c r="P587" s="1"/>
      <c r="Q587" s="1"/>
      <c r="R587" s="1"/>
    </row>
    <row r="588" spans="10:18">
      <c r="J588" s="1"/>
      <c r="K588" s="1"/>
      <c r="L588" s="1"/>
      <c r="M588" s="1"/>
      <c r="N588" s="1"/>
      <c r="O588" s="1"/>
      <c r="P588" s="1"/>
      <c r="Q588" s="1"/>
      <c r="R588" s="1"/>
    </row>
    <row r="589" spans="10:18">
      <c r="J589" s="1"/>
      <c r="K589" s="1"/>
      <c r="L589" s="1"/>
      <c r="M589" s="1"/>
      <c r="N589" s="1"/>
      <c r="O589" s="1"/>
      <c r="P589" s="1"/>
      <c r="Q589" s="1"/>
      <c r="R589" s="1"/>
    </row>
    <row r="590" spans="10:18">
      <c r="J590" s="1"/>
      <c r="K590" s="1"/>
      <c r="L590" s="1"/>
      <c r="M590" s="1"/>
      <c r="N590" s="1"/>
      <c r="O590" s="1"/>
      <c r="P590" s="1"/>
      <c r="Q590" s="1"/>
      <c r="R590" s="1"/>
    </row>
    <row r="591" spans="10:18">
      <c r="J591" s="1"/>
      <c r="K591" s="1"/>
      <c r="L591" s="1"/>
      <c r="M591" s="1"/>
      <c r="N591" s="1"/>
      <c r="O591" s="1"/>
      <c r="P591" s="1"/>
      <c r="Q591" s="1"/>
      <c r="R591" s="1"/>
    </row>
    <row r="592" spans="10:18">
      <c r="J592" s="1"/>
      <c r="K592" s="1"/>
      <c r="L592" s="1"/>
      <c r="M592" s="1"/>
      <c r="N592" s="1"/>
      <c r="O592" s="1"/>
      <c r="P592" s="1"/>
      <c r="Q592" s="1"/>
      <c r="R592" s="1"/>
    </row>
    <row r="593" spans="10:18">
      <c r="J593" s="1"/>
      <c r="K593" s="1"/>
      <c r="L593" s="1"/>
      <c r="M593" s="1"/>
      <c r="N593" s="1"/>
      <c r="O593" s="1"/>
      <c r="P593" s="1"/>
      <c r="Q593" s="1"/>
      <c r="R593" s="1"/>
    </row>
    <row r="594" spans="10:18">
      <c r="J594" s="1"/>
      <c r="K594" s="1"/>
      <c r="L594" s="1"/>
      <c r="M594" s="1"/>
      <c r="N594" s="1"/>
      <c r="O594" s="1"/>
      <c r="P594" s="1"/>
      <c r="Q594" s="1"/>
      <c r="R594" s="1"/>
    </row>
    <row r="595" spans="10:18">
      <c r="J595" s="1"/>
      <c r="K595" s="1"/>
      <c r="L595" s="1"/>
      <c r="M595" s="1"/>
      <c r="N595" s="1"/>
      <c r="O595" s="1"/>
      <c r="P595" s="1"/>
      <c r="Q595" s="1"/>
      <c r="R595" s="1"/>
    </row>
    <row r="596" spans="10:18">
      <c r="J596" s="1"/>
      <c r="K596" s="1"/>
      <c r="L596" s="1"/>
      <c r="M596" s="1"/>
      <c r="N596" s="1"/>
      <c r="O596" s="1"/>
      <c r="P596" s="1"/>
      <c r="Q596" s="1"/>
      <c r="R596" s="1"/>
    </row>
    <row r="597" spans="10:18">
      <c r="J597" s="1"/>
      <c r="K597" s="1"/>
      <c r="L597" s="1"/>
      <c r="M597" s="1"/>
      <c r="N597" s="1"/>
      <c r="O597" s="1"/>
      <c r="P597" s="1"/>
      <c r="Q597" s="1"/>
      <c r="R597" s="1"/>
    </row>
    <row r="598" spans="10:18">
      <c r="J598" s="1"/>
      <c r="K598" s="1"/>
      <c r="L598" s="1"/>
      <c r="M598" s="1"/>
      <c r="N598" s="1"/>
      <c r="O598" s="1"/>
      <c r="P598" s="1"/>
      <c r="Q598" s="1"/>
      <c r="R598" s="1"/>
    </row>
    <row r="599" spans="10:18">
      <c r="J599" s="1"/>
      <c r="K599" s="1"/>
      <c r="L599" s="1"/>
      <c r="M599" s="1"/>
      <c r="N599" s="1"/>
      <c r="O599" s="1"/>
      <c r="P599" s="1"/>
      <c r="Q599" s="1"/>
      <c r="R599" s="1"/>
    </row>
    <row r="600" spans="10:18">
      <c r="J600" s="1"/>
      <c r="K600" s="1"/>
      <c r="L600" s="1"/>
      <c r="M600" s="1"/>
      <c r="N600" s="1"/>
      <c r="O600" s="1"/>
      <c r="P600" s="1"/>
      <c r="Q600" s="1"/>
      <c r="R600" s="1"/>
    </row>
    <row r="601" spans="10:18">
      <c r="J601" s="1"/>
      <c r="K601" s="1"/>
      <c r="L601" s="1"/>
      <c r="M601" s="1"/>
      <c r="N601" s="1"/>
      <c r="O601" s="1"/>
      <c r="P601" s="1"/>
      <c r="Q601" s="1"/>
      <c r="R601" s="1"/>
    </row>
    <row r="602" spans="10:18">
      <c r="J602" s="1"/>
      <c r="K602" s="1"/>
      <c r="L602" s="1"/>
      <c r="M602" s="1"/>
      <c r="N602" s="1"/>
      <c r="O602" s="1"/>
      <c r="P602" s="1"/>
      <c r="Q602" s="1"/>
      <c r="R602" s="1"/>
    </row>
    <row r="603" spans="10:18">
      <c r="J603" s="1"/>
      <c r="K603" s="1"/>
      <c r="L603" s="1"/>
      <c r="M603" s="1"/>
      <c r="N603" s="1"/>
      <c r="O603" s="1"/>
      <c r="P603" s="1"/>
      <c r="Q603" s="1"/>
      <c r="R603" s="1"/>
    </row>
    <row r="604" spans="10:18">
      <c r="J604" s="1"/>
      <c r="K604" s="1"/>
      <c r="L604" s="1"/>
      <c r="M604" s="1"/>
      <c r="N604" s="1"/>
      <c r="O604" s="1"/>
      <c r="P604" s="1"/>
      <c r="Q604" s="1"/>
      <c r="R604" s="1"/>
    </row>
    <row r="605" spans="10:18">
      <c r="J605" s="1"/>
      <c r="K605" s="1"/>
      <c r="L605" s="1"/>
      <c r="M605" s="1"/>
      <c r="N605" s="1"/>
      <c r="O605" s="1"/>
      <c r="P605" s="1"/>
      <c r="Q605" s="1"/>
      <c r="R605" s="1"/>
    </row>
    <row r="606" spans="10:18">
      <c r="J606" s="1"/>
      <c r="K606" s="1"/>
      <c r="L606" s="1"/>
      <c r="M606" s="1"/>
      <c r="N606" s="1"/>
      <c r="O606" s="1"/>
      <c r="P606" s="1"/>
      <c r="Q606" s="1"/>
      <c r="R606" s="1"/>
    </row>
    <row r="607" spans="10:18">
      <c r="J607" s="1"/>
      <c r="K607" s="1"/>
      <c r="L607" s="1"/>
      <c r="M607" s="1"/>
      <c r="N607" s="1"/>
      <c r="O607" s="1"/>
      <c r="P607" s="1"/>
      <c r="Q607" s="1"/>
      <c r="R607" s="1"/>
    </row>
    <row r="608" spans="10:18">
      <c r="J608" s="1"/>
      <c r="K608" s="1"/>
      <c r="L608" s="1"/>
      <c r="M608" s="1"/>
      <c r="N608" s="1"/>
      <c r="O608" s="1"/>
      <c r="P608" s="1"/>
      <c r="Q608" s="1"/>
      <c r="R608" s="1"/>
    </row>
    <row r="609" spans="10:18">
      <c r="J609" s="1"/>
      <c r="K609" s="1"/>
      <c r="L609" s="1"/>
      <c r="M609" s="1"/>
      <c r="N609" s="1"/>
      <c r="O609" s="1"/>
      <c r="P609" s="1"/>
      <c r="Q609" s="1"/>
      <c r="R609" s="1"/>
    </row>
    <row r="610" spans="10:18">
      <c r="J610" s="1"/>
      <c r="K610" s="1"/>
      <c r="L610" s="1"/>
      <c r="M610" s="1"/>
      <c r="N610" s="1"/>
      <c r="O610" s="1"/>
      <c r="P610" s="1"/>
      <c r="Q610" s="1"/>
      <c r="R610" s="1"/>
    </row>
    <row r="611" spans="10:18">
      <c r="J611" s="1"/>
      <c r="K611" s="1"/>
      <c r="L611" s="1"/>
      <c r="M611" s="1"/>
      <c r="N611" s="1"/>
      <c r="O611" s="1"/>
      <c r="P611" s="1"/>
      <c r="Q611" s="1"/>
      <c r="R611" s="1"/>
    </row>
    <row r="612" spans="10:18">
      <c r="J612" s="1"/>
      <c r="K612" s="1"/>
      <c r="L612" s="1"/>
      <c r="M612" s="1"/>
      <c r="N612" s="1"/>
      <c r="O612" s="1"/>
      <c r="P612" s="1"/>
      <c r="Q612" s="1"/>
      <c r="R612" s="1"/>
    </row>
    <row r="613" spans="10:18">
      <c r="J613" s="1"/>
      <c r="K613" s="1"/>
      <c r="L613" s="1"/>
      <c r="M613" s="1"/>
      <c r="N613" s="1"/>
      <c r="O613" s="1"/>
      <c r="P613" s="1"/>
      <c r="Q613" s="1"/>
      <c r="R613" s="1"/>
    </row>
    <row r="614" spans="10:18">
      <c r="J614" s="1"/>
      <c r="K614" s="1"/>
      <c r="L614" s="1"/>
      <c r="M614" s="1"/>
      <c r="N614" s="1"/>
      <c r="O614" s="1"/>
      <c r="P614" s="1"/>
      <c r="Q614" s="1"/>
      <c r="R614" s="1"/>
    </row>
    <row r="615" spans="10:18">
      <c r="J615" s="1"/>
      <c r="K615" s="1"/>
      <c r="L615" s="1"/>
      <c r="M615" s="1"/>
      <c r="N615" s="1"/>
      <c r="O615" s="1"/>
      <c r="P615" s="1"/>
      <c r="Q615" s="1"/>
      <c r="R615" s="1"/>
    </row>
    <row r="616" spans="10:18">
      <c r="J616" s="1"/>
      <c r="K616" s="1"/>
      <c r="L616" s="1"/>
      <c r="M616" s="1"/>
      <c r="N616" s="1"/>
      <c r="O616" s="1"/>
      <c r="P616" s="1"/>
      <c r="Q616" s="1"/>
      <c r="R616" s="1"/>
    </row>
    <row r="617" spans="10:18">
      <c r="J617" s="1"/>
      <c r="K617" s="1"/>
      <c r="L617" s="1"/>
      <c r="M617" s="1"/>
      <c r="N617" s="1"/>
      <c r="O617" s="1"/>
      <c r="P617" s="1"/>
      <c r="Q617" s="1"/>
      <c r="R617" s="1"/>
    </row>
    <row r="618" spans="10:18">
      <c r="J618" s="1"/>
      <c r="K618" s="1"/>
      <c r="L618" s="1"/>
      <c r="M618" s="1"/>
      <c r="N618" s="1"/>
      <c r="O618" s="1"/>
      <c r="P618" s="1"/>
      <c r="Q618" s="1"/>
      <c r="R618" s="1"/>
    </row>
    <row r="619" spans="10:18">
      <c r="J619" s="1"/>
      <c r="K619" s="1"/>
      <c r="L619" s="1"/>
      <c r="M619" s="1"/>
      <c r="N619" s="1"/>
      <c r="O619" s="1"/>
      <c r="P619" s="1"/>
      <c r="Q619" s="1"/>
      <c r="R619" s="1"/>
    </row>
    <row r="620" spans="10:18">
      <c r="J620" s="1"/>
      <c r="K620" s="1"/>
      <c r="L620" s="1"/>
      <c r="M620" s="1"/>
      <c r="N620" s="1"/>
      <c r="O620" s="1"/>
      <c r="P620" s="1"/>
      <c r="Q620" s="1"/>
      <c r="R620" s="1"/>
    </row>
    <row r="621" spans="10:18">
      <c r="J621" s="1"/>
      <c r="K621" s="1"/>
      <c r="L621" s="1"/>
      <c r="M621" s="1"/>
      <c r="N621" s="1"/>
      <c r="O621" s="1"/>
      <c r="P621" s="1"/>
      <c r="Q621" s="1"/>
      <c r="R621" s="1"/>
    </row>
    <row r="622" spans="10:18">
      <c r="J622" s="1"/>
      <c r="K622" s="1"/>
      <c r="L622" s="1"/>
      <c r="M622" s="1"/>
      <c r="N622" s="1"/>
      <c r="O622" s="1"/>
      <c r="P622" s="1"/>
      <c r="Q622" s="1"/>
      <c r="R622" s="1"/>
    </row>
    <row r="623" spans="10:18">
      <c r="J623" s="1"/>
      <c r="K623" s="1"/>
      <c r="L623" s="1"/>
      <c r="M623" s="1"/>
      <c r="N623" s="1"/>
      <c r="O623" s="1"/>
      <c r="P623" s="1"/>
      <c r="Q623" s="1"/>
      <c r="R623" s="1"/>
    </row>
    <row r="624" spans="10:18">
      <c r="J624" s="1"/>
      <c r="K624" s="1"/>
      <c r="L624" s="1"/>
      <c r="M624" s="1"/>
      <c r="N624" s="1"/>
      <c r="O624" s="1"/>
      <c r="P624" s="1"/>
      <c r="Q624" s="1"/>
      <c r="R624" s="1"/>
    </row>
    <row r="625" spans="10:18">
      <c r="J625" s="1"/>
      <c r="K625" s="1"/>
      <c r="L625" s="1"/>
      <c r="M625" s="1"/>
      <c r="N625" s="1"/>
      <c r="O625" s="1"/>
      <c r="P625" s="1"/>
      <c r="Q625" s="1"/>
      <c r="R625" s="1"/>
    </row>
    <row r="626" spans="10:18">
      <c r="J626" s="1"/>
      <c r="K626" s="1"/>
      <c r="L626" s="1"/>
      <c r="M626" s="1"/>
      <c r="N626" s="1"/>
      <c r="O626" s="1"/>
      <c r="P626" s="1"/>
      <c r="Q626" s="1"/>
      <c r="R626" s="1"/>
    </row>
    <row r="627" spans="10:18">
      <c r="J627" s="1"/>
      <c r="K627" s="1"/>
      <c r="L627" s="1"/>
      <c r="M627" s="1"/>
      <c r="N627" s="1"/>
      <c r="O627" s="1"/>
      <c r="P627" s="1"/>
      <c r="Q627" s="1"/>
      <c r="R627" s="1"/>
    </row>
    <row r="628" spans="10:18">
      <c r="J628" s="1"/>
      <c r="K628" s="1"/>
      <c r="L628" s="1"/>
      <c r="M628" s="1"/>
      <c r="N628" s="1"/>
      <c r="O628" s="1"/>
      <c r="P628" s="1"/>
      <c r="Q628" s="1"/>
      <c r="R628" s="1"/>
    </row>
    <row r="629" spans="10:18">
      <c r="J629" s="1"/>
      <c r="K629" s="1"/>
      <c r="L629" s="1"/>
      <c r="M629" s="1"/>
      <c r="N629" s="1"/>
      <c r="O629" s="1"/>
      <c r="P629" s="1"/>
      <c r="Q629" s="1"/>
      <c r="R629" s="1"/>
    </row>
    <row r="630" spans="10:18">
      <c r="J630" s="1"/>
      <c r="K630" s="1"/>
      <c r="L630" s="1"/>
      <c r="M630" s="1"/>
      <c r="N630" s="1"/>
      <c r="O630" s="1"/>
      <c r="P630" s="1"/>
      <c r="Q630" s="1"/>
      <c r="R630" s="1"/>
    </row>
    <row r="631" spans="10:18">
      <c r="J631" s="1"/>
      <c r="K631" s="1"/>
      <c r="L631" s="1"/>
      <c r="M631" s="1"/>
      <c r="N631" s="1"/>
      <c r="O631" s="1"/>
      <c r="P631" s="1"/>
      <c r="Q631" s="1"/>
      <c r="R631" s="1"/>
    </row>
    <row r="632" spans="10:18">
      <c r="J632" s="1"/>
      <c r="K632" s="1"/>
      <c r="L632" s="1"/>
      <c r="M632" s="1"/>
      <c r="N632" s="1"/>
      <c r="O632" s="1"/>
      <c r="P632" s="1"/>
      <c r="Q632" s="1"/>
      <c r="R632" s="1"/>
    </row>
    <row r="633" spans="10:18">
      <c r="J633" s="1"/>
      <c r="K633" s="1"/>
      <c r="L633" s="1"/>
      <c r="M633" s="1"/>
      <c r="N633" s="1"/>
      <c r="O633" s="1"/>
      <c r="P633" s="1"/>
      <c r="Q633" s="1"/>
      <c r="R633" s="1"/>
    </row>
    <row r="634" spans="10:18">
      <c r="J634" s="1"/>
      <c r="K634" s="1"/>
      <c r="L634" s="1"/>
      <c r="M634" s="1"/>
      <c r="N634" s="1"/>
      <c r="O634" s="1"/>
      <c r="P634" s="1"/>
      <c r="Q634" s="1"/>
      <c r="R634" s="1"/>
    </row>
    <row r="635" spans="10:18">
      <c r="J635" s="1"/>
      <c r="K635" s="1"/>
      <c r="L635" s="1"/>
      <c r="M635" s="1"/>
      <c r="N635" s="1"/>
      <c r="O635" s="1"/>
      <c r="P635" s="1"/>
      <c r="Q635" s="1"/>
      <c r="R635" s="1"/>
    </row>
    <row r="636" spans="10:18">
      <c r="J636" s="1"/>
      <c r="K636" s="1"/>
      <c r="L636" s="1"/>
      <c r="M636" s="1"/>
      <c r="N636" s="1"/>
      <c r="O636" s="1"/>
      <c r="P636" s="1"/>
      <c r="Q636" s="1"/>
      <c r="R636" s="1"/>
    </row>
    <row r="637" spans="10:18">
      <c r="J637" s="1"/>
      <c r="K637" s="1"/>
      <c r="L637" s="1"/>
      <c r="M637" s="1"/>
      <c r="N637" s="1"/>
      <c r="O637" s="1"/>
      <c r="P637" s="1"/>
      <c r="Q637" s="1"/>
      <c r="R637" s="1"/>
    </row>
    <row r="638" spans="10:18">
      <c r="J638" s="1"/>
      <c r="K638" s="1"/>
      <c r="L638" s="1"/>
      <c r="M638" s="1"/>
      <c r="N638" s="1"/>
      <c r="O638" s="1"/>
      <c r="P638" s="1"/>
      <c r="Q638" s="1"/>
      <c r="R638" s="1"/>
    </row>
    <row r="639" spans="10:18">
      <c r="J639" s="1"/>
      <c r="K639" s="1"/>
      <c r="L639" s="1"/>
      <c r="M639" s="1"/>
      <c r="N639" s="1"/>
      <c r="O639" s="1"/>
      <c r="P639" s="1"/>
      <c r="Q639" s="1"/>
      <c r="R639" s="1"/>
    </row>
    <row r="640" spans="10:18">
      <c r="J640" s="1"/>
      <c r="K640" s="1"/>
      <c r="L640" s="1"/>
      <c r="M640" s="1"/>
      <c r="N640" s="1"/>
      <c r="O640" s="1"/>
      <c r="P640" s="1"/>
      <c r="Q640" s="1"/>
      <c r="R640" s="1"/>
    </row>
    <row r="641" spans="10:18">
      <c r="J641" s="1"/>
      <c r="K641" s="1"/>
      <c r="L641" s="1"/>
      <c r="M641" s="1"/>
      <c r="N641" s="1"/>
      <c r="O641" s="1"/>
      <c r="P641" s="1"/>
      <c r="Q641" s="1"/>
      <c r="R641" s="1"/>
    </row>
    <row r="642" spans="10:18">
      <c r="J642" s="1"/>
      <c r="K642" s="1"/>
      <c r="L642" s="1"/>
      <c r="M642" s="1"/>
      <c r="N642" s="1"/>
      <c r="O642" s="1"/>
      <c r="P642" s="1"/>
      <c r="Q642" s="1"/>
      <c r="R642" s="1"/>
    </row>
    <row r="643" spans="10:18">
      <c r="J643" s="1"/>
      <c r="K643" s="1"/>
      <c r="L643" s="1"/>
      <c r="M643" s="1"/>
      <c r="N643" s="1"/>
      <c r="O643" s="1"/>
      <c r="P643" s="1"/>
      <c r="Q643" s="1"/>
      <c r="R643" s="1"/>
    </row>
    <row r="644" spans="10:18">
      <c r="J644" s="1"/>
      <c r="K644" s="1"/>
      <c r="L644" s="1"/>
      <c r="M644" s="1"/>
      <c r="N644" s="1"/>
      <c r="O644" s="1"/>
      <c r="P644" s="1"/>
      <c r="Q644" s="1"/>
      <c r="R644" s="1"/>
    </row>
    <row r="645" spans="10:18">
      <c r="J645" s="1"/>
      <c r="K645" s="1"/>
      <c r="L645" s="1"/>
      <c r="M645" s="1"/>
      <c r="N645" s="1"/>
      <c r="O645" s="1"/>
      <c r="P645" s="1"/>
      <c r="Q645" s="1"/>
      <c r="R645" s="1"/>
    </row>
    <row r="646" spans="10:18">
      <c r="J646" s="1"/>
      <c r="K646" s="1"/>
      <c r="L646" s="1"/>
      <c r="M646" s="1"/>
      <c r="N646" s="1"/>
      <c r="O646" s="1"/>
      <c r="P646" s="1"/>
      <c r="Q646" s="1"/>
      <c r="R646" s="1"/>
    </row>
    <row r="647" spans="10:18">
      <c r="J647" s="1"/>
      <c r="K647" s="1"/>
      <c r="L647" s="1"/>
      <c r="M647" s="1"/>
      <c r="N647" s="1"/>
      <c r="O647" s="1"/>
      <c r="P647" s="1"/>
      <c r="Q647" s="1"/>
      <c r="R647" s="1"/>
    </row>
    <row r="648" spans="10:18">
      <c r="J648" s="1"/>
      <c r="K648" s="1"/>
      <c r="L648" s="1"/>
      <c r="M648" s="1"/>
      <c r="N648" s="1"/>
      <c r="O648" s="1"/>
      <c r="P648" s="1"/>
      <c r="Q648" s="1"/>
      <c r="R648" s="1"/>
    </row>
    <row r="649" spans="10:18">
      <c r="J649" s="1"/>
      <c r="K649" s="1"/>
      <c r="L649" s="1"/>
      <c r="M649" s="1"/>
      <c r="N649" s="1"/>
      <c r="O649" s="1"/>
      <c r="P649" s="1"/>
      <c r="Q649" s="1"/>
      <c r="R649" s="1"/>
    </row>
    <row r="650" spans="10:18">
      <c r="J650" s="1"/>
      <c r="K650" s="1"/>
      <c r="L650" s="1"/>
      <c r="M650" s="1"/>
      <c r="N650" s="1"/>
      <c r="O650" s="1"/>
      <c r="P650" s="1"/>
      <c r="Q650" s="1"/>
      <c r="R650" s="1"/>
    </row>
    <row r="651" spans="10:18">
      <c r="J651" s="1"/>
      <c r="K651" s="1"/>
      <c r="L651" s="1"/>
      <c r="M651" s="1"/>
      <c r="N651" s="1"/>
      <c r="O651" s="1"/>
      <c r="P651" s="1"/>
      <c r="Q651" s="1"/>
      <c r="R651" s="1"/>
    </row>
    <row r="652" spans="10:18">
      <c r="J652" s="1"/>
      <c r="K652" s="1"/>
      <c r="L652" s="1"/>
      <c r="M652" s="1"/>
      <c r="N652" s="1"/>
      <c r="O652" s="1"/>
      <c r="P652" s="1"/>
      <c r="Q652" s="1"/>
      <c r="R652" s="1"/>
    </row>
    <row r="653" spans="10:18">
      <c r="J653" s="1"/>
      <c r="K653" s="1"/>
      <c r="L653" s="1"/>
      <c r="M653" s="1"/>
      <c r="N653" s="1"/>
      <c r="O653" s="1"/>
      <c r="P653" s="1"/>
      <c r="Q653" s="1"/>
      <c r="R653" s="1"/>
    </row>
    <row r="654" spans="10:18">
      <c r="J654" s="1"/>
      <c r="K654" s="1"/>
      <c r="L654" s="1"/>
      <c r="M654" s="1"/>
      <c r="N654" s="1"/>
      <c r="O654" s="1"/>
      <c r="P654" s="1"/>
      <c r="Q654" s="1"/>
      <c r="R654" s="1"/>
    </row>
    <row r="655" spans="10:18">
      <c r="J655" s="1"/>
      <c r="K655" s="1"/>
      <c r="L655" s="1"/>
      <c r="M655" s="1"/>
      <c r="N655" s="1"/>
      <c r="O655" s="1"/>
      <c r="P655" s="1"/>
      <c r="Q655" s="1"/>
      <c r="R655" s="1"/>
    </row>
    <row r="656" spans="10:18">
      <c r="J656" s="1"/>
      <c r="K656" s="1"/>
      <c r="L656" s="1"/>
      <c r="M656" s="1"/>
      <c r="N656" s="1"/>
      <c r="O656" s="1"/>
      <c r="P656" s="1"/>
      <c r="Q656" s="1"/>
      <c r="R656" s="1"/>
    </row>
    <row r="657" spans="10:18">
      <c r="J657" s="1"/>
      <c r="K657" s="1"/>
      <c r="L657" s="1"/>
      <c r="M657" s="1"/>
      <c r="N657" s="1"/>
      <c r="O657" s="1"/>
      <c r="P657" s="1"/>
      <c r="Q657" s="1"/>
      <c r="R657" s="1"/>
    </row>
    <row r="658" spans="10:18">
      <c r="J658" s="1"/>
      <c r="K658" s="1"/>
      <c r="L658" s="1"/>
      <c r="M658" s="1"/>
      <c r="N658" s="1"/>
      <c r="O658" s="1"/>
      <c r="P658" s="1"/>
      <c r="Q658" s="1"/>
      <c r="R658" s="1"/>
    </row>
    <row r="659" spans="10:18">
      <c r="J659" s="1"/>
      <c r="K659" s="1"/>
      <c r="L659" s="1"/>
      <c r="M659" s="1"/>
      <c r="N659" s="1"/>
      <c r="O659" s="1"/>
      <c r="P659" s="1"/>
      <c r="Q659" s="1"/>
      <c r="R659" s="1"/>
    </row>
    <row r="660" spans="10:18">
      <c r="J660" s="1"/>
      <c r="K660" s="1"/>
      <c r="L660" s="1"/>
      <c r="M660" s="1"/>
      <c r="N660" s="1"/>
      <c r="O660" s="1"/>
      <c r="P660" s="1"/>
      <c r="Q660" s="1"/>
      <c r="R660" s="1"/>
    </row>
    <row r="661" spans="10:18">
      <c r="J661" s="1"/>
      <c r="K661" s="1"/>
      <c r="L661" s="1"/>
      <c r="M661" s="1"/>
      <c r="N661" s="1"/>
      <c r="O661" s="1"/>
      <c r="P661" s="1"/>
      <c r="Q661" s="1"/>
      <c r="R661" s="1"/>
    </row>
    <row r="662" spans="10:18">
      <c r="J662" s="1"/>
      <c r="K662" s="1"/>
      <c r="L662" s="1"/>
      <c r="M662" s="1"/>
      <c r="N662" s="1"/>
      <c r="O662" s="1"/>
      <c r="P662" s="1"/>
      <c r="Q662" s="1"/>
      <c r="R662" s="1"/>
    </row>
    <row r="663" spans="10:18">
      <c r="J663" s="1"/>
      <c r="K663" s="1"/>
      <c r="L663" s="1"/>
      <c r="M663" s="1"/>
      <c r="N663" s="1"/>
      <c r="O663" s="1"/>
      <c r="P663" s="1"/>
      <c r="Q663" s="1"/>
      <c r="R663" s="1"/>
    </row>
    <row r="664" spans="10:18">
      <c r="J664" s="1"/>
      <c r="K664" s="1"/>
      <c r="L664" s="1"/>
      <c r="M664" s="1"/>
      <c r="N664" s="1"/>
      <c r="O664" s="1"/>
      <c r="P664" s="1"/>
      <c r="Q664" s="1"/>
      <c r="R664" s="1"/>
    </row>
    <row r="665" spans="10:18">
      <c r="J665" s="1"/>
      <c r="K665" s="1"/>
      <c r="L665" s="1"/>
      <c r="M665" s="1"/>
      <c r="N665" s="1"/>
      <c r="O665" s="1"/>
      <c r="P665" s="1"/>
      <c r="Q665" s="1"/>
      <c r="R665" s="1"/>
    </row>
    <row r="666" spans="10:18">
      <c r="J666" s="1"/>
      <c r="K666" s="1"/>
      <c r="L666" s="1"/>
      <c r="M666" s="1"/>
      <c r="N666" s="1"/>
      <c r="O666" s="1"/>
      <c r="P666" s="1"/>
      <c r="Q666" s="1"/>
      <c r="R666" s="1"/>
    </row>
    <row r="667" spans="10:18">
      <c r="J667" s="1"/>
      <c r="K667" s="1"/>
      <c r="L667" s="1"/>
      <c r="M667" s="1"/>
      <c r="N667" s="1"/>
      <c r="O667" s="1"/>
      <c r="P667" s="1"/>
      <c r="Q667" s="1"/>
      <c r="R667" s="1"/>
    </row>
    <row r="668" spans="10:18">
      <c r="J668" s="1"/>
      <c r="K668" s="1"/>
      <c r="L668" s="1"/>
      <c r="M668" s="1"/>
      <c r="N668" s="1"/>
      <c r="O668" s="1"/>
      <c r="P668" s="1"/>
      <c r="Q668" s="1"/>
      <c r="R668" s="1"/>
    </row>
    <row r="669" spans="10:18">
      <c r="J669" s="1"/>
      <c r="K669" s="1"/>
      <c r="L669" s="1"/>
      <c r="M669" s="1"/>
      <c r="N669" s="1"/>
      <c r="O669" s="1"/>
      <c r="P669" s="1"/>
      <c r="Q669" s="1"/>
      <c r="R669" s="1"/>
    </row>
    <row r="670" spans="10:18">
      <c r="J670" s="1"/>
      <c r="K670" s="1"/>
      <c r="L670" s="1"/>
      <c r="M670" s="1"/>
      <c r="N670" s="1"/>
      <c r="O670" s="1"/>
      <c r="P670" s="1"/>
      <c r="Q670" s="1"/>
      <c r="R670" s="1"/>
    </row>
    <row r="671" spans="10:18">
      <c r="J671" s="1"/>
      <c r="K671" s="1"/>
      <c r="L671" s="1"/>
      <c r="M671" s="1"/>
      <c r="N671" s="1"/>
      <c r="O671" s="1"/>
      <c r="P671" s="1"/>
      <c r="Q671" s="1"/>
      <c r="R671" s="1"/>
    </row>
    <row r="672" spans="10:18">
      <c r="J672" s="1"/>
      <c r="K672" s="1"/>
      <c r="L672" s="1"/>
      <c r="M672" s="1"/>
      <c r="N672" s="1"/>
      <c r="O672" s="1"/>
      <c r="P672" s="1"/>
      <c r="Q672" s="1"/>
      <c r="R672" s="1"/>
    </row>
    <row r="673" spans="10:18">
      <c r="J673" s="1"/>
      <c r="K673" s="1"/>
      <c r="L673" s="1"/>
      <c r="M673" s="1"/>
      <c r="N673" s="1"/>
      <c r="O673" s="1"/>
      <c r="P673" s="1"/>
      <c r="Q673" s="1"/>
      <c r="R673" s="1"/>
    </row>
    <row r="674" spans="10:18">
      <c r="J674" s="1"/>
      <c r="K674" s="1"/>
      <c r="L674" s="1"/>
      <c r="M674" s="1"/>
      <c r="N674" s="1"/>
      <c r="O674" s="1"/>
      <c r="P674" s="1"/>
      <c r="Q674" s="1"/>
      <c r="R674" s="1"/>
    </row>
    <row r="675" spans="10:18">
      <c r="J675" s="1"/>
      <c r="K675" s="1"/>
      <c r="L675" s="1"/>
      <c r="M675" s="1"/>
      <c r="N675" s="1"/>
      <c r="O675" s="1"/>
      <c r="P675" s="1"/>
      <c r="Q675" s="1"/>
      <c r="R675" s="1"/>
    </row>
    <row r="676" spans="10:18">
      <c r="J676" s="1"/>
      <c r="K676" s="1"/>
      <c r="L676" s="1"/>
      <c r="M676" s="1"/>
      <c r="N676" s="1"/>
      <c r="O676" s="1"/>
      <c r="P676" s="1"/>
      <c r="Q676" s="1"/>
      <c r="R676" s="1"/>
    </row>
    <row r="677" spans="10:18">
      <c r="J677" s="1"/>
      <c r="K677" s="1"/>
      <c r="L677" s="1"/>
      <c r="M677" s="1"/>
      <c r="N677" s="1"/>
      <c r="O677" s="1"/>
      <c r="P677" s="1"/>
      <c r="Q677" s="1"/>
      <c r="R677" s="1"/>
    </row>
    <row r="678" spans="10:18">
      <c r="J678" s="1"/>
      <c r="K678" s="1"/>
      <c r="L678" s="1"/>
      <c r="M678" s="1"/>
      <c r="N678" s="1"/>
      <c r="O678" s="1"/>
      <c r="P678" s="1"/>
      <c r="Q678" s="1"/>
      <c r="R678" s="1"/>
    </row>
    <row r="679" spans="10:18">
      <c r="J679" s="1"/>
      <c r="K679" s="1"/>
      <c r="L679" s="1"/>
      <c r="M679" s="1"/>
      <c r="N679" s="1"/>
      <c r="O679" s="1"/>
      <c r="P679" s="1"/>
      <c r="Q679" s="1"/>
      <c r="R679" s="1"/>
    </row>
    <row r="680" spans="10:18">
      <c r="J680" s="1"/>
      <c r="K680" s="1"/>
      <c r="L680" s="1"/>
      <c r="M680" s="1"/>
      <c r="N680" s="1"/>
      <c r="O680" s="1"/>
      <c r="P680" s="1"/>
      <c r="Q680" s="1"/>
      <c r="R680" s="1"/>
    </row>
    <row r="681" spans="10:18">
      <c r="J681" s="1"/>
      <c r="K681" s="1"/>
      <c r="L681" s="1"/>
      <c r="M681" s="1"/>
      <c r="N681" s="1"/>
      <c r="O681" s="1"/>
      <c r="P681" s="1"/>
      <c r="Q681" s="1"/>
      <c r="R681" s="1"/>
    </row>
    <row r="682" spans="10:18">
      <c r="J682" s="1"/>
      <c r="K682" s="1"/>
      <c r="L682" s="1"/>
      <c r="M682" s="1"/>
      <c r="N682" s="1"/>
      <c r="O682" s="1"/>
      <c r="P682" s="1"/>
      <c r="Q682" s="1"/>
      <c r="R682" s="1"/>
    </row>
    <row r="683" spans="10:18">
      <c r="J683" s="1"/>
      <c r="K683" s="1"/>
      <c r="L683" s="1"/>
      <c r="M683" s="1"/>
      <c r="N683" s="1"/>
      <c r="O683" s="1"/>
      <c r="P683" s="1"/>
      <c r="Q683" s="1"/>
      <c r="R683" s="1"/>
    </row>
    <row r="684" spans="10:18">
      <c r="J684" s="1"/>
      <c r="K684" s="1"/>
      <c r="L684" s="1"/>
      <c r="M684" s="1"/>
      <c r="N684" s="1"/>
      <c r="O684" s="1"/>
      <c r="P684" s="1"/>
      <c r="Q684" s="1"/>
      <c r="R684" s="1"/>
    </row>
    <row r="685" spans="10:18">
      <c r="J685" s="1"/>
      <c r="K685" s="1"/>
      <c r="L685" s="1"/>
      <c r="M685" s="1"/>
      <c r="N685" s="1"/>
      <c r="O685" s="1"/>
      <c r="P685" s="1"/>
      <c r="Q685" s="1"/>
      <c r="R685" s="1"/>
    </row>
    <row r="686" spans="10:18">
      <c r="J686" s="1"/>
      <c r="K686" s="1"/>
      <c r="L686" s="1"/>
      <c r="M686" s="1"/>
      <c r="N686" s="1"/>
      <c r="O686" s="1"/>
      <c r="P686" s="1"/>
      <c r="Q686" s="1"/>
      <c r="R686" s="1"/>
    </row>
    <row r="687" spans="10:18">
      <c r="J687" s="1"/>
      <c r="K687" s="1"/>
      <c r="L687" s="1"/>
      <c r="M687" s="1"/>
      <c r="N687" s="1"/>
      <c r="O687" s="1"/>
      <c r="P687" s="1"/>
      <c r="Q687" s="1"/>
      <c r="R687" s="1"/>
    </row>
    <row r="688" spans="10:18">
      <c r="J688" s="1"/>
      <c r="K688" s="1"/>
      <c r="L688" s="1"/>
      <c r="M688" s="1"/>
      <c r="N688" s="1"/>
      <c r="O688" s="1"/>
      <c r="P688" s="1"/>
      <c r="Q688" s="1"/>
      <c r="R688" s="1"/>
    </row>
    <row r="689" spans="10:18">
      <c r="J689" s="1"/>
      <c r="K689" s="1"/>
      <c r="L689" s="1"/>
      <c r="M689" s="1"/>
      <c r="N689" s="1"/>
      <c r="O689" s="1"/>
      <c r="P689" s="1"/>
      <c r="Q689" s="1"/>
      <c r="R689" s="1"/>
    </row>
    <row r="690" spans="10:18">
      <c r="J690" s="1"/>
      <c r="K690" s="1"/>
      <c r="L690" s="1"/>
      <c r="M690" s="1"/>
      <c r="N690" s="1"/>
      <c r="O690" s="1"/>
      <c r="P690" s="1"/>
      <c r="Q690" s="1"/>
      <c r="R690" s="1"/>
    </row>
    <row r="691" spans="10:18">
      <c r="J691" s="1"/>
      <c r="K691" s="1"/>
      <c r="L691" s="1"/>
      <c r="M691" s="1"/>
      <c r="N691" s="1"/>
      <c r="O691" s="1"/>
      <c r="P691" s="1"/>
      <c r="Q691" s="1"/>
      <c r="R691" s="1"/>
    </row>
    <row r="692" spans="10:18">
      <c r="J692" s="1"/>
      <c r="K692" s="1"/>
      <c r="L692" s="1"/>
      <c r="M692" s="1"/>
      <c r="N692" s="1"/>
      <c r="O692" s="1"/>
      <c r="P692" s="1"/>
      <c r="Q692" s="1"/>
      <c r="R692" s="1"/>
    </row>
    <row r="693" spans="10:18">
      <c r="J693" s="1"/>
      <c r="K693" s="1"/>
      <c r="L693" s="1"/>
      <c r="M693" s="1"/>
      <c r="N693" s="1"/>
      <c r="O693" s="1"/>
      <c r="P693" s="1"/>
      <c r="Q693" s="1"/>
      <c r="R693" s="1"/>
    </row>
    <row r="694" spans="10:18">
      <c r="J694" s="1"/>
      <c r="K694" s="1"/>
      <c r="L694" s="1"/>
      <c r="M694" s="1"/>
      <c r="N694" s="1"/>
      <c r="O694" s="1"/>
      <c r="P694" s="1"/>
      <c r="Q694" s="1"/>
      <c r="R694" s="1"/>
    </row>
    <row r="695" spans="10:18">
      <c r="J695" s="1"/>
      <c r="K695" s="1"/>
      <c r="L695" s="1"/>
      <c r="M695" s="1"/>
      <c r="N695" s="1"/>
      <c r="O695" s="1"/>
      <c r="P695" s="1"/>
      <c r="Q695" s="1"/>
      <c r="R695" s="1"/>
    </row>
    <row r="696" spans="10:18">
      <c r="J696" s="1"/>
      <c r="K696" s="1"/>
      <c r="L696" s="1"/>
      <c r="M696" s="1"/>
      <c r="N696" s="1"/>
      <c r="O696" s="1"/>
      <c r="P696" s="1"/>
      <c r="Q696" s="1"/>
      <c r="R696" s="1"/>
    </row>
    <row r="697" spans="10:18">
      <c r="J697" s="1"/>
      <c r="K697" s="1"/>
      <c r="L697" s="1"/>
      <c r="M697" s="1"/>
      <c r="N697" s="1"/>
      <c r="O697" s="1"/>
      <c r="P697" s="1"/>
      <c r="Q697" s="1"/>
      <c r="R697" s="1"/>
    </row>
    <row r="698" spans="10:18">
      <c r="J698" s="1"/>
      <c r="K698" s="1"/>
      <c r="L698" s="1"/>
      <c r="M698" s="1"/>
      <c r="N698" s="1"/>
      <c r="O698" s="1"/>
      <c r="P698" s="1"/>
      <c r="Q698" s="1"/>
      <c r="R698" s="1"/>
    </row>
    <row r="699" spans="10:18">
      <c r="J699" s="1"/>
      <c r="K699" s="1"/>
      <c r="L699" s="1"/>
      <c r="M699" s="1"/>
      <c r="N699" s="1"/>
      <c r="O699" s="1"/>
      <c r="P699" s="1"/>
      <c r="Q699" s="1"/>
      <c r="R699" s="1"/>
    </row>
    <row r="700" spans="10:18">
      <c r="J700" s="1"/>
      <c r="K700" s="1"/>
      <c r="L700" s="1"/>
      <c r="M700" s="1"/>
      <c r="N700" s="1"/>
      <c r="O700" s="1"/>
      <c r="P700" s="1"/>
      <c r="Q700" s="1"/>
      <c r="R700" s="1"/>
    </row>
    <row r="701" spans="10:18">
      <c r="J701" s="1"/>
      <c r="K701" s="1"/>
      <c r="L701" s="1"/>
      <c r="M701" s="1"/>
      <c r="N701" s="1"/>
      <c r="O701" s="1"/>
      <c r="P701" s="1"/>
      <c r="Q701" s="1"/>
      <c r="R701" s="1"/>
    </row>
    <row r="702" spans="10:18">
      <c r="J702" s="1"/>
      <c r="K702" s="1"/>
      <c r="L702" s="1"/>
      <c r="M702" s="1"/>
      <c r="N702" s="1"/>
      <c r="O702" s="1"/>
      <c r="P702" s="1"/>
      <c r="Q702" s="1"/>
      <c r="R702" s="1"/>
    </row>
    <row r="703" spans="10:18">
      <c r="J703" s="1"/>
      <c r="K703" s="1"/>
      <c r="L703" s="1"/>
      <c r="M703" s="1"/>
      <c r="N703" s="1"/>
      <c r="O703" s="1"/>
      <c r="P703" s="1"/>
      <c r="Q703" s="1"/>
      <c r="R703" s="1"/>
    </row>
    <row r="704" spans="10:18">
      <c r="J704" s="1"/>
      <c r="K704" s="1"/>
      <c r="L704" s="1"/>
      <c r="M704" s="1"/>
      <c r="N704" s="1"/>
      <c r="O704" s="1"/>
      <c r="P704" s="1"/>
      <c r="Q704" s="1"/>
      <c r="R704" s="1"/>
    </row>
    <row r="705" spans="10:18">
      <c r="J705" s="1"/>
      <c r="K705" s="1"/>
      <c r="L705" s="1"/>
      <c r="M705" s="1"/>
      <c r="N705" s="1"/>
      <c r="O705" s="1"/>
      <c r="P705" s="1"/>
      <c r="Q705" s="1"/>
      <c r="R705" s="1"/>
    </row>
    <row r="706" spans="10:18">
      <c r="J706" s="1"/>
      <c r="K706" s="1"/>
      <c r="L706" s="1"/>
      <c r="M706" s="1"/>
      <c r="N706" s="1"/>
      <c r="O706" s="1"/>
      <c r="P706" s="1"/>
      <c r="Q706" s="1"/>
      <c r="R706" s="1"/>
    </row>
    <row r="707" spans="10:18">
      <c r="J707" s="1"/>
      <c r="K707" s="1"/>
      <c r="L707" s="1"/>
      <c r="M707" s="1"/>
      <c r="N707" s="1"/>
      <c r="O707" s="1"/>
      <c r="P707" s="1"/>
      <c r="Q707" s="1"/>
      <c r="R707" s="1"/>
    </row>
    <row r="708" spans="10:18">
      <c r="J708" s="1"/>
      <c r="K708" s="1"/>
      <c r="L708" s="1"/>
      <c r="M708" s="1"/>
      <c r="N708" s="1"/>
      <c r="O708" s="1"/>
      <c r="P708" s="1"/>
      <c r="Q708" s="1"/>
      <c r="R708" s="1"/>
    </row>
    <row r="709" spans="10:18">
      <c r="J709" s="1"/>
      <c r="K709" s="1"/>
      <c r="L709" s="1"/>
      <c r="M709" s="1"/>
      <c r="N709" s="1"/>
      <c r="O709" s="1"/>
      <c r="P709" s="1"/>
      <c r="Q709" s="1"/>
      <c r="R709" s="1"/>
    </row>
    <row r="710" spans="10:18">
      <c r="J710" s="1"/>
      <c r="K710" s="1"/>
      <c r="L710" s="1"/>
      <c r="M710" s="1"/>
      <c r="N710" s="1"/>
      <c r="O710" s="1"/>
      <c r="P710" s="1"/>
      <c r="Q710" s="1"/>
      <c r="R710" s="1"/>
    </row>
    <row r="711" spans="10:18">
      <c r="J711" s="1"/>
      <c r="K711" s="1"/>
      <c r="L711" s="1"/>
      <c r="M711" s="1"/>
      <c r="N711" s="1"/>
      <c r="O711" s="1"/>
      <c r="P711" s="1"/>
      <c r="Q711" s="1"/>
      <c r="R711" s="1"/>
    </row>
    <row r="712" spans="10:18">
      <c r="J712" s="1"/>
      <c r="K712" s="1"/>
      <c r="L712" s="1"/>
      <c r="M712" s="1"/>
      <c r="N712" s="1"/>
      <c r="O712" s="1"/>
      <c r="P712" s="1"/>
      <c r="Q712" s="1"/>
      <c r="R712" s="1"/>
    </row>
    <row r="713" spans="10:18">
      <c r="J713" s="1"/>
      <c r="K713" s="1"/>
      <c r="L713" s="1"/>
      <c r="M713" s="1"/>
      <c r="N713" s="1"/>
      <c r="O713" s="1"/>
      <c r="P713" s="1"/>
      <c r="Q713" s="1"/>
      <c r="R713" s="1"/>
    </row>
    <row r="714" spans="10:18">
      <c r="J714" s="1"/>
      <c r="K714" s="1"/>
      <c r="L714" s="1"/>
      <c r="M714" s="1"/>
      <c r="N714" s="1"/>
      <c r="O714" s="1"/>
      <c r="P714" s="1"/>
      <c r="Q714" s="1"/>
      <c r="R714" s="1"/>
    </row>
    <row r="715" spans="10:18">
      <c r="J715" s="1"/>
      <c r="K715" s="1"/>
      <c r="L715" s="1"/>
      <c r="M715" s="1"/>
      <c r="N715" s="1"/>
      <c r="O715" s="1"/>
      <c r="P715" s="1"/>
      <c r="Q715" s="1"/>
      <c r="R715" s="1"/>
    </row>
    <row r="716" spans="10:18">
      <c r="J716" s="1"/>
      <c r="K716" s="1"/>
      <c r="L716" s="1"/>
      <c r="M716" s="1"/>
      <c r="N716" s="1"/>
      <c r="O716" s="1"/>
      <c r="P716" s="1"/>
      <c r="Q716" s="1"/>
      <c r="R716" s="1"/>
    </row>
    <row r="717" spans="10:18">
      <c r="J717" s="1"/>
      <c r="K717" s="1"/>
      <c r="L717" s="1"/>
      <c r="M717" s="1"/>
      <c r="N717" s="1"/>
      <c r="O717" s="1"/>
      <c r="P717" s="1"/>
      <c r="Q717" s="1"/>
      <c r="R717" s="1"/>
    </row>
    <row r="718" spans="10:18">
      <c r="J718" s="1"/>
      <c r="K718" s="1"/>
      <c r="L718" s="1"/>
      <c r="M718" s="1"/>
      <c r="N718" s="1"/>
      <c r="O718" s="1"/>
      <c r="P718" s="1"/>
      <c r="Q718" s="1"/>
      <c r="R718" s="1"/>
    </row>
    <row r="719" spans="10:18">
      <c r="J719" s="1"/>
      <c r="K719" s="1"/>
      <c r="L719" s="1"/>
      <c r="M719" s="1"/>
      <c r="N719" s="1"/>
      <c r="O719" s="1"/>
      <c r="P719" s="1"/>
      <c r="Q719" s="1"/>
      <c r="R719" s="1"/>
    </row>
    <row r="720" spans="10:18">
      <c r="J720" s="1"/>
      <c r="K720" s="1"/>
      <c r="L720" s="1"/>
      <c r="M720" s="1"/>
      <c r="N720" s="1"/>
      <c r="O720" s="1"/>
      <c r="P720" s="1"/>
      <c r="Q720" s="1"/>
      <c r="R720" s="1"/>
    </row>
    <row r="721" spans="10:18">
      <c r="J721" s="1"/>
      <c r="K721" s="1"/>
      <c r="L721" s="1"/>
      <c r="M721" s="1"/>
      <c r="N721" s="1"/>
      <c r="O721" s="1"/>
      <c r="P721" s="1"/>
      <c r="Q721" s="1"/>
      <c r="R721" s="1"/>
    </row>
    <row r="722" spans="10:18">
      <c r="J722" s="1"/>
      <c r="K722" s="1"/>
      <c r="L722" s="1"/>
      <c r="M722" s="1"/>
      <c r="N722" s="1"/>
      <c r="O722" s="1"/>
      <c r="P722" s="1"/>
      <c r="Q722" s="1"/>
      <c r="R722" s="1"/>
    </row>
    <row r="723" spans="10:18">
      <c r="J723" s="1"/>
      <c r="K723" s="1"/>
      <c r="L723" s="1"/>
      <c r="M723" s="1"/>
      <c r="N723" s="1"/>
      <c r="O723" s="1"/>
      <c r="P723" s="1"/>
      <c r="Q723" s="1"/>
      <c r="R723" s="1"/>
    </row>
    <row r="724" spans="10:18">
      <c r="J724" s="1"/>
      <c r="K724" s="1"/>
      <c r="L724" s="1"/>
      <c r="M724" s="1"/>
      <c r="N724" s="1"/>
      <c r="O724" s="1"/>
      <c r="P724" s="1"/>
      <c r="Q724" s="1"/>
      <c r="R724" s="1"/>
    </row>
    <row r="725" spans="10:18">
      <c r="J725" s="1"/>
      <c r="K725" s="1"/>
      <c r="L725" s="1"/>
      <c r="M725" s="1"/>
      <c r="N725" s="1"/>
      <c r="O725" s="1"/>
      <c r="P725" s="1"/>
      <c r="Q725" s="1"/>
      <c r="R725" s="1"/>
    </row>
    <row r="726" spans="10:18">
      <c r="J726" s="1"/>
      <c r="K726" s="1"/>
      <c r="L726" s="1"/>
      <c r="M726" s="1"/>
      <c r="N726" s="1"/>
      <c r="O726" s="1"/>
      <c r="P726" s="1"/>
      <c r="Q726" s="1"/>
      <c r="R726" s="1"/>
    </row>
    <row r="727" spans="10:18">
      <c r="J727" s="1"/>
      <c r="K727" s="1"/>
      <c r="L727" s="1"/>
      <c r="M727" s="1"/>
      <c r="N727" s="1"/>
      <c r="O727" s="1"/>
      <c r="P727" s="1"/>
      <c r="Q727" s="1"/>
      <c r="R727" s="1"/>
    </row>
    <row r="728" spans="10:18">
      <c r="J728" s="1"/>
      <c r="K728" s="1"/>
      <c r="L728" s="1"/>
      <c r="M728" s="1"/>
      <c r="N728" s="1"/>
      <c r="O728" s="1"/>
      <c r="P728" s="1"/>
      <c r="Q728" s="1"/>
      <c r="R728" s="1"/>
    </row>
    <row r="729" spans="10:18">
      <c r="J729" s="1"/>
      <c r="K729" s="1"/>
      <c r="L729" s="1"/>
      <c r="M729" s="1"/>
      <c r="N729" s="1"/>
      <c r="O729" s="1"/>
      <c r="P729" s="1"/>
      <c r="Q729" s="1"/>
      <c r="R729" s="1"/>
    </row>
    <row r="730" spans="10:18">
      <c r="J730" s="1"/>
      <c r="K730" s="1"/>
      <c r="L730" s="1"/>
      <c r="M730" s="1"/>
      <c r="N730" s="1"/>
      <c r="O730" s="1"/>
      <c r="P730" s="1"/>
      <c r="Q730" s="1"/>
      <c r="R730" s="1"/>
    </row>
    <row r="731" spans="10:18">
      <c r="J731" s="1"/>
      <c r="K731" s="1"/>
      <c r="L731" s="1"/>
      <c r="M731" s="1"/>
      <c r="N731" s="1"/>
      <c r="O731" s="1"/>
      <c r="P731" s="1"/>
      <c r="Q731" s="1"/>
      <c r="R731" s="1"/>
    </row>
    <row r="732" spans="10:18">
      <c r="J732" s="1"/>
      <c r="K732" s="1"/>
      <c r="L732" s="1"/>
      <c r="M732" s="1"/>
      <c r="N732" s="1"/>
      <c r="O732" s="1"/>
      <c r="P732" s="1"/>
      <c r="Q732" s="1"/>
      <c r="R732" s="1"/>
    </row>
    <row r="733" spans="10:18">
      <c r="J733" s="1"/>
      <c r="K733" s="1"/>
      <c r="L733" s="1"/>
      <c r="M733" s="1"/>
      <c r="N733" s="1"/>
      <c r="O733" s="1"/>
      <c r="P733" s="1"/>
      <c r="Q733" s="1"/>
      <c r="R733" s="1"/>
    </row>
    <row r="734" spans="10:18">
      <c r="J734" s="1"/>
      <c r="K734" s="1"/>
      <c r="L734" s="1"/>
      <c r="M734" s="1"/>
      <c r="N734" s="1"/>
      <c r="O734" s="1"/>
      <c r="P734" s="1"/>
      <c r="Q734" s="1"/>
      <c r="R734" s="1"/>
    </row>
    <row r="735" spans="10:18">
      <c r="J735" s="1"/>
      <c r="K735" s="1"/>
      <c r="L735" s="1"/>
      <c r="M735" s="1"/>
      <c r="N735" s="1"/>
      <c r="O735" s="1"/>
      <c r="P735" s="1"/>
      <c r="Q735" s="1"/>
      <c r="R735" s="1"/>
    </row>
    <row r="736" spans="10:18">
      <c r="J736" s="1"/>
      <c r="K736" s="1"/>
      <c r="L736" s="1"/>
      <c r="M736" s="1"/>
      <c r="N736" s="1"/>
      <c r="O736" s="1"/>
      <c r="P736" s="1"/>
      <c r="Q736" s="1"/>
      <c r="R736" s="1"/>
    </row>
    <row r="737" spans="10:18">
      <c r="J737" s="1"/>
      <c r="K737" s="1"/>
      <c r="L737" s="1"/>
      <c r="M737" s="1"/>
      <c r="N737" s="1"/>
      <c r="O737" s="1"/>
      <c r="P737" s="1"/>
      <c r="Q737" s="1"/>
      <c r="R737" s="1"/>
    </row>
    <row r="738" spans="10:18">
      <c r="J738" s="1"/>
      <c r="K738" s="1"/>
      <c r="L738" s="1"/>
      <c r="M738" s="1"/>
      <c r="N738" s="1"/>
      <c r="O738" s="1"/>
      <c r="P738" s="1"/>
      <c r="Q738" s="1"/>
      <c r="R738" s="1"/>
    </row>
    <row r="739" spans="10:18">
      <c r="J739" s="1"/>
      <c r="K739" s="1"/>
      <c r="L739" s="1"/>
      <c r="M739" s="1"/>
      <c r="N739" s="1"/>
      <c r="O739" s="1"/>
      <c r="P739" s="1"/>
      <c r="Q739" s="1"/>
      <c r="R739" s="1"/>
    </row>
    <row r="740" spans="10:18">
      <c r="J740" s="1"/>
      <c r="K740" s="1"/>
      <c r="L740" s="1"/>
      <c r="M740" s="1"/>
      <c r="N740" s="1"/>
      <c r="O740" s="1"/>
      <c r="P740" s="1"/>
      <c r="Q740" s="1"/>
      <c r="R740" s="1"/>
    </row>
    <row r="741" spans="10:18">
      <c r="J741" s="1"/>
      <c r="K741" s="1"/>
      <c r="L741" s="1"/>
      <c r="M741" s="1"/>
      <c r="N741" s="1"/>
      <c r="O741" s="1"/>
      <c r="P741" s="1"/>
      <c r="Q741" s="1"/>
      <c r="R741" s="1"/>
    </row>
    <row r="742" spans="10:18">
      <c r="J742" s="1"/>
      <c r="K742" s="1"/>
      <c r="L742" s="1"/>
      <c r="M742" s="1"/>
      <c r="N742" s="1"/>
      <c r="O742" s="1"/>
      <c r="P742" s="1"/>
      <c r="Q742" s="1"/>
      <c r="R742" s="1"/>
    </row>
    <row r="743" spans="10:18">
      <c r="J743" s="1"/>
      <c r="K743" s="1"/>
      <c r="L743" s="1"/>
      <c r="M743" s="1"/>
      <c r="N743" s="1"/>
      <c r="O743" s="1"/>
      <c r="P743" s="1"/>
      <c r="Q743" s="1"/>
      <c r="R743" s="1"/>
    </row>
    <row r="744" spans="10:18">
      <c r="J744" s="1"/>
      <c r="K744" s="1"/>
      <c r="L744" s="1"/>
      <c r="M744" s="1"/>
      <c r="N744" s="1"/>
      <c r="O744" s="1"/>
      <c r="P744" s="1"/>
      <c r="Q744" s="1"/>
      <c r="R744" s="1"/>
    </row>
    <row r="745" spans="10:18">
      <c r="J745" s="1"/>
      <c r="K745" s="1"/>
      <c r="L745" s="1"/>
      <c r="M745" s="1"/>
      <c r="N745" s="1"/>
      <c r="O745" s="1"/>
      <c r="P745" s="1"/>
      <c r="Q745" s="1"/>
      <c r="R745" s="1"/>
    </row>
    <row r="746" spans="10:18">
      <c r="J746" s="1"/>
      <c r="K746" s="1"/>
      <c r="L746" s="1"/>
      <c r="M746" s="1"/>
      <c r="N746" s="1"/>
      <c r="O746" s="1"/>
      <c r="P746" s="1"/>
      <c r="Q746" s="1"/>
      <c r="R746" s="1"/>
    </row>
    <row r="747" spans="10:18">
      <c r="J747" s="1"/>
      <c r="K747" s="1"/>
      <c r="L747" s="1"/>
      <c r="M747" s="1"/>
      <c r="N747" s="1"/>
      <c r="O747" s="1"/>
      <c r="P747" s="1"/>
      <c r="Q747" s="1"/>
      <c r="R747" s="1"/>
    </row>
    <row r="748" spans="10:18">
      <c r="J748" s="1"/>
      <c r="K748" s="1"/>
      <c r="L748" s="1"/>
      <c r="M748" s="1"/>
      <c r="N748" s="1"/>
      <c r="O748" s="1"/>
      <c r="P748" s="1"/>
      <c r="Q748" s="1"/>
      <c r="R748" s="1"/>
    </row>
    <row r="749" spans="10:18">
      <c r="J749" s="1"/>
      <c r="K749" s="1"/>
      <c r="L749" s="1"/>
      <c r="M749" s="1"/>
      <c r="N749" s="1"/>
      <c r="O749" s="1"/>
      <c r="P749" s="1"/>
      <c r="Q749" s="1"/>
      <c r="R749" s="1"/>
    </row>
    <row r="750" spans="10:18">
      <c r="J750" s="1"/>
      <c r="K750" s="1"/>
      <c r="L750" s="1"/>
      <c r="M750" s="1"/>
      <c r="N750" s="1"/>
      <c r="O750" s="1"/>
      <c r="P750" s="1"/>
      <c r="Q750" s="1"/>
      <c r="R750" s="1"/>
    </row>
    <row r="751" spans="10:18">
      <c r="J751" s="1"/>
      <c r="K751" s="1"/>
      <c r="L751" s="1"/>
      <c r="M751" s="1"/>
      <c r="N751" s="1"/>
      <c r="O751" s="1"/>
      <c r="P751" s="1"/>
      <c r="Q751" s="1"/>
      <c r="R751" s="1"/>
    </row>
    <row r="752" spans="10:18">
      <c r="J752" s="1"/>
      <c r="K752" s="1"/>
      <c r="L752" s="1"/>
      <c r="M752" s="1"/>
      <c r="N752" s="1"/>
      <c r="O752" s="1"/>
      <c r="P752" s="1"/>
      <c r="Q752" s="1"/>
      <c r="R752" s="1"/>
    </row>
    <row r="753" spans="10:18">
      <c r="J753" s="1"/>
      <c r="K753" s="1"/>
      <c r="L753" s="1"/>
      <c r="M753" s="1"/>
      <c r="N753" s="1"/>
      <c r="O753" s="1"/>
      <c r="P753" s="1"/>
      <c r="Q753" s="1"/>
      <c r="R753" s="1"/>
    </row>
    <row r="754" spans="10:18">
      <c r="J754" s="1"/>
      <c r="K754" s="1"/>
      <c r="L754" s="1"/>
      <c r="M754" s="1"/>
      <c r="N754" s="1"/>
      <c r="O754" s="1"/>
      <c r="P754" s="1"/>
      <c r="Q754" s="1"/>
      <c r="R754" s="1"/>
    </row>
    <row r="755" spans="10:18">
      <c r="J755" s="1"/>
      <c r="K755" s="1"/>
      <c r="L755" s="1"/>
      <c r="M755" s="1"/>
      <c r="N755" s="1"/>
      <c r="O755" s="1"/>
      <c r="P755" s="1"/>
      <c r="Q755" s="1"/>
      <c r="R755" s="1"/>
    </row>
    <row r="756" spans="10:18">
      <c r="J756" s="1"/>
      <c r="K756" s="1"/>
      <c r="L756" s="1"/>
      <c r="M756" s="1"/>
      <c r="N756" s="1"/>
      <c r="O756" s="1"/>
      <c r="P756" s="1"/>
      <c r="Q756" s="1"/>
      <c r="R756" s="1"/>
    </row>
    <row r="757" spans="10:18">
      <c r="J757" s="1"/>
      <c r="K757" s="1"/>
      <c r="L757" s="1"/>
      <c r="M757" s="1"/>
      <c r="N757" s="1"/>
      <c r="O757" s="1"/>
      <c r="P757" s="1"/>
      <c r="Q757" s="1"/>
      <c r="R757" s="1"/>
    </row>
    <row r="758" spans="10:18">
      <c r="J758" s="1"/>
      <c r="K758" s="1"/>
      <c r="L758" s="1"/>
      <c r="M758" s="1"/>
      <c r="N758" s="1"/>
      <c r="O758" s="1"/>
      <c r="P758" s="1"/>
      <c r="Q758" s="1"/>
      <c r="R758" s="1"/>
    </row>
    <row r="759" spans="10:18">
      <c r="J759" s="1"/>
      <c r="K759" s="1"/>
      <c r="L759" s="1"/>
      <c r="M759" s="1"/>
      <c r="N759" s="1"/>
      <c r="O759" s="1"/>
      <c r="P759" s="1"/>
      <c r="Q759" s="1"/>
      <c r="R759" s="1"/>
    </row>
    <row r="760" spans="10:18">
      <c r="J760" s="1"/>
      <c r="K760" s="1"/>
      <c r="L760" s="1"/>
      <c r="M760" s="1"/>
      <c r="N760" s="1"/>
      <c r="O760" s="1"/>
      <c r="P760" s="1"/>
      <c r="Q760" s="1"/>
      <c r="R760" s="1"/>
    </row>
    <row r="761" spans="10:18">
      <c r="J761" s="1"/>
      <c r="K761" s="1"/>
      <c r="L761" s="1"/>
      <c r="M761" s="1"/>
      <c r="N761" s="1"/>
      <c r="O761" s="1"/>
      <c r="P761" s="1"/>
      <c r="Q761" s="1"/>
      <c r="R761" s="1"/>
    </row>
    <row r="762" spans="10:18">
      <c r="J762" s="1"/>
      <c r="K762" s="1"/>
      <c r="L762" s="1"/>
      <c r="M762" s="1"/>
      <c r="N762" s="1"/>
      <c r="O762" s="1"/>
      <c r="P762" s="1"/>
      <c r="Q762" s="1"/>
      <c r="R762" s="1"/>
    </row>
    <row r="763" spans="10:18">
      <c r="J763" s="1"/>
      <c r="K763" s="1"/>
      <c r="L763" s="1"/>
      <c r="M763" s="1"/>
      <c r="N763" s="1"/>
      <c r="O763" s="1"/>
      <c r="P763" s="1"/>
      <c r="Q763" s="1"/>
      <c r="R763" s="1"/>
    </row>
    <row r="764" spans="10:18">
      <c r="J764" s="1"/>
      <c r="K764" s="1"/>
      <c r="L764" s="1"/>
      <c r="M764" s="1"/>
      <c r="N764" s="1"/>
      <c r="O764" s="1"/>
      <c r="P764" s="1"/>
      <c r="Q764" s="1"/>
      <c r="R764" s="1"/>
    </row>
    <row r="765" spans="10:18">
      <c r="J765" s="1"/>
      <c r="K765" s="1"/>
      <c r="L765" s="1"/>
      <c r="M765" s="1"/>
      <c r="N765" s="1"/>
      <c r="O765" s="1"/>
      <c r="P765" s="1"/>
      <c r="Q765" s="1"/>
      <c r="R765" s="1"/>
    </row>
    <row r="766" spans="10:18">
      <c r="J766" s="1"/>
      <c r="K766" s="1"/>
      <c r="L766" s="1"/>
      <c r="M766" s="1"/>
      <c r="N766" s="1"/>
      <c r="O766" s="1"/>
      <c r="P766" s="1"/>
      <c r="Q766" s="1"/>
      <c r="R766" s="1"/>
    </row>
    <row r="767" spans="10:18">
      <c r="J767" s="1"/>
      <c r="K767" s="1"/>
      <c r="L767" s="1"/>
      <c r="M767" s="1"/>
      <c r="N767" s="1"/>
      <c r="O767" s="1"/>
      <c r="P767" s="1"/>
      <c r="Q767" s="1"/>
      <c r="R767" s="1"/>
    </row>
    <row r="768" spans="10:18">
      <c r="J768" s="1"/>
      <c r="K768" s="1"/>
      <c r="L768" s="1"/>
      <c r="M768" s="1"/>
      <c r="N768" s="1"/>
      <c r="O768" s="1"/>
      <c r="P768" s="1"/>
      <c r="Q768" s="1"/>
      <c r="R768" s="1"/>
    </row>
    <row r="769" spans="10:18">
      <c r="J769" s="1"/>
      <c r="K769" s="1"/>
      <c r="L769" s="1"/>
      <c r="M769" s="1"/>
      <c r="N769" s="1"/>
      <c r="O769" s="1"/>
      <c r="P769" s="1"/>
      <c r="Q769" s="1"/>
      <c r="R769" s="1"/>
    </row>
    <row r="770" spans="10:18">
      <c r="J770" s="1"/>
      <c r="K770" s="1"/>
      <c r="L770" s="1"/>
      <c r="M770" s="1"/>
      <c r="N770" s="1"/>
      <c r="O770" s="1"/>
      <c r="P770" s="1"/>
      <c r="Q770" s="1"/>
      <c r="R770" s="1"/>
    </row>
    <row r="771" spans="10:18">
      <c r="J771" s="1"/>
      <c r="K771" s="1"/>
      <c r="L771" s="1"/>
      <c r="M771" s="1"/>
      <c r="N771" s="1"/>
      <c r="O771" s="1"/>
      <c r="P771" s="1"/>
      <c r="Q771" s="1"/>
      <c r="R771" s="1"/>
    </row>
    <row r="772" spans="10:18">
      <c r="J772" s="1"/>
      <c r="K772" s="1"/>
      <c r="L772" s="1"/>
      <c r="M772" s="1"/>
      <c r="N772" s="1"/>
      <c r="O772" s="1"/>
      <c r="P772" s="1"/>
      <c r="Q772" s="1"/>
      <c r="R772" s="1"/>
    </row>
    <row r="773" spans="10:18">
      <c r="J773" s="1"/>
      <c r="K773" s="1"/>
      <c r="L773" s="1"/>
      <c r="M773" s="1"/>
      <c r="N773" s="1"/>
      <c r="O773" s="1"/>
      <c r="P773" s="1"/>
      <c r="Q773" s="1"/>
      <c r="R773" s="1"/>
    </row>
    <row r="774" spans="10:18">
      <c r="J774" s="1"/>
      <c r="K774" s="1"/>
      <c r="L774" s="1"/>
      <c r="M774" s="1"/>
      <c r="N774" s="1"/>
      <c r="O774" s="1"/>
      <c r="P774" s="1"/>
      <c r="Q774" s="1"/>
      <c r="R774" s="1"/>
    </row>
    <row r="775" spans="10:18">
      <c r="J775" s="1"/>
      <c r="K775" s="1"/>
      <c r="L775" s="1"/>
      <c r="M775" s="1"/>
      <c r="N775" s="1"/>
      <c r="O775" s="1"/>
      <c r="P775" s="1"/>
      <c r="Q775" s="1"/>
      <c r="R775" s="1"/>
    </row>
    <row r="776" spans="10:18">
      <c r="J776" s="1"/>
      <c r="K776" s="1"/>
      <c r="L776" s="1"/>
      <c r="M776" s="1"/>
      <c r="N776" s="1"/>
      <c r="O776" s="1"/>
      <c r="P776" s="1"/>
      <c r="Q776" s="1"/>
      <c r="R776" s="1"/>
    </row>
    <row r="777" spans="10:18">
      <c r="J777" s="1"/>
      <c r="K777" s="1"/>
      <c r="L777" s="1"/>
      <c r="M777" s="1"/>
      <c r="N777" s="1"/>
      <c r="O777" s="1"/>
      <c r="P777" s="1"/>
      <c r="Q777" s="1"/>
      <c r="R777" s="1"/>
    </row>
    <row r="778" spans="10:18">
      <c r="J778" s="1"/>
      <c r="K778" s="1"/>
      <c r="L778" s="1"/>
      <c r="M778" s="1"/>
      <c r="N778" s="1"/>
      <c r="O778" s="1"/>
      <c r="P778" s="1"/>
      <c r="Q778" s="1"/>
      <c r="R778" s="1"/>
    </row>
    <row r="779" spans="10:18">
      <c r="J779" s="1"/>
      <c r="K779" s="1"/>
      <c r="L779" s="1"/>
      <c r="M779" s="1"/>
      <c r="N779" s="1"/>
      <c r="O779" s="1"/>
      <c r="P779" s="1"/>
      <c r="Q779" s="1"/>
      <c r="R779" s="1"/>
    </row>
    <row r="780" spans="10:18">
      <c r="J780" s="1"/>
      <c r="K780" s="1"/>
      <c r="L780" s="1"/>
      <c r="M780" s="1"/>
      <c r="N780" s="1"/>
      <c r="O780" s="1"/>
      <c r="P780" s="1"/>
      <c r="Q780" s="1"/>
      <c r="R780" s="1"/>
    </row>
    <row r="781" spans="10:18">
      <c r="J781" s="1"/>
      <c r="K781" s="1"/>
      <c r="L781" s="1"/>
      <c r="M781" s="1"/>
      <c r="N781" s="1"/>
      <c r="O781" s="1"/>
      <c r="P781" s="1"/>
      <c r="Q781" s="1"/>
      <c r="R781" s="1"/>
    </row>
    <row r="782" spans="10:18">
      <c r="J782" s="1"/>
      <c r="K782" s="1"/>
      <c r="L782" s="1"/>
      <c r="M782" s="1"/>
      <c r="N782" s="1"/>
      <c r="O782" s="1"/>
      <c r="P782" s="1"/>
      <c r="Q782" s="1"/>
      <c r="R782" s="1"/>
    </row>
    <row r="783" spans="10:18">
      <c r="J783" s="1"/>
      <c r="K783" s="1"/>
      <c r="L783" s="1"/>
      <c r="M783" s="1"/>
      <c r="N783" s="1"/>
      <c r="O783" s="1"/>
      <c r="P783" s="1"/>
      <c r="Q783" s="1"/>
      <c r="R783" s="1"/>
    </row>
    <row r="784" spans="10:18">
      <c r="J784" s="1"/>
      <c r="K784" s="1"/>
      <c r="L784" s="1"/>
      <c r="M784" s="1"/>
      <c r="N784" s="1"/>
      <c r="O784" s="1"/>
      <c r="P784" s="1"/>
      <c r="Q784" s="1"/>
      <c r="R784" s="1"/>
    </row>
    <row r="785" spans="10:18">
      <c r="J785" s="1"/>
      <c r="K785" s="1"/>
      <c r="L785" s="1"/>
      <c r="M785" s="1"/>
      <c r="N785" s="1"/>
      <c r="O785" s="1"/>
      <c r="P785" s="1"/>
      <c r="Q785" s="1"/>
      <c r="R785" s="1"/>
    </row>
    <row r="786" spans="10:18">
      <c r="J786" s="1"/>
      <c r="K786" s="1"/>
      <c r="L786" s="1"/>
      <c r="M786" s="1"/>
      <c r="N786" s="1"/>
      <c r="O786" s="1"/>
      <c r="P786" s="1"/>
      <c r="Q786" s="1"/>
      <c r="R786" s="1"/>
    </row>
    <row r="787" spans="10:18">
      <c r="J787" s="1"/>
      <c r="K787" s="1"/>
      <c r="L787" s="1"/>
      <c r="M787" s="1"/>
      <c r="N787" s="1"/>
      <c r="O787" s="1"/>
      <c r="P787" s="1"/>
      <c r="Q787" s="1"/>
      <c r="R787" s="1"/>
    </row>
    <row r="788" spans="10:18">
      <c r="J788" s="1"/>
      <c r="K788" s="1"/>
      <c r="L788" s="1"/>
      <c r="M788" s="1"/>
      <c r="N788" s="1"/>
      <c r="O788" s="1"/>
      <c r="P788" s="1"/>
      <c r="Q788" s="1"/>
      <c r="R788" s="1"/>
    </row>
    <row r="789" spans="10:18">
      <c r="J789" s="1"/>
      <c r="K789" s="1"/>
      <c r="L789" s="1"/>
      <c r="M789" s="1"/>
      <c r="N789" s="1"/>
      <c r="O789" s="1"/>
      <c r="P789" s="1"/>
      <c r="Q789" s="1"/>
      <c r="R789" s="1"/>
    </row>
    <row r="790" spans="10:18">
      <c r="J790" s="1"/>
      <c r="K790" s="1"/>
      <c r="L790" s="1"/>
      <c r="M790" s="1"/>
      <c r="N790" s="1"/>
      <c r="O790" s="1"/>
      <c r="P790" s="1"/>
      <c r="Q790" s="1"/>
      <c r="R790" s="1"/>
    </row>
    <row r="791" spans="10:18">
      <c r="J791" s="1"/>
      <c r="K791" s="1"/>
      <c r="L791" s="1"/>
      <c r="M791" s="1"/>
      <c r="N791" s="1"/>
      <c r="O791" s="1"/>
      <c r="P791" s="1"/>
      <c r="Q791" s="1"/>
      <c r="R791" s="1"/>
    </row>
    <row r="792" spans="10:18">
      <c r="J792" s="1"/>
      <c r="K792" s="1"/>
      <c r="L792" s="1"/>
      <c r="M792" s="1"/>
      <c r="N792" s="1"/>
      <c r="O792" s="1"/>
      <c r="P792" s="1"/>
      <c r="Q792" s="1"/>
      <c r="R792" s="1"/>
    </row>
    <row r="793" spans="10:18">
      <c r="J793" s="1"/>
      <c r="K793" s="1"/>
      <c r="L793" s="1"/>
      <c r="M793" s="1"/>
      <c r="N793" s="1"/>
      <c r="O793" s="1"/>
      <c r="P793" s="1"/>
      <c r="Q793" s="1"/>
      <c r="R793" s="1"/>
    </row>
    <row r="794" spans="10:18">
      <c r="J794" s="1"/>
      <c r="K794" s="1"/>
      <c r="L794" s="1"/>
      <c r="M794" s="1"/>
      <c r="N794" s="1"/>
      <c r="O794" s="1"/>
      <c r="P794" s="1"/>
      <c r="Q794" s="1"/>
      <c r="R794" s="1"/>
    </row>
    <row r="795" spans="10:18">
      <c r="J795" s="1"/>
      <c r="K795" s="1"/>
      <c r="L795" s="1"/>
      <c r="M795" s="1"/>
      <c r="N795" s="1"/>
      <c r="O795" s="1"/>
      <c r="P795" s="1"/>
      <c r="Q795" s="1"/>
      <c r="R795" s="1"/>
    </row>
    <row r="796" spans="10:18">
      <c r="J796" s="1"/>
      <c r="K796" s="1"/>
      <c r="L796" s="1"/>
      <c r="M796" s="1"/>
      <c r="N796" s="1"/>
      <c r="O796" s="1"/>
      <c r="P796" s="1"/>
      <c r="Q796" s="1"/>
      <c r="R796" s="1"/>
    </row>
    <row r="797" spans="10:18">
      <c r="J797" s="1"/>
      <c r="K797" s="1"/>
      <c r="L797" s="1"/>
      <c r="M797" s="1"/>
      <c r="N797" s="1"/>
      <c r="O797" s="1"/>
      <c r="P797" s="1"/>
      <c r="Q797" s="1"/>
      <c r="R797" s="1"/>
    </row>
    <row r="798" spans="10:18">
      <c r="J798" s="1"/>
      <c r="K798" s="1"/>
      <c r="L798" s="1"/>
      <c r="M798" s="1"/>
      <c r="N798" s="1"/>
      <c r="O798" s="1"/>
      <c r="P798" s="1"/>
      <c r="Q798" s="1"/>
      <c r="R798" s="1"/>
    </row>
    <row r="799" spans="10:18">
      <c r="J799" s="1"/>
      <c r="K799" s="1"/>
      <c r="L799" s="1"/>
      <c r="M799" s="1"/>
      <c r="N799" s="1"/>
      <c r="O799" s="1"/>
      <c r="P799" s="1"/>
      <c r="Q799" s="1"/>
      <c r="R799" s="1"/>
    </row>
    <row r="800" spans="10:18">
      <c r="J800" s="1"/>
      <c r="K800" s="1"/>
      <c r="L800" s="1"/>
      <c r="M800" s="1"/>
      <c r="N800" s="1"/>
      <c r="O800" s="1"/>
      <c r="P800" s="1"/>
      <c r="Q800" s="1"/>
      <c r="R800" s="1"/>
    </row>
    <row r="801" spans="10:18">
      <c r="J801" s="1"/>
      <c r="K801" s="1"/>
      <c r="L801" s="1"/>
      <c r="M801" s="1"/>
      <c r="N801" s="1"/>
      <c r="O801" s="1"/>
      <c r="P801" s="1"/>
      <c r="Q801" s="1"/>
      <c r="R801" s="1"/>
    </row>
    <row r="802" spans="10:18">
      <c r="J802" s="1"/>
      <c r="K802" s="1"/>
      <c r="L802" s="1"/>
      <c r="M802" s="1"/>
      <c r="N802" s="1"/>
      <c r="O802" s="1"/>
      <c r="P802" s="1"/>
      <c r="Q802" s="1"/>
      <c r="R802" s="1"/>
    </row>
    <row r="803" spans="10:18">
      <c r="J803" s="1"/>
      <c r="K803" s="1"/>
      <c r="L803" s="1"/>
      <c r="M803" s="1"/>
      <c r="N803" s="1"/>
      <c r="O803" s="1"/>
      <c r="P803" s="1"/>
      <c r="Q803" s="1"/>
      <c r="R803" s="1"/>
    </row>
    <row r="804" spans="10:18">
      <c r="J804" s="1"/>
      <c r="K804" s="1"/>
      <c r="L804" s="1"/>
      <c r="M804" s="1"/>
      <c r="N804" s="1"/>
      <c r="O804" s="1"/>
      <c r="P804" s="1"/>
      <c r="Q804" s="1"/>
      <c r="R804" s="1"/>
    </row>
    <row r="805" spans="10:18">
      <c r="J805" s="1"/>
      <c r="K805" s="1"/>
      <c r="L805" s="1"/>
      <c r="M805" s="1"/>
      <c r="N805" s="1"/>
      <c r="O805" s="1"/>
      <c r="P805" s="1"/>
      <c r="Q805" s="1"/>
      <c r="R805" s="1"/>
    </row>
    <row r="806" spans="10:18">
      <c r="J806" s="1"/>
      <c r="K806" s="1"/>
      <c r="L806" s="1"/>
      <c r="M806" s="1"/>
      <c r="N806" s="1"/>
      <c r="O806" s="1"/>
      <c r="P806" s="1"/>
      <c r="Q806" s="1"/>
      <c r="R806" s="1"/>
    </row>
    <row r="807" spans="10:18">
      <c r="J807" s="1"/>
      <c r="K807" s="1"/>
      <c r="L807" s="1"/>
      <c r="M807" s="1"/>
      <c r="N807" s="1"/>
      <c r="O807" s="1"/>
      <c r="P807" s="1"/>
      <c r="Q807" s="1"/>
      <c r="R807" s="1"/>
    </row>
    <row r="808" spans="10:18">
      <c r="J808" s="1"/>
      <c r="K808" s="1"/>
      <c r="L808" s="1"/>
      <c r="M808" s="1"/>
      <c r="N808" s="1"/>
      <c r="O808" s="1"/>
      <c r="P808" s="1"/>
      <c r="Q808" s="1"/>
      <c r="R808" s="1"/>
    </row>
    <row r="809" spans="10:18">
      <c r="J809" s="1"/>
      <c r="K809" s="1"/>
      <c r="L809" s="1"/>
      <c r="M809" s="1"/>
      <c r="N809" s="1"/>
      <c r="O809" s="1"/>
      <c r="P809" s="1"/>
      <c r="Q809" s="1"/>
      <c r="R809" s="1"/>
    </row>
    <row r="810" spans="10:18">
      <c r="J810" s="1"/>
      <c r="K810" s="1"/>
      <c r="L810" s="1"/>
      <c r="M810" s="1"/>
      <c r="N810" s="1"/>
      <c r="O810" s="1"/>
      <c r="P810" s="1"/>
      <c r="Q810" s="1"/>
      <c r="R810" s="1"/>
    </row>
    <row r="811" spans="10:18">
      <c r="J811" s="1"/>
      <c r="K811" s="1"/>
      <c r="L811" s="1"/>
      <c r="M811" s="1"/>
      <c r="N811" s="1"/>
      <c r="O811" s="1"/>
      <c r="P811" s="1"/>
      <c r="Q811" s="1"/>
      <c r="R811" s="1"/>
    </row>
    <row r="812" spans="10:18">
      <c r="J812" s="1"/>
      <c r="K812" s="1"/>
      <c r="L812" s="1"/>
      <c r="M812" s="1"/>
      <c r="N812" s="1"/>
      <c r="O812" s="1"/>
      <c r="P812" s="1"/>
      <c r="Q812" s="1"/>
      <c r="R812" s="1"/>
    </row>
    <row r="813" spans="10:18">
      <c r="J813" s="1"/>
      <c r="K813" s="1"/>
      <c r="L813" s="1"/>
      <c r="M813" s="1"/>
      <c r="N813" s="1"/>
      <c r="O813" s="1"/>
      <c r="P813" s="1"/>
      <c r="Q813" s="1"/>
      <c r="R813" s="1"/>
    </row>
    <row r="814" spans="10:18">
      <c r="J814" s="1"/>
      <c r="K814" s="1"/>
      <c r="L814" s="1"/>
      <c r="M814" s="1"/>
      <c r="N814" s="1"/>
      <c r="O814" s="1"/>
      <c r="P814" s="1"/>
      <c r="Q814" s="1"/>
      <c r="R814" s="1"/>
    </row>
    <row r="815" spans="10:18">
      <c r="J815" s="1"/>
      <c r="K815" s="1"/>
      <c r="L815" s="1"/>
      <c r="M815" s="1"/>
      <c r="N815" s="1"/>
      <c r="O815" s="1"/>
      <c r="P815" s="1"/>
      <c r="Q815" s="1"/>
      <c r="R815" s="1"/>
    </row>
    <row r="816" spans="10:18">
      <c r="J816" s="1"/>
      <c r="K816" s="1"/>
      <c r="L816" s="1"/>
      <c r="M816" s="1"/>
      <c r="N816" s="1"/>
      <c r="O816" s="1"/>
      <c r="P816" s="1"/>
      <c r="Q816" s="1"/>
      <c r="R816" s="1"/>
    </row>
    <row r="817" spans="10:18">
      <c r="J817" s="1"/>
      <c r="K817" s="1"/>
      <c r="L817" s="1"/>
      <c r="M817" s="1"/>
      <c r="N817" s="1"/>
      <c r="O817" s="1"/>
      <c r="P817" s="1"/>
      <c r="Q817" s="1"/>
      <c r="R817" s="1"/>
    </row>
    <row r="818" spans="10:18">
      <c r="J818" s="1"/>
      <c r="K818" s="1"/>
      <c r="L818" s="1"/>
      <c r="M818" s="1"/>
      <c r="N818" s="1"/>
      <c r="O818" s="1"/>
      <c r="P818" s="1"/>
      <c r="Q818" s="1"/>
      <c r="R818" s="1"/>
    </row>
    <row r="819" spans="10:18">
      <c r="J819" s="1"/>
      <c r="K819" s="1"/>
      <c r="L819" s="1"/>
      <c r="M819" s="1"/>
      <c r="N819" s="1"/>
      <c r="O819" s="1"/>
      <c r="P819" s="1"/>
      <c r="Q819" s="1"/>
      <c r="R819" s="1"/>
    </row>
    <row r="820" spans="10:18">
      <c r="J820" s="1"/>
      <c r="K820" s="1"/>
      <c r="L820" s="1"/>
      <c r="M820" s="1"/>
      <c r="N820" s="1"/>
      <c r="O820" s="1"/>
      <c r="P820" s="1"/>
      <c r="Q820" s="1"/>
      <c r="R820" s="1"/>
    </row>
    <row r="821" spans="10:18">
      <c r="J821" s="1"/>
      <c r="K821" s="1"/>
      <c r="L821" s="1"/>
      <c r="M821" s="1"/>
      <c r="N821" s="1"/>
      <c r="O821" s="1"/>
      <c r="P821" s="1"/>
      <c r="Q821" s="1"/>
      <c r="R821" s="1"/>
    </row>
    <row r="822" spans="10:18">
      <c r="J822" s="1"/>
      <c r="K822" s="1"/>
      <c r="L822" s="1"/>
      <c r="M822" s="1"/>
      <c r="N822" s="1"/>
      <c r="O822" s="1"/>
      <c r="P822" s="1"/>
      <c r="Q822" s="1"/>
      <c r="R822" s="1"/>
    </row>
    <row r="823" spans="10:18">
      <c r="J823" s="1"/>
      <c r="K823" s="1"/>
      <c r="L823" s="1"/>
      <c r="M823" s="1"/>
      <c r="N823" s="1"/>
      <c r="O823" s="1"/>
      <c r="P823" s="1"/>
      <c r="Q823" s="1"/>
      <c r="R823" s="1"/>
    </row>
    <row r="824" spans="10:18">
      <c r="J824" s="1"/>
      <c r="K824" s="1"/>
      <c r="L824" s="1"/>
      <c r="M824" s="1"/>
      <c r="N824" s="1"/>
      <c r="O824" s="1"/>
      <c r="P824" s="1"/>
      <c r="Q824" s="1"/>
      <c r="R824" s="1"/>
    </row>
    <row r="825" spans="10:18">
      <c r="J825" s="1"/>
      <c r="K825" s="1"/>
      <c r="L825" s="1"/>
      <c r="M825" s="1"/>
      <c r="N825" s="1"/>
      <c r="O825" s="1"/>
      <c r="P825" s="1"/>
      <c r="Q825" s="1"/>
      <c r="R825" s="1"/>
    </row>
    <row r="826" spans="10:18">
      <c r="J826" s="1"/>
      <c r="K826" s="1"/>
      <c r="L826" s="1"/>
      <c r="M826" s="1"/>
      <c r="N826" s="1"/>
      <c r="O826" s="1"/>
      <c r="P826" s="1"/>
      <c r="Q826" s="1"/>
      <c r="R826" s="1"/>
    </row>
    <row r="827" spans="10:18">
      <c r="J827" s="1"/>
      <c r="K827" s="1"/>
      <c r="L827" s="1"/>
      <c r="M827" s="1"/>
      <c r="N827" s="1"/>
      <c r="O827" s="1"/>
      <c r="P827" s="1"/>
      <c r="Q827" s="1"/>
      <c r="R827" s="1"/>
    </row>
    <row r="828" spans="10:18">
      <c r="J828" s="1"/>
      <c r="K828" s="1"/>
      <c r="L828" s="1"/>
      <c r="M828" s="1"/>
      <c r="N828" s="1"/>
      <c r="O828" s="1"/>
      <c r="P828" s="1"/>
      <c r="Q828" s="1"/>
      <c r="R828" s="1"/>
    </row>
    <row r="829" spans="10:18">
      <c r="J829" s="1"/>
      <c r="K829" s="1"/>
      <c r="L829" s="1"/>
      <c r="M829" s="1"/>
      <c r="N829" s="1"/>
      <c r="O829" s="1"/>
      <c r="P829" s="1"/>
      <c r="Q829" s="1"/>
      <c r="R829" s="1"/>
    </row>
    <row r="830" spans="10:18">
      <c r="J830" s="1"/>
      <c r="K830" s="1"/>
      <c r="L830" s="1"/>
      <c r="M830" s="1"/>
      <c r="N830" s="1"/>
      <c r="O830" s="1"/>
      <c r="P830" s="1"/>
      <c r="Q830" s="1"/>
      <c r="R830" s="1"/>
    </row>
    <row r="831" spans="10:18">
      <c r="J831" s="1"/>
      <c r="K831" s="1"/>
      <c r="L831" s="1"/>
      <c r="M831" s="1"/>
      <c r="N831" s="1"/>
      <c r="O831" s="1"/>
      <c r="P831" s="1"/>
      <c r="Q831" s="1"/>
      <c r="R831" s="1"/>
    </row>
    <row r="832" spans="10:18">
      <c r="J832" s="1"/>
      <c r="K832" s="1"/>
      <c r="L832" s="1"/>
      <c r="M832" s="1"/>
      <c r="N832" s="1"/>
      <c r="O832" s="1"/>
      <c r="P832" s="1"/>
      <c r="Q832" s="1"/>
      <c r="R832" s="1"/>
    </row>
    <row r="833" spans="10:18">
      <c r="J833" s="1"/>
      <c r="K833" s="1"/>
      <c r="L833" s="1"/>
      <c r="M833" s="1"/>
      <c r="N833" s="1"/>
      <c r="O833" s="1"/>
      <c r="P833" s="1"/>
      <c r="Q833" s="1"/>
      <c r="R833" s="1"/>
    </row>
    <row r="834" spans="10:18">
      <c r="J834" s="1"/>
      <c r="K834" s="1"/>
      <c r="L834" s="1"/>
      <c r="M834" s="1"/>
      <c r="N834" s="1"/>
      <c r="O834" s="1"/>
      <c r="P834" s="1"/>
      <c r="Q834" s="1"/>
      <c r="R834" s="1"/>
    </row>
    <row r="835" spans="10:18">
      <c r="J835" s="1"/>
      <c r="K835" s="1"/>
      <c r="L835" s="1"/>
      <c r="M835" s="1"/>
      <c r="N835" s="1"/>
      <c r="O835" s="1"/>
      <c r="P835" s="1"/>
      <c r="Q835" s="1"/>
      <c r="R835" s="1"/>
    </row>
    <row r="836" spans="10:18">
      <c r="J836" s="1"/>
      <c r="K836" s="1"/>
      <c r="L836" s="1"/>
      <c r="M836" s="1"/>
      <c r="N836" s="1"/>
      <c r="O836" s="1"/>
      <c r="P836" s="1"/>
      <c r="Q836" s="1"/>
      <c r="R836" s="1"/>
    </row>
    <row r="837" spans="10:18">
      <c r="J837" s="1"/>
      <c r="K837" s="1"/>
      <c r="L837" s="1"/>
      <c r="M837" s="1"/>
      <c r="N837" s="1"/>
      <c r="O837" s="1"/>
      <c r="P837" s="1"/>
      <c r="Q837" s="1"/>
      <c r="R837" s="1"/>
    </row>
    <row r="838" spans="10:18">
      <c r="J838" s="1"/>
      <c r="K838" s="1"/>
      <c r="L838" s="1"/>
      <c r="M838" s="1"/>
      <c r="N838" s="1"/>
      <c r="O838" s="1"/>
      <c r="P838" s="1"/>
      <c r="Q838" s="1"/>
      <c r="R838" s="1"/>
    </row>
    <row r="839" spans="10:18">
      <c r="J839" s="1"/>
      <c r="K839" s="1"/>
      <c r="L839" s="1"/>
      <c r="M839" s="1"/>
      <c r="N839" s="1"/>
      <c r="O839" s="1"/>
      <c r="P839" s="1"/>
      <c r="Q839" s="1"/>
      <c r="R839" s="1"/>
    </row>
    <row r="840" spans="10:18">
      <c r="J840" s="1"/>
      <c r="K840" s="1"/>
      <c r="L840" s="1"/>
      <c r="M840" s="1"/>
      <c r="N840" s="1"/>
      <c r="O840" s="1"/>
      <c r="P840" s="1"/>
      <c r="Q840" s="1"/>
      <c r="R840" s="1"/>
    </row>
    <row r="841" spans="10:18">
      <c r="J841" s="1"/>
      <c r="K841" s="1"/>
      <c r="L841" s="1"/>
      <c r="M841" s="1"/>
      <c r="N841" s="1"/>
      <c r="O841" s="1"/>
      <c r="P841" s="1"/>
      <c r="Q841" s="1"/>
      <c r="R841" s="1"/>
    </row>
    <row r="842" spans="10:18">
      <c r="J842" s="1"/>
      <c r="K842" s="1"/>
      <c r="L842" s="1"/>
      <c r="M842" s="1"/>
      <c r="N842" s="1"/>
      <c r="O842" s="1"/>
      <c r="P842" s="1"/>
      <c r="Q842" s="1"/>
      <c r="R842" s="1"/>
    </row>
    <row r="843" spans="10:18">
      <c r="J843" s="1"/>
      <c r="K843" s="1"/>
      <c r="L843" s="1"/>
      <c r="M843" s="1"/>
      <c r="N843" s="1"/>
      <c r="O843" s="1"/>
      <c r="P843" s="1"/>
      <c r="Q843" s="1"/>
      <c r="R843" s="1"/>
    </row>
    <row r="844" spans="10:18">
      <c r="J844" s="1"/>
      <c r="K844" s="1"/>
      <c r="L844" s="1"/>
      <c r="M844" s="1"/>
      <c r="N844" s="1"/>
      <c r="O844" s="1"/>
      <c r="P844" s="1"/>
      <c r="Q844" s="1"/>
      <c r="R844" s="1"/>
    </row>
    <row r="845" spans="10:18">
      <c r="J845" s="1"/>
      <c r="K845" s="1"/>
      <c r="L845" s="1"/>
      <c r="M845" s="1"/>
      <c r="N845" s="1"/>
      <c r="O845" s="1"/>
      <c r="P845" s="1"/>
      <c r="Q845" s="1"/>
      <c r="R845" s="1"/>
    </row>
    <row r="846" spans="10:18">
      <c r="J846" s="1"/>
      <c r="K846" s="1"/>
      <c r="L846" s="1"/>
      <c r="M846" s="1"/>
      <c r="N846" s="1"/>
      <c r="O846" s="1"/>
      <c r="P846" s="1"/>
      <c r="Q846" s="1"/>
      <c r="R846" s="1"/>
    </row>
    <row r="847" spans="10:18">
      <c r="J847" s="1"/>
      <c r="K847" s="1"/>
      <c r="L847" s="1"/>
      <c r="M847" s="1"/>
      <c r="N847" s="1"/>
      <c r="O847" s="1"/>
      <c r="P847" s="1"/>
      <c r="Q847" s="1"/>
      <c r="R847" s="1"/>
    </row>
    <row r="848" spans="10:18">
      <c r="J848" s="1"/>
      <c r="K848" s="1"/>
      <c r="L848" s="1"/>
      <c r="M848" s="1"/>
      <c r="N848" s="1"/>
      <c r="O848" s="1"/>
      <c r="P848" s="1"/>
      <c r="Q848" s="1"/>
      <c r="R848" s="1"/>
    </row>
    <row r="849" spans="10:18">
      <c r="J849" s="1"/>
      <c r="K849" s="1"/>
      <c r="L849" s="1"/>
      <c r="M849" s="1"/>
      <c r="N849" s="1"/>
      <c r="O849" s="1"/>
      <c r="P849" s="1"/>
      <c r="Q849" s="1"/>
      <c r="R849" s="1"/>
    </row>
    <row r="850" spans="10:18">
      <c r="J850" s="1"/>
      <c r="K850" s="1"/>
      <c r="L850" s="1"/>
      <c r="M850" s="1"/>
      <c r="N850" s="1"/>
      <c r="O850" s="1"/>
      <c r="P850" s="1"/>
      <c r="Q850" s="1"/>
      <c r="R850" s="1"/>
    </row>
    <row r="851" spans="10:18">
      <c r="J851" s="1"/>
      <c r="K851" s="1"/>
      <c r="L851" s="1"/>
      <c r="M851" s="1"/>
      <c r="N851" s="1"/>
      <c r="O851" s="1"/>
      <c r="P851" s="1"/>
      <c r="Q851" s="1"/>
      <c r="R851" s="1"/>
    </row>
    <row r="852" spans="10:18">
      <c r="J852" s="1"/>
      <c r="K852" s="1"/>
      <c r="L852" s="1"/>
      <c r="M852" s="1"/>
      <c r="N852" s="1"/>
      <c r="O852" s="1"/>
      <c r="P852" s="1"/>
      <c r="Q852" s="1"/>
      <c r="R852" s="1"/>
    </row>
    <row r="853" spans="10:18">
      <c r="J853" s="1"/>
      <c r="K853" s="1"/>
      <c r="L853" s="1"/>
      <c r="M853" s="1"/>
      <c r="N853" s="1"/>
      <c r="O853" s="1"/>
      <c r="P853" s="1"/>
      <c r="Q853" s="1"/>
      <c r="R853" s="1"/>
    </row>
    <row r="854" spans="10:18">
      <c r="J854" s="1"/>
      <c r="K854" s="1"/>
      <c r="L854" s="1"/>
      <c r="M854" s="1"/>
      <c r="N854" s="1"/>
      <c r="O854" s="1"/>
      <c r="P854" s="1"/>
      <c r="Q854" s="1"/>
      <c r="R854" s="1"/>
    </row>
    <row r="855" spans="10:18">
      <c r="J855" s="1"/>
      <c r="K855" s="1"/>
      <c r="L855" s="1"/>
      <c r="M855" s="1"/>
      <c r="N855" s="1"/>
      <c r="O855" s="1"/>
      <c r="P855" s="1"/>
      <c r="Q855" s="1"/>
      <c r="R855" s="1"/>
    </row>
    <row r="856" spans="10:18">
      <c r="J856" s="1"/>
      <c r="K856" s="1"/>
      <c r="L856" s="1"/>
      <c r="M856" s="1"/>
      <c r="N856" s="1"/>
      <c r="O856" s="1"/>
      <c r="P856" s="1"/>
      <c r="Q856" s="1"/>
      <c r="R856" s="1"/>
    </row>
    <row r="857" spans="10:18">
      <c r="J857" s="1"/>
      <c r="K857" s="1"/>
      <c r="L857" s="1"/>
      <c r="M857" s="1"/>
      <c r="N857" s="1"/>
      <c r="O857" s="1"/>
      <c r="P857" s="1"/>
      <c r="Q857" s="1"/>
      <c r="R857" s="1"/>
    </row>
    <row r="858" spans="10:18">
      <c r="J858" s="1"/>
      <c r="K858" s="1"/>
      <c r="L858" s="1"/>
      <c r="M858" s="1"/>
      <c r="N858" s="1"/>
      <c r="O858" s="1"/>
      <c r="P858" s="1"/>
      <c r="Q858" s="1"/>
      <c r="R858" s="1"/>
    </row>
    <row r="859" spans="10:18">
      <c r="J859" s="1"/>
      <c r="K859" s="1"/>
      <c r="L859" s="1"/>
      <c r="M859" s="1"/>
      <c r="N859" s="1"/>
      <c r="O859" s="1"/>
      <c r="P859" s="1"/>
      <c r="Q859" s="1"/>
      <c r="R859" s="1"/>
    </row>
    <row r="860" spans="10:18">
      <c r="J860" s="1"/>
      <c r="K860" s="1"/>
      <c r="L860" s="1"/>
      <c r="M860" s="1"/>
      <c r="N860" s="1"/>
      <c r="O860" s="1"/>
      <c r="P860" s="1"/>
      <c r="Q860" s="1"/>
      <c r="R860" s="1"/>
    </row>
    <row r="861" spans="10:18">
      <c r="J861" s="1"/>
      <c r="K861" s="1"/>
      <c r="L861" s="1"/>
      <c r="M861" s="1"/>
      <c r="N861" s="1"/>
      <c r="O861" s="1"/>
      <c r="P861" s="1"/>
      <c r="Q861" s="1"/>
      <c r="R861" s="1"/>
    </row>
    <row r="862" spans="10:18">
      <c r="J862" s="1"/>
      <c r="K862" s="1"/>
      <c r="L862" s="1"/>
      <c r="M862" s="1"/>
      <c r="N862" s="1"/>
      <c r="O862" s="1"/>
      <c r="P862" s="1"/>
      <c r="Q862" s="1"/>
      <c r="R862" s="1"/>
    </row>
    <row r="863" spans="10:18">
      <c r="J863" s="1"/>
      <c r="K863" s="1"/>
      <c r="L863" s="1"/>
      <c r="M863" s="1"/>
      <c r="N863" s="1"/>
      <c r="O863" s="1"/>
      <c r="P863" s="1"/>
      <c r="Q863" s="1"/>
      <c r="R863" s="1"/>
    </row>
    <row r="864" spans="10:18">
      <c r="J864" s="1"/>
      <c r="K864" s="1"/>
      <c r="L864" s="1"/>
      <c r="M864" s="1"/>
      <c r="N864" s="1"/>
      <c r="O864" s="1"/>
      <c r="P864" s="1"/>
      <c r="Q864" s="1"/>
      <c r="R864" s="1"/>
    </row>
    <row r="865" spans="10:18">
      <c r="J865" s="1"/>
      <c r="K865" s="1"/>
      <c r="L865" s="1"/>
      <c r="M865" s="1"/>
      <c r="N865" s="1"/>
      <c r="O865" s="1"/>
      <c r="P865" s="1"/>
      <c r="Q865" s="1"/>
      <c r="R865" s="1"/>
    </row>
    <row r="866" spans="10:18">
      <c r="J866" s="1"/>
      <c r="K866" s="1"/>
      <c r="L866" s="1"/>
      <c r="M866" s="1"/>
      <c r="N866" s="1"/>
      <c r="O866" s="1"/>
      <c r="P866" s="1"/>
      <c r="Q866" s="1"/>
      <c r="R866" s="1"/>
    </row>
    <row r="867" spans="10:18">
      <c r="J867" s="1"/>
      <c r="K867" s="1"/>
      <c r="L867" s="1"/>
      <c r="M867" s="1"/>
      <c r="N867" s="1"/>
      <c r="O867" s="1"/>
      <c r="P867" s="1"/>
      <c r="Q867" s="1"/>
      <c r="R867" s="1"/>
    </row>
    <row r="868" spans="10:18">
      <c r="J868" s="1"/>
      <c r="K868" s="1"/>
      <c r="L868" s="1"/>
      <c r="M868" s="1"/>
      <c r="N868" s="1"/>
      <c r="O868" s="1"/>
      <c r="P868" s="1"/>
      <c r="Q868" s="1"/>
      <c r="R868" s="1"/>
    </row>
    <row r="869" spans="10:18">
      <c r="J869" s="1"/>
      <c r="K869" s="1"/>
      <c r="L869" s="1"/>
      <c r="M869" s="1"/>
      <c r="N869" s="1"/>
      <c r="O869" s="1"/>
      <c r="P869" s="1"/>
      <c r="Q869" s="1"/>
      <c r="R869" s="1"/>
    </row>
    <row r="870" spans="10:18">
      <c r="J870" s="1"/>
      <c r="K870" s="1"/>
      <c r="L870" s="1"/>
      <c r="M870" s="1"/>
      <c r="N870" s="1"/>
      <c r="O870" s="1"/>
      <c r="P870" s="1"/>
      <c r="Q870" s="1"/>
      <c r="R870" s="1"/>
    </row>
    <row r="871" spans="10:18">
      <c r="J871" s="1"/>
      <c r="K871" s="1"/>
      <c r="L871" s="1"/>
      <c r="M871" s="1"/>
      <c r="N871" s="1"/>
      <c r="O871" s="1"/>
      <c r="P871" s="1"/>
      <c r="Q871" s="1"/>
      <c r="R871" s="1"/>
    </row>
    <row r="872" spans="10:18">
      <c r="J872" s="1"/>
      <c r="K872" s="1"/>
      <c r="L872" s="1"/>
      <c r="M872" s="1"/>
      <c r="N872" s="1"/>
      <c r="O872" s="1"/>
      <c r="P872" s="1"/>
      <c r="Q872" s="1"/>
      <c r="R872" s="1"/>
    </row>
    <row r="873" spans="10:18">
      <c r="J873" s="1"/>
      <c r="K873" s="1"/>
      <c r="L873" s="1"/>
      <c r="M873" s="1"/>
      <c r="N873" s="1"/>
      <c r="O873" s="1"/>
      <c r="P873" s="1"/>
      <c r="Q873" s="1"/>
      <c r="R873" s="1"/>
    </row>
    <row r="874" spans="10:18">
      <c r="J874" s="1"/>
      <c r="K874" s="1"/>
      <c r="L874" s="1"/>
      <c r="M874" s="1"/>
      <c r="N874" s="1"/>
      <c r="O874" s="1"/>
      <c r="P874" s="1"/>
      <c r="Q874" s="1"/>
      <c r="R874" s="1"/>
    </row>
    <row r="875" spans="10:18">
      <c r="J875" s="1"/>
      <c r="K875" s="1"/>
      <c r="L875" s="1"/>
      <c r="M875" s="1"/>
      <c r="N875" s="1"/>
      <c r="O875" s="1"/>
      <c r="P875" s="1"/>
      <c r="Q875" s="1"/>
      <c r="R875" s="1"/>
    </row>
    <row r="876" spans="10:18">
      <c r="J876" s="1"/>
      <c r="K876" s="1"/>
      <c r="L876" s="1"/>
      <c r="M876" s="1"/>
      <c r="N876" s="1"/>
      <c r="O876" s="1"/>
      <c r="P876" s="1"/>
      <c r="Q876" s="1"/>
      <c r="R876" s="1"/>
    </row>
    <row r="877" spans="10:18">
      <c r="J877" s="1"/>
      <c r="K877" s="1"/>
      <c r="L877" s="1"/>
      <c r="M877" s="1"/>
      <c r="N877" s="1"/>
      <c r="O877" s="1"/>
      <c r="P877" s="1"/>
      <c r="Q877" s="1"/>
      <c r="R877" s="1"/>
    </row>
    <row r="878" spans="10:18">
      <c r="J878" s="1"/>
      <c r="K878" s="1"/>
      <c r="L878" s="1"/>
      <c r="M878" s="1"/>
      <c r="N878" s="1"/>
      <c r="O878" s="1"/>
      <c r="P878" s="1"/>
      <c r="Q878" s="1"/>
      <c r="R878" s="1"/>
    </row>
    <row r="879" spans="10:18">
      <c r="J879" s="1"/>
      <c r="K879" s="1"/>
      <c r="L879" s="1"/>
      <c r="M879" s="1"/>
      <c r="N879" s="1"/>
      <c r="O879" s="1"/>
      <c r="P879" s="1"/>
      <c r="Q879" s="1"/>
      <c r="R879" s="1"/>
    </row>
    <row r="880" spans="10:18">
      <c r="J880" s="1"/>
      <c r="K880" s="1"/>
      <c r="L880" s="1"/>
      <c r="M880" s="1"/>
      <c r="N880" s="1"/>
      <c r="O880" s="1"/>
      <c r="P880" s="1"/>
      <c r="Q880" s="1"/>
      <c r="R880" s="1"/>
    </row>
    <row r="881" spans="10:18">
      <c r="J881" s="1"/>
      <c r="K881" s="1"/>
      <c r="L881" s="1"/>
      <c r="M881" s="1"/>
      <c r="N881" s="1"/>
      <c r="O881" s="1"/>
      <c r="P881" s="1"/>
      <c r="Q881" s="1"/>
      <c r="R881" s="1"/>
    </row>
    <row r="882" spans="10:18">
      <c r="J882" s="1"/>
      <c r="K882" s="1"/>
      <c r="L882" s="1"/>
      <c r="M882" s="1"/>
      <c r="N882" s="1"/>
      <c r="O882" s="1"/>
      <c r="P882" s="1"/>
      <c r="Q882" s="1"/>
      <c r="R882" s="1"/>
    </row>
    <row r="883" spans="10:18">
      <c r="J883" s="1"/>
      <c r="K883" s="1"/>
      <c r="L883" s="1"/>
      <c r="M883" s="1"/>
      <c r="N883" s="1"/>
      <c r="O883" s="1"/>
      <c r="P883" s="1"/>
      <c r="Q883" s="1"/>
      <c r="R883" s="1"/>
    </row>
    <row r="884" spans="10:18">
      <c r="J884" s="1"/>
      <c r="K884" s="1"/>
      <c r="L884" s="1"/>
      <c r="M884" s="1"/>
      <c r="N884" s="1"/>
      <c r="O884" s="1"/>
      <c r="P884" s="1"/>
      <c r="Q884" s="1"/>
      <c r="R884" s="1"/>
    </row>
    <row r="885" spans="10:18">
      <c r="J885" s="1"/>
      <c r="K885" s="1"/>
      <c r="L885" s="1"/>
      <c r="M885" s="1"/>
      <c r="N885" s="1"/>
      <c r="O885" s="1"/>
      <c r="P885" s="1"/>
      <c r="Q885" s="1"/>
      <c r="R885" s="1"/>
    </row>
    <row r="886" spans="10:18">
      <c r="J886" s="1"/>
      <c r="K886" s="1"/>
      <c r="L886" s="1"/>
      <c r="M886" s="1"/>
      <c r="N886" s="1"/>
      <c r="O886" s="1"/>
      <c r="P886" s="1"/>
      <c r="Q886" s="1"/>
      <c r="R886" s="1"/>
    </row>
    <row r="887" spans="10:18">
      <c r="J887" s="1"/>
      <c r="K887" s="1"/>
      <c r="L887" s="1"/>
      <c r="M887" s="1"/>
      <c r="N887" s="1"/>
      <c r="O887" s="1"/>
      <c r="P887" s="1"/>
      <c r="Q887" s="1"/>
      <c r="R887" s="1"/>
    </row>
    <row r="888" spans="10:18">
      <c r="J888" s="1"/>
      <c r="K888" s="1"/>
      <c r="L888" s="1"/>
      <c r="M888" s="1"/>
      <c r="N888" s="1"/>
      <c r="O888" s="1"/>
      <c r="P888" s="1"/>
      <c r="Q888" s="1"/>
      <c r="R888" s="1"/>
    </row>
    <row r="889" spans="10:18">
      <c r="J889" s="1"/>
      <c r="K889" s="1"/>
      <c r="L889" s="1"/>
      <c r="M889" s="1"/>
      <c r="N889" s="1"/>
      <c r="O889" s="1"/>
      <c r="P889" s="1"/>
      <c r="Q889" s="1"/>
      <c r="R889" s="1"/>
    </row>
    <row r="890" spans="10:18">
      <c r="J890" s="1"/>
      <c r="K890" s="1"/>
      <c r="L890" s="1"/>
      <c r="M890" s="1"/>
      <c r="N890" s="1"/>
      <c r="O890" s="1"/>
      <c r="P890" s="1"/>
      <c r="Q890" s="1"/>
      <c r="R890" s="1"/>
    </row>
    <row r="891" spans="10:18">
      <c r="J891" s="1"/>
      <c r="K891" s="1"/>
      <c r="L891" s="1"/>
      <c r="M891" s="1"/>
      <c r="N891" s="1"/>
      <c r="O891" s="1"/>
      <c r="P891" s="1"/>
      <c r="Q891" s="1"/>
      <c r="R891" s="1"/>
    </row>
    <row r="892" spans="10:18">
      <c r="J892" s="1"/>
      <c r="K892" s="1"/>
      <c r="L892" s="1"/>
      <c r="M892" s="1"/>
      <c r="N892" s="1"/>
      <c r="O892" s="1"/>
      <c r="P892" s="1"/>
      <c r="Q892" s="1"/>
      <c r="R892" s="1"/>
    </row>
    <row r="893" spans="10:18">
      <c r="J893" s="1"/>
      <c r="K893" s="1"/>
      <c r="L893" s="1"/>
      <c r="M893" s="1"/>
      <c r="N893" s="1"/>
      <c r="O893" s="1"/>
      <c r="P893" s="1"/>
      <c r="Q893" s="1"/>
      <c r="R893" s="1"/>
    </row>
    <row r="894" spans="10:18">
      <c r="J894" s="1"/>
      <c r="K894" s="1"/>
      <c r="L894" s="1"/>
      <c r="M894" s="1"/>
      <c r="N894" s="1"/>
      <c r="O894" s="1"/>
      <c r="P894" s="1"/>
      <c r="Q894" s="1"/>
      <c r="R894" s="1"/>
    </row>
    <row r="895" spans="10:18">
      <c r="J895" s="1"/>
      <c r="K895" s="1"/>
      <c r="L895" s="1"/>
      <c r="M895" s="1"/>
      <c r="N895" s="1"/>
      <c r="O895" s="1"/>
      <c r="P895" s="1"/>
      <c r="Q895" s="1"/>
      <c r="R895" s="1"/>
    </row>
    <row r="896" spans="10:18">
      <c r="J896" s="1"/>
      <c r="K896" s="1"/>
      <c r="L896" s="1"/>
      <c r="M896" s="1"/>
      <c r="N896" s="1"/>
      <c r="O896" s="1"/>
      <c r="P896" s="1"/>
      <c r="Q896" s="1"/>
      <c r="R896" s="1"/>
    </row>
    <row r="897" spans="10:18">
      <c r="J897" s="1"/>
      <c r="K897" s="1"/>
      <c r="L897" s="1"/>
      <c r="M897" s="1"/>
      <c r="N897" s="1"/>
      <c r="O897" s="1"/>
      <c r="P897" s="1"/>
      <c r="Q897" s="1"/>
      <c r="R897" s="1"/>
    </row>
    <row r="898" spans="10:18">
      <c r="J898" s="1"/>
      <c r="K898" s="1"/>
      <c r="L898" s="1"/>
      <c r="M898" s="1"/>
      <c r="N898" s="1"/>
      <c r="O898" s="1"/>
      <c r="P898" s="1"/>
      <c r="Q898" s="1"/>
      <c r="R898" s="1"/>
    </row>
    <row r="899" spans="10:18">
      <c r="J899" s="1"/>
      <c r="K899" s="1"/>
      <c r="L899" s="1"/>
      <c r="M899" s="1"/>
      <c r="N899" s="1"/>
      <c r="O899" s="1"/>
      <c r="P899" s="1"/>
      <c r="Q899" s="1"/>
      <c r="R899" s="1"/>
    </row>
    <row r="900" spans="10:18">
      <c r="J900" s="1"/>
      <c r="K900" s="1"/>
      <c r="L900" s="1"/>
      <c r="M900" s="1"/>
      <c r="N900" s="1"/>
      <c r="O900" s="1"/>
      <c r="P900" s="1"/>
      <c r="Q900" s="1"/>
      <c r="R900" s="1"/>
    </row>
    <row r="901" spans="10:18">
      <c r="J901" s="1"/>
      <c r="K901" s="1"/>
      <c r="L901" s="1"/>
      <c r="M901" s="1"/>
      <c r="N901" s="1"/>
      <c r="O901" s="1"/>
      <c r="P901" s="1"/>
      <c r="Q901" s="1"/>
      <c r="R901" s="1"/>
    </row>
    <row r="902" spans="10:18">
      <c r="J902" s="1"/>
      <c r="K902" s="1"/>
      <c r="L902" s="1"/>
      <c r="M902" s="1"/>
      <c r="N902" s="1"/>
      <c r="O902" s="1"/>
      <c r="P902" s="1"/>
      <c r="Q902" s="1"/>
      <c r="R902" s="1"/>
    </row>
    <row r="903" spans="10:18">
      <c r="J903" s="1"/>
      <c r="K903" s="1"/>
      <c r="L903" s="1"/>
      <c r="M903" s="1"/>
      <c r="N903" s="1"/>
      <c r="O903" s="1"/>
      <c r="P903" s="1"/>
      <c r="Q903" s="1"/>
      <c r="R903" s="1"/>
    </row>
    <row r="904" spans="10:18">
      <c r="J904" s="1"/>
      <c r="K904" s="1"/>
      <c r="L904" s="1"/>
      <c r="M904" s="1"/>
      <c r="N904" s="1"/>
      <c r="O904" s="1"/>
      <c r="P904" s="1"/>
      <c r="Q904" s="1"/>
      <c r="R904" s="1"/>
    </row>
    <row r="905" spans="10:18">
      <c r="J905" s="1"/>
      <c r="K905" s="1"/>
      <c r="L905" s="1"/>
      <c r="M905" s="1"/>
      <c r="N905" s="1"/>
      <c r="O905" s="1"/>
      <c r="P905" s="1"/>
      <c r="Q905" s="1"/>
      <c r="R905" s="1"/>
    </row>
    <row r="906" spans="10:18">
      <c r="J906" s="1"/>
      <c r="K906" s="1"/>
      <c r="L906" s="1"/>
      <c r="M906" s="1"/>
      <c r="N906" s="1"/>
      <c r="O906" s="1"/>
      <c r="P906" s="1"/>
      <c r="Q906" s="1"/>
      <c r="R906" s="1"/>
    </row>
    <row r="907" spans="10:18">
      <c r="J907" s="1"/>
      <c r="K907" s="1"/>
      <c r="L907" s="1"/>
      <c r="M907" s="1"/>
      <c r="N907" s="1"/>
      <c r="O907" s="1"/>
      <c r="P907" s="1"/>
      <c r="Q907" s="1"/>
      <c r="R907" s="1"/>
    </row>
    <row r="908" spans="10:18">
      <c r="J908" s="1"/>
      <c r="K908" s="1"/>
      <c r="L908" s="1"/>
      <c r="M908" s="1"/>
      <c r="N908" s="1"/>
      <c r="O908" s="1"/>
      <c r="P908" s="1"/>
      <c r="Q908" s="1"/>
      <c r="R908" s="1"/>
    </row>
    <row r="909" spans="10:18">
      <c r="J909" s="1"/>
      <c r="K909" s="1"/>
      <c r="L909" s="1"/>
      <c r="M909" s="1"/>
      <c r="N909" s="1"/>
      <c r="O909" s="1"/>
      <c r="P909" s="1"/>
      <c r="Q909" s="1"/>
      <c r="R909" s="1"/>
    </row>
    <row r="910" spans="10:18">
      <c r="J910" s="1"/>
      <c r="K910" s="1"/>
      <c r="L910" s="1"/>
      <c r="M910" s="1"/>
      <c r="N910" s="1"/>
      <c r="O910" s="1"/>
      <c r="P910" s="1"/>
      <c r="Q910" s="1"/>
      <c r="R910" s="1"/>
    </row>
    <row r="911" spans="10:18">
      <c r="J911" s="1"/>
      <c r="K911" s="1"/>
      <c r="L911" s="1"/>
      <c r="M911" s="1"/>
      <c r="N911" s="1"/>
      <c r="O911" s="1"/>
      <c r="P911" s="1"/>
      <c r="Q911" s="1"/>
      <c r="R911" s="1"/>
    </row>
    <row r="912" spans="10:18">
      <c r="J912" s="1"/>
      <c r="K912" s="1"/>
      <c r="L912" s="1"/>
      <c r="M912" s="1"/>
      <c r="N912" s="1"/>
      <c r="O912" s="1"/>
      <c r="P912" s="1"/>
      <c r="Q912" s="1"/>
      <c r="R912" s="1"/>
    </row>
    <row r="913" spans="10:18">
      <c r="J913" s="1"/>
      <c r="K913" s="1"/>
      <c r="L913" s="1"/>
      <c r="M913" s="1"/>
      <c r="N913" s="1"/>
      <c r="O913" s="1"/>
      <c r="P913" s="1"/>
      <c r="Q913" s="1"/>
      <c r="R913" s="1"/>
    </row>
    <row r="914" spans="10:18">
      <c r="J914" s="1"/>
      <c r="K914" s="1"/>
      <c r="L914" s="1"/>
      <c r="M914" s="1"/>
      <c r="N914" s="1"/>
      <c r="O914" s="1"/>
      <c r="P914" s="1"/>
      <c r="Q914" s="1"/>
      <c r="R914" s="1"/>
    </row>
    <row r="915" spans="10:18">
      <c r="J915" s="1"/>
      <c r="K915" s="1"/>
      <c r="L915" s="1"/>
      <c r="M915" s="1"/>
      <c r="N915" s="1"/>
      <c r="O915" s="1"/>
      <c r="P915" s="1"/>
      <c r="Q915" s="1"/>
      <c r="R915" s="1"/>
    </row>
    <row r="916" spans="10:18">
      <c r="J916" s="1"/>
      <c r="K916" s="1"/>
      <c r="L916" s="1"/>
      <c r="M916" s="1"/>
      <c r="N916" s="1"/>
      <c r="O916" s="1"/>
      <c r="P916" s="1"/>
      <c r="Q916" s="1"/>
      <c r="R916" s="1"/>
    </row>
    <row r="917" spans="10:18">
      <c r="J917" s="1"/>
      <c r="K917" s="1"/>
      <c r="L917" s="1"/>
      <c r="M917" s="1"/>
      <c r="N917" s="1"/>
      <c r="O917" s="1"/>
      <c r="P917" s="1"/>
      <c r="Q917" s="1"/>
      <c r="R917" s="1"/>
    </row>
    <row r="918" spans="10:18">
      <c r="J918" s="1"/>
      <c r="K918" s="1"/>
      <c r="L918" s="1"/>
      <c r="M918" s="1"/>
      <c r="N918" s="1"/>
      <c r="O918" s="1"/>
      <c r="P918" s="1"/>
      <c r="Q918" s="1"/>
      <c r="R918" s="1"/>
    </row>
    <row r="919" spans="10:18">
      <c r="J919" s="1"/>
      <c r="K919" s="1"/>
      <c r="L919" s="1"/>
      <c r="M919" s="1"/>
      <c r="N919" s="1"/>
      <c r="O919" s="1"/>
      <c r="P919" s="1"/>
      <c r="Q919" s="1"/>
      <c r="R919" s="1"/>
    </row>
    <row r="920" spans="10:18">
      <c r="J920" s="1"/>
      <c r="K920" s="1"/>
      <c r="L920" s="1"/>
      <c r="M920" s="1"/>
      <c r="N920" s="1"/>
      <c r="O920" s="1"/>
      <c r="P920" s="1"/>
      <c r="Q920" s="1"/>
      <c r="R920" s="1"/>
    </row>
  </sheetData>
  <sheetProtection selectLockedCells="1"/>
  <dataConsolidate/>
  <mergeCells count="1252">
    <mergeCell ref="AC103:AF103"/>
    <mergeCell ref="A46:J46"/>
    <mergeCell ref="A47:J47"/>
    <mergeCell ref="A48:J48"/>
    <mergeCell ref="A49:J49"/>
    <mergeCell ref="A50:J50"/>
    <mergeCell ref="A149:G149"/>
    <mergeCell ref="H149:K149"/>
    <mergeCell ref="L149:O149"/>
    <mergeCell ref="P149:S149"/>
    <mergeCell ref="T149:V149"/>
    <mergeCell ref="W149:Z149"/>
    <mergeCell ref="A101:Z101"/>
    <mergeCell ref="A146:G146"/>
    <mergeCell ref="H146:K146"/>
    <mergeCell ref="L146:O146"/>
    <mergeCell ref="P146:S146"/>
    <mergeCell ref="T146:V146"/>
    <mergeCell ref="W146:Z146"/>
    <mergeCell ref="A147:G147"/>
    <mergeCell ref="H147:K147"/>
    <mergeCell ref="L147:O147"/>
    <mergeCell ref="P147:S147"/>
    <mergeCell ref="T147:V147"/>
    <mergeCell ref="W147:Z147"/>
    <mergeCell ref="A148:G148"/>
    <mergeCell ref="H148:K148"/>
    <mergeCell ref="L148:O148"/>
    <mergeCell ref="P148:S148"/>
    <mergeCell ref="T148:V148"/>
    <mergeCell ref="W148:Z148"/>
    <mergeCell ref="A143:G143"/>
    <mergeCell ref="H143:K143"/>
    <mergeCell ref="L143:O143"/>
    <mergeCell ref="P143:S143"/>
    <mergeCell ref="T143:V143"/>
    <mergeCell ref="W143:Z143"/>
    <mergeCell ref="A144:G144"/>
    <mergeCell ref="H144:K144"/>
    <mergeCell ref="L144:O144"/>
    <mergeCell ref="P144:S144"/>
    <mergeCell ref="T144:V144"/>
    <mergeCell ref="W144:Z144"/>
    <mergeCell ref="A145:G145"/>
    <mergeCell ref="H145:K145"/>
    <mergeCell ref="L145:O145"/>
    <mergeCell ref="P145:S145"/>
    <mergeCell ref="T145:V145"/>
    <mergeCell ref="W145:Z145"/>
    <mergeCell ref="A140:G140"/>
    <mergeCell ref="H140:K140"/>
    <mergeCell ref="L140:O140"/>
    <mergeCell ref="P140:S140"/>
    <mergeCell ref="T140:V140"/>
    <mergeCell ref="W140:Z140"/>
    <mergeCell ref="A141:G141"/>
    <mergeCell ref="H141:K141"/>
    <mergeCell ref="L141:O141"/>
    <mergeCell ref="P141:S141"/>
    <mergeCell ref="T141:V141"/>
    <mergeCell ref="W141:Z141"/>
    <mergeCell ref="A142:G142"/>
    <mergeCell ref="H142:K142"/>
    <mergeCell ref="L142:O142"/>
    <mergeCell ref="P142:S142"/>
    <mergeCell ref="T142:V142"/>
    <mergeCell ref="W142:Z142"/>
    <mergeCell ref="L136:O136"/>
    <mergeCell ref="P136:S136"/>
    <mergeCell ref="T136:V136"/>
    <mergeCell ref="W136:Z136"/>
    <mergeCell ref="A137:G137"/>
    <mergeCell ref="H137:K137"/>
    <mergeCell ref="L137:O137"/>
    <mergeCell ref="P137:S137"/>
    <mergeCell ref="T137:V137"/>
    <mergeCell ref="W137:Z137"/>
    <mergeCell ref="A138:G138"/>
    <mergeCell ref="H138:K138"/>
    <mergeCell ref="L138:O138"/>
    <mergeCell ref="P138:S138"/>
    <mergeCell ref="T138:V138"/>
    <mergeCell ref="W138:Z138"/>
    <mergeCell ref="A139:G139"/>
    <mergeCell ref="H139:K139"/>
    <mergeCell ref="L139:O139"/>
    <mergeCell ref="P139:S139"/>
    <mergeCell ref="T139:V139"/>
    <mergeCell ref="W139:Z139"/>
    <mergeCell ref="I12:J12"/>
    <mergeCell ref="I13:J13"/>
    <mergeCell ref="Y12:Z12"/>
    <mergeCell ref="Y13:Z13"/>
    <mergeCell ref="W12:X12"/>
    <mergeCell ref="W13:X13"/>
    <mergeCell ref="K12:N12"/>
    <mergeCell ref="K13:N13"/>
    <mergeCell ref="O12:R12"/>
    <mergeCell ref="O13:R13"/>
    <mergeCell ref="S12:V12"/>
    <mergeCell ref="S13:V13"/>
    <mergeCell ref="I14:J14"/>
    <mergeCell ref="I15:J15"/>
    <mergeCell ref="P14:R14"/>
    <mergeCell ref="P15:R15"/>
    <mergeCell ref="M14:O14"/>
    <mergeCell ref="M15:O15"/>
    <mergeCell ref="AG94:AL94"/>
    <mergeCell ref="AG95:AL95"/>
    <mergeCell ref="AG96:AL96"/>
    <mergeCell ref="AG97:AL97"/>
    <mergeCell ref="AG98:AL98"/>
    <mergeCell ref="AG99:AL99"/>
    <mergeCell ref="AG100:AL100"/>
    <mergeCell ref="N46:P46"/>
    <mergeCell ref="Q43:R43"/>
    <mergeCell ref="S43:V43"/>
    <mergeCell ref="W43:Z43"/>
    <mergeCell ref="Q44:R44"/>
    <mergeCell ref="S44:V44"/>
    <mergeCell ref="W44:Z44"/>
    <mergeCell ref="Q45:R45"/>
    <mergeCell ref="S45:V45"/>
    <mergeCell ref="W45:Z45"/>
    <mergeCell ref="Q46:R46"/>
    <mergeCell ref="S46:V46"/>
    <mergeCell ref="W46:Z46"/>
    <mergeCell ref="N43:P43"/>
    <mergeCell ref="N48:S48"/>
    <mergeCell ref="N49:S49"/>
    <mergeCell ref="T91:X91"/>
    <mergeCell ref="T92:X92"/>
    <mergeCell ref="T93:X93"/>
    <mergeCell ref="T94:X94"/>
    <mergeCell ref="T95:X95"/>
    <mergeCell ref="I51:T51"/>
    <mergeCell ref="A93:M93"/>
    <mergeCell ref="U57:W57"/>
    <mergeCell ref="Y82:Z82"/>
    <mergeCell ref="E7:L7"/>
    <mergeCell ref="T96:X96"/>
    <mergeCell ref="T97:X97"/>
    <mergeCell ref="L77:M77"/>
    <mergeCell ref="L78:M78"/>
    <mergeCell ref="O56:Q56"/>
    <mergeCell ref="O57:Q57"/>
    <mergeCell ref="O58:Q58"/>
    <mergeCell ref="O59:Q59"/>
    <mergeCell ref="O60:Q60"/>
    <mergeCell ref="R55:T55"/>
    <mergeCell ref="R56:T56"/>
    <mergeCell ref="M59:N59"/>
    <mergeCell ref="A44:C44"/>
    <mergeCell ref="N41:T41"/>
    <mergeCell ref="U41:Z41"/>
    <mergeCell ref="N42:Z42"/>
    <mergeCell ref="N44:P44"/>
    <mergeCell ref="N45:P45"/>
    <mergeCell ref="M61:N61"/>
    <mergeCell ref="K63:L63"/>
    <mergeCell ref="K64:L64"/>
    <mergeCell ref="K65:L65"/>
    <mergeCell ref="O65:Q65"/>
    <mergeCell ref="K59:L59"/>
    <mergeCell ref="K60:L60"/>
    <mergeCell ref="K61:L61"/>
    <mergeCell ref="M60:N60"/>
    <mergeCell ref="O61:Q61"/>
    <mergeCell ref="R61:T61"/>
    <mergeCell ref="N84:X84"/>
    <mergeCell ref="M56:N56"/>
    <mergeCell ref="K19:Q19"/>
    <mergeCell ref="K18:Q18"/>
    <mergeCell ref="N9:P9"/>
    <mergeCell ref="S15:V15"/>
    <mergeCell ref="W14:Z14"/>
    <mergeCell ref="W15:Z15"/>
    <mergeCell ref="Q8:S8"/>
    <mergeCell ref="Q9:S9"/>
    <mergeCell ref="T9:V9"/>
    <mergeCell ref="W8:X8"/>
    <mergeCell ref="W9:X9"/>
    <mergeCell ref="Y8:Z8"/>
    <mergeCell ref="Y9:Z9"/>
    <mergeCell ref="K33:N33"/>
    <mergeCell ref="K34:N34"/>
    <mergeCell ref="N50:S50"/>
    <mergeCell ref="S14:V14"/>
    <mergeCell ref="R18:U18"/>
    <mergeCell ref="R19:U19"/>
    <mergeCell ref="K16:M16"/>
    <mergeCell ref="K17:M17"/>
    <mergeCell ref="U16:V16"/>
    <mergeCell ref="U17:V17"/>
    <mergeCell ref="W16:Z16"/>
    <mergeCell ref="W17:Z17"/>
    <mergeCell ref="U27:Z27"/>
    <mergeCell ref="Y35:Z35"/>
    <mergeCell ref="K15:L15"/>
    <mergeCell ref="V18:Z18"/>
    <mergeCell ref="V19:Z19"/>
    <mergeCell ref="K49:M49"/>
    <mergeCell ref="K50:M50"/>
    <mergeCell ref="I8:J8"/>
    <mergeCell ref="I9:J9"/>
    <mergeCell ref="K10:P10"/>
    <mergeCell ref="K11:P11"/>
    <mergeCell ref="Q10:U10"/>
    <mergeCell ref="Q11:U11"/>
    <mergeCell ref="V10:Z10"/>
    <mergeCell ref="V11:Z11"/>
    <mergeCell ref="I10:J10"/>
    <mergeCell ref="I11:J11"/>
    <mergeCell ref="K8:M8"/>
    <mergeCell ref="G51:H51"/>
    <mergeCell ref="K35:N35"/>
    <mergeCell ref="K36:N36"/>
    <mergeCell ref="K24:M24"/>
    <mergeCell ref="A33:J33"/>
    <mergeCell ref="A34:J34"/>
    <mergeCell ref="K38:N38"/>
    <mergeCell ref="E17:G17"/>
    <mergeCell ref="E16:G16"/>
    <mergeCell ref="A12:D12"/>
    <mergeCell ref="A13:D13"/>
    <mergeCell ref="A20:Z20"/>
    <mergeCell ref="A21:E21"/>
    <mergeCell ref="A22:E22"/>
    <mergeCell ref="A26:Z26"/>
    <mergeCell ref="I27:J27"/>
    <mergeCell ref="A14:D14"/>
    <mergeCell ref="A15:D15"/>
    <mergeCell ref="M27:N27"/>
    <mergeCell ref="I18:J18"/>
    <mergeCell ref="I19:J19"/>
    <mergeCell ref="Q28:R28"/>
    <mergeCell ref="S28:T28"/>
    <mergeCell ref="Q29:R29"/>
    <mergeCell ref="S29:T29"/>
    <mergeCell ref="Q30:R30"/>
    <mergeCell ref="S30:T30"/>
    <mergeCell ref="Q31:R31"/>
    <mergeCell ref="S31:T31"/>
    <mergeCell ref="I28:J28"/>
    <mergeCell ref="T48:Z48"/>
    <mergeCell ref="T49:Z49"/>
    <mergeCell ref="T50:Z50"/>
    <mergeCell ref="N47:Z47"/>
    <mergeCell ref="A45:M45"/>
    <mergeCell ref="K46:M46"/>
    <mergeCell ref="K47:M47"/>
    <mergeCell ref="K48:M48"/>
    <mergeCell ref="O33:T33"/>
    <mergeCell ref="A35:J35"/>
    <mergeCell ref="A36:J36"/>
    <mergeCell ref="K32:N32"/>
    <mergeCell ref="U33:V33"/>
    <mergeCell ref="U28:W28"/>
    <mergeCell ref="U32:Z32"/>
    <mergeCell ref="W33:X33"/>
    <mergeCell ref="Y34:Z34"/>
    <mergeCell ref="K31:L31"/>
    <mergeCell ref="M28:N28"/>
    <mergeCell ref="M29:N29"/>
    <mergeCell ref="M30:N30"/>
    <mergeCell ref="M31:N31"/>
    <mergeCell ref="W38:X38"/>
    <mergeCell ref="A95:M95"/>
    <mergeCell ref="O28:P28"/>
    <mergeCell ref="O29:P29"/>
    <mergeCell ref="O30:P30"/>
    <mergeCell ref="O31:P31"/>
    <mergeCell ref="A1:D1"/>
    <mergeCell ref="A2:D2"/>
    <mergeCell ref="M2:P2"/>
    <mergeCell ref="A3:D3"/>
    <mergeCell ref="A4:D4"/>
    <mergeCell ref="A5:D5"/>
    <mergeCell ref="A6:D6"/>
    <mergeCell ref="M1:P1"/>
    <mergeCell ref="A8:D8"/>
    <mergeCell ref="A7:D7"/>
    <mergeCell ref="A10:D10"/>
    <mergeCell ref="A11:D11"/>
    <mergeCell ref="A9:D9"/>
    <mergeCell ref="E9:G9"/>
    <mergeCell ref="E8:G8"/>
    <mergeCell ref="E11:G11"/>
    <mergeCell ref="E10:G10"/>
    <mergeCell ref="M3:Q3"/>
    <mergeCell ref="M4:Q4"/>
    <mergeCell ref="M5:Q5"/>
    <mergeCell ref="E13:G13"/>
    <mergeCell ref="E12:G12"/>
    <mergeCell ref="E15:G15"/>
    <mergeCell ref="E14:G14"/>
    <mergeCell ref="E1:L1"/>
    <mergeCell ref="I29:J29"/>
    <mergeCell ref="I30:J30"/>
    <mergeCell ref="E2:L2"/>
    <mergeCell ref="Q2:Z2"/>
    <mergeCell ref="Q1:Z1"/>
    <mergeCell ref="E3:L3"/>
    <mergeCell ref="E5:L5"/>
    <mergeCell ref="E6:L6"/>
    <mergeCell ref="A18:D18"/>
    <mergeCell ref="A19:D19"/>
    <mergeCell ref="E18:G18"/>
    <mergeCell ref="E19:G19"/>
    <mergeCell ref="A27:H27"/>
    <mergeCell ref="A28:H28"/>
    <mergeCell ref="A29:H29"/>
    <mergeCell ref="A30:H30"/>
    <mergeCell ref="A31:H31"/>
    <mergeCell ref="A32:J32"/>
    <mergeCell ref="O27:P27"/>
    <mergeCell ref="A16:D16"/>
    <mergeCell ref="A17:D17"/>
    <mergeCell ref="A24:J24"/>
    <mergeCell ref="A25:J25"/>
    <mergeCell ref="K25:M25"/>
    <mergeCell ref="N24:W24"/>
    <mergeCell ref="Q27:R27"/>
    <mergeCell ref="S27:T27"/>
    <mergeCell ref="I16:J16"/>
    <mergeCell ref="I17:J17"/>
    <mergeCell ref="I31:J31"/>
    <mergeCell ref="K27:L27"/>
    <mergeCell ref="K28:L28"/>
    <mergeCell ref="K29:L29"/>
    <mergeCell ref="K30:L30"/>
    <mergeCell ref="K57:L57"/>
    <mergeCell ref="K58:L58"/>
    <mergeCell ref="Y86:Z86"/>
    <mergeCell ref="N83:X83"/>
    <mergeCell ref="N85:X85"/>
    <mergeCell ref="N86:X86"/>
    <mergeCell ref="L83:M83"/>
    <mergeCell ref="L84:M84"/>
    <mergeCell ref="O52:Q52"/>
    <mergeCell ref="R53:T53"/>
    <mergeCell ref="M64:N64"/>
    <mergeCell ref="M54:N54"/>
    <mergeCell ref="M55:N55"/>
    <mergeCell ref="R52:T52"/>
    <mergeCell ref="O53:Q53"/>
    <mergeCell ref="O54:Q54"/>
    <mergeCell ref="O55:Q55"/>
    <mergeCell ref="U52:W52"/>
    <mergeCell ref="L85:M85"/>
    <mergeCell ref="Y84:Z84"/>
    <mergeCell ref="M58:N58"/>
    <mergeCell ref="X57:Z57"/>
    <mergeCell ref="L71:M71"/>
    <mergeCell ref="L72:M72"/>
    <mergeCell ref="L73:M73"/>
    <mergeCell ref="L74:M74"/>
    <mergeCell ref="L75:M75"/>
    <mergeCell ref="R57:T57"/>
    <mergeCell ref="R58:T58"/>
    <mergeCell ref="J79:K79"/>
    <mergeCell ref="M52:N52"/>
    <mergeCell ref="M53:N53"/>
    <mergeCell ref="AF7:AG7"/>
    <mergeCell ref="AF8:AH8"/>
    <mergeCell ref="U3:V3"/>
    <mergeCell ref="U4:V4"/>
    <mergeCell ref="U5:V5"/>
    <mergeCell ref="W3:Z3"/>
    <mergeCell ref="S6:U6"/>
    <mergeCell ref="AC6:AD6"/>
    <mergeCell ref="U34:V34"/>
    <mergeCell ref="U35:V35"/>
    <mergeCell ref="AC8:AD8"/>
    <mergeCell ref="W34:X34"/>
    <mergeCell ref="W35:X35"/>
    <mergeCell ref="W36:X36"/>
    <mergeCell ref="U36:V36"/>
    <mergeCell ref="R3:T3"/>
    <mergeCell ref="R4:T4"/>
    <mergeCell ref="R5:T5"/>
    <mergeCell ref="P6:R6"/>
    <mergeCell ref="V6:Z6"/>
    <mergeCell ref="O36:T36"/>
    <mergeCell ref="O34:T34"/>
    <mergeCell ref="O35:T35"/>
    <mergeCell ref="M6:O6"/>
    <mergeCell ref="AC9:AD9"/>
    <mergeCell ref="AE9:AH9"/>
    <mergeCell ref="K9:M9"/>
    <mergeCell ref="N8:P8"/>
    <mergeCell ref="T8:V8"/>
    <mergeCell ref="N16:T16"/>
    <mergeCell ref="N17:T17"/>
    <mergeCell ref="K14:L14"/>
    <mergeCell ref="AB4:AD4"/>
    <mergeCell ref="O32:T32"/>
    <mergeCell ref="AF5:AG5"/>
    <mergeCell ref="W4:Z4"/>
    <mergeCell ref="W5:Z5"/>
    <mergeCell ref="J80:K80"/>
    <mergeCell ref="U29:W29"/>
    <mergeCell ref="U30:W30"/>
    <mergeCell ref="U31:W31"/>
    <mergeCell ref="X28:Z28"/>
    <mergeCell ref="X29:Z29"/>
    <mergeCell ref="X30:Z30"/>
    <mergeCell ref="X31:Z31"/>
    <mergeCell ref="X24:Z24"/>
    <mergeCell ref="N25:W25"/>
    <mergeCell ref="X25:Z25"/>
    <mergeCell ref="A23:Z23"/>
    <mergeCell ref="E4:L4"/>
    <mergeCell ref="L67:M67"/>
    <mergeCell ref="L68:M68"/>
    <mergeCell ref="L69:M69"/>
    <mergeCell ref="L70:M70"/>
    <mergeCell ref="W67:X67"/>
    <mergeCell ref="Y67:Z67"/>
    <mergeCell ref="W68:X68"/>
    <mergeCell ref="Y68:Z68"/>
    <mergeCell ref="W69:X69"/>
    <mergeCell ref="Y69:Z69"/>
    <mergeCell ref="W70:X70"/>
    <mergeCell ref="Y70:Z70"/>
    <mergeCell ref="O38:T38"/>
    <mergeCell ref="K37:N37"/>
    <mergeCell ref="Y75:Z75"/>
    <mergeCell ref="N76:V76"/>
    <mergeCell ref="N77:V77"/>
    <mergeCell ref="N78:V78"/>
    <mergeCell ref="N79:V79"/>
    <mergeCell ref="L79:M79"/>
    <mergeCell ref="L80:M80"/>
    <mergeCell ref="J67:K67"/>
    <mergeCell ref="J68:K68"/>
    <mergeCell ref="J69:K69"/>
    <mergeCell ref="J70:K70"/>
    <mergeCell ref="J71:K71"/>
    <mergeCell ref="J72:K72"/>
    <mergeCell ref="J73:K73"/>
    <mergeCell ref="J74:K74"/>
    <mergeCell ref="J75:K75"/>
    <mergeCell ref="J76:K76"/>
    <mergeCell ref="J77:K77"/>
    <mergeCell ref="J78:K78"/>
    <mergeCell ref="N80:V80"/>
    <mergeCell ref="L76:M76"/>
    <mergeCell ref="W73:X73"/>
    <mergeCell ref="Y73:Z73"/>
    <mergeCell ref="W74:X74"/>
    <mergeCell ref="Y33:Z33"/>
    <mergeCell ref="X58:Z58"/>
    <mergeCell ref="A98:M98"/>
    <mergeCell ref="A99:M99"/>
    <mergeCell ref="A81:K81"/>
    <mergeCell ref="A66:I66"/>
    <mergeCell ref="Y36:Z36"/>
    <mergeCell ref="Y37:Z37"/>
    <mergeCell ref="Y38:Z38"/>
    <mergeCell ref="O62:Q62"/>
    <mergeCell ref="X61:Z61"/>
    <mergeCell ref="O63:Q63"/>
    <mergeCell ref="O64:Q64"/>
    <mergeCell ref="R62:T62"/>
    <mergeCell ref="W76:X76"/>
    <mergeCell ref="Y76:Z76"/>
    <mergeCell ref="W77:X77"/>
    <mergeCell ref="Y77:Z77"/>
    <mergeCell ref="W78:X78"/>
    <mergeCell ref="Y78:Z78"/>
    <mergeCell ref="R63:T63"/>
    <mergeCell ref="R59:T59"/>
    <mergeCell ref="R60:T60"/>
    <mergeCell ref="T87:Z87"/>
    <mergeCell ref="A37:J37"/>
    <mergeCell ref="A38:J38"/>
    <mergeCell ref="Y83:Z83"/>
    <mergeCell ref="X59:Z59"/>
    <mergeCell ref="X60:Z60"/>
    <mergeCell ref="U58:W58"/>
    <mergeCell ref="Y74:Z74"/>
    <mergeCell ref="W75:X75"/>
    <mergeCell ref="A59:J59"/>
    <mergeCell ref="U55:W55"/>
    <mergeCell ref="U56:W56"/>
    <mergeCell ref="U54:W54"/>
    <mergeCell ref="X53:Z53"/>
    <mergeCell ref="X54:Z54"/>
    <mergeCell ref="X55:Z55"/>
    <mergeCell ref="X56:Z56"/>
    <mergeCell ref="U38:V38"/>
    <mergeCell ref="W37:X37"/>
    <mergeCell ref="X52:Z52"/>
    <mergeCell ref="U62:W62"/>
    <mergeCell ref="U63:W63"/>
    <mergeCell ref="U64:W64"/>
    <mergeCell ref="K52:L52"/>
    <mergeCell ref="K53:L53"/>
    <mergeCell ref="A57:J57"/>
    <mergeCell ref="A58:J58"/>
    <mergeCell ref="U61:W61"/>
    <mergeCell ref="M57:N57"/>
    <mergeCell ref="U59:W59"/>
    <mergeCell ref="U60:W60"/>
    <mergeCell ref="U37:V37"/>
    <mergeCell ref="R54:T54"/>
    <mergeCell ref="O37:T37"/>
    <mergeCell ref="X62:Z62"/>
    <mergeCell ref="X63:Z63"/>
    <mergeCell ref="X64:Z64"/>
    <mergeCell ref="U53:W53"/>
    <mergeCell ref="K54:L54"/>
    <mergeCell ref="K55:L55"/>
    <mergeCell ref="K56:L56"/>
    <mergeCell ref="T88:X88"/>
    <mergeCell ref="T89:X89"/>
    <mergeCell ref="T90:X90"/>
    <mergeCell ref="K88:N88"/>
    <mergeCell ref="K89:N89"/>
    <mergeCell ref="A88:E88"/>
    <mergeCell ref="A89:E89"/>
    <mergeCell ref="W79:X79"/>
    <mergeCell ref="Y79:Z79"/>
    <mergeCell ref="W80:X80"/>
    <mergeCell ref="Y80:Z80"/>
    <mergeCell ref="W71:X71"/>
    <mergeCell ref="Y71:Z71"/>
    <mergeCell ref="W72:X72"/>
    <mergeCell ref="Y72:Z72"/>
    <mergeCell ref="M65:N65"/>
    <mergeCell ref="K62:L62"/>
    <mergeCell ref="M62:N62"/>
    <mergeCell ref="M63:N63"/>
    <mergeCell ref="U65:W65"/>
    <mergeCell ref="L82:M82"/>
    <mergeCell ref="N67:V67"/>
    <mergeCell ref="N68:V68"/>
    <mergeCell ref="N69:V69"/>
    <mergeCell ref="N70:V70"/>
    <mergeCell ref="N71:V71"/>
    <mergeCell ref="N72:V72"/>
    <mergeCell ref="N73:V73"/>
    <mergeCell ref="N74:V74"/>
    <mergeCell ref="N75:V75"/>
    <mergeCell ref="X65:Z65"/>
    <mergeCell ref="R65:T65"/>
    <mergeCell ref="N97:O97"/>
    <mergeCell ref="N98:O98"/>
    <mergeCell ref="A94:M94"/>
    <mergeCell ref="AC49:AO49"/>
    <mergeCell ref="A82:K82"/>
    <mergeCell ref="A83:K83"/>
    <mergeCell ref="A84:K84"/>
    <mergeCell ref="A85:K85"/>
    <mergeCell ref="A86:K86"/>
    <mergeCell ref="A96:M96"/>
    <mergeCell ref="A97:M97"/>
    <mergeCell ref="R99:S99"/>
    <mergeCell ref="R100:S100"/>
    <mergeCell ref="P91:Q91"/>
    <mergeCell ref="P92:Q92"/>
    <mergeCell ref="P93:Q93"/>
    <mergeCell ref="P94:Q94"/>
    <mergeCell ref="P95:Q95"/>
    <mergeCell ref="P96:Q96"/>
    <mergeCell ref="P97:Q97"/>
    <mergeCell ref="T98:X98"/>
    <mergeCell ref="T99:X99"/>
    <mergeCell ref="T100:X100"/>
    <mergeCell ref="Y88:Z88"/>
    <mergeCell ref="Y89:Z89"/>
    <mergeCell ref="Y90:Z90"/>
    <mergeCell ref="Y85:Z85"/>
    <mergeCell ref="A67:I67"/>
    <mergeCell ref="A68:I68"/>
    <mergeCell ref="A69:I69"/>
    <mergeCell ref="A55:J55"/>
    <mergeCell ref="A56:J56"/>
    <mergeCell ref="AF6:AG6"/>
    <mergeCell ref="AH6:AI6"/>
    <mergeCell ref="A87:S87"/>
    <mergeCell ref="F88:J88"/>
    <mergeCell ref="F89:J89"/>
    <mergeCell ref="AK80:AL80"/>
    <mergeCell ref="AK81:AL81"/>
    <mergeCell ref="AK82:AL82"/>
    <mergeCell ref="T7:Z7"/>
    <mergeCell ref="M7:S7"/>
    <mergeCell ref="Y91:Z91"/>
    <mergeCell ref="Y92:Z92"/>
    <mergeCell ref="Y93:Z93"/>
    <mergeCell ref="Y94:Z94"/>
    <mergeCell ref="Y95:Z95"/>
    <mergeCell ref="AF81:AJ81"/>
    <mergeCell ref="AF82:AJ82"/>
    <mergeCell ref="AF83:AJ83"/>
    <mergeCell ref="AF84:AJ84"/>
    <mergeCell ref="AK83:AL83"/>
    <mergeCell ref="AK84:AL84"/>
    <mergeCell ref="A60:J60"/>
    <mergeCell ref="A61:J61"/>
    <mergeCell ref="A62:J62"/>
    <mergeCell ref="A63:J63"/>
    <mergeCell ref="A64:J64"/>
    <mergeCell ref="A65:J65"/>
    <mergeCell ref="O88:S88"/>
    <mergeCell ref="O89:S89"/>
    <mergeCell ref="AF80:AJ80"/>
    <mergeCell ref="A70:I70"/>
    <mergeCell ref="A71:I71"/>
    <mergeCell ref="C190:Z190"/>
    <mergeCell ref="A39:M39"/>
    <mergeCell ref="A40:C40"/>
    <mergeCell ref="A41:C41"/>
    <mergeCell ref="A42:C42"/>
    <mergeCell ref="A43:C43"/>
    <mergeCell ref="N39:Z39"/>
    <mergeCell ref="N40:T40"/>
    <mergeCell ref="U40:Z40"/>
    <mergeCell ref="A52:J52"/>
    <mergeCell ref="A188:B188"/>
    <mergeCell ref="A190:B190"/>
    <mergeCell ref="A90:M90"/>
    <mergeCell ref="A91:M91"/>
    <mergeCell ref="A92:M92"/>
    <mergeCell ref="N94:O94"/>
    <mergeCell ref="A102:G102"/>
    <mergeCell ref="A104:G104"/>
    <mergeCell ref="A103:G103"/>
    <mergeCell ref="A105:G105"/>
    <mergeCell ref="A106:G106"/>
    <mergeCell ref="R92:S92"/>
    <mergeCell ref="R93:S93"/>
    <mergeCell ref="R94:S94"/>
    <mergeCell ref="T102:V102"/>
    <mergeCell ref="A76:I76"/>
    <mergeCell ref="A77:I77"/>
    <mergeCell ref="R96:S96"/>
    <mergeCell ref="R97:S97"/>
    <mergeCell ref="R98:S98"/>
    <mergeCell ref="A72:I72"/>
    <mergeCell ref="A73:I73"/>
    <mergeCell ref="P103:S103"/>
    <mergeCell ref="P104:S104"/>
    <mergeCell ref="P105:S105"/>
    <mergeCell ref="L102:O102"/>
    <mergeCell ref="L103:O103"/>
    <mergeCell ref="L104:O104"/>
    <mergeCell ref="L105:O105"/>
    <mergeCell ref="H102:K102"/>
    <mergeCell ref="H103:K103"/>
    <mergeCell ref="H104:K104"/>
    <mergeCell ref="H105:K105"/>
    <mergeCell ref="P98:Q98"/>
    <mergeCell ref="Y96:Z96"/>
    <mergeCell ref="Y97:Z97"/>
    <mergeCell ref="Y98:Z98"/>
    <mergeCell ref="N90:S90"/>
    <mergeCell ref="A53:J53"/>
    <mergeCell ref="A54:J54"/>
    <mergeCell ref="A74:I74"/>
    <mergeCell ref="A75:I75"/>
    <mergeCell ref="A78:I78"/>
    <mergeCell ref="A79:I79"/>
    <mergeCell ref="A80:I80"/>
    <mergeCell ref="N82:X82"/>
    <mergeCell ref="R64:T64"/>
    <mergeCell ref="L86:M86"/>
    <mergeCell ref="R95:S95"/>
    <mergeCell ref="N91:O91"/>
    <mergeCell ref="N92:O92"/>
    <mergeCell ref="N93:O93"/>
    <mergeCell ref="N95:O95"/>
    <mergeCell ref="N96:O96"/>
    <mergeCell ref="N99:O99"/>
    <mergeCell ref="N100:O100"/>
    <mergeCell ref="P99:Q99"/>
    <mergeCell ref="P100:Q100"/>
    <mergeCell ref="Y99:Z99"/>
    <mergeCell ref="Y100:Z100"/>
    <mergeCell ref="A100:M100"/>
    <mergeCell ref="T106:V106"/>
    <mergeCell ref="W106:Z106"/>
    <mergeCell ref="A107:G107"/>
    <mergeCell ref="H107:K107"/>
    <mergeCell ref="L107:O107"/>
    <mergeCell ref="P107:S107"/>
    <mergeCell ref="T107:V107"/>
    <mergeCell ref="W107:Z107"/>
    <mergeCell ref="A108:G108"/>
    <mergeCell ref="H108:K108"/>
    <mergeCell ref="L108:O108"/>
    <mergeCell ref="P108:S108"/>
    <mergeCell ref="T108:V108"/>
    <mergeCell ref="W108:Z108"/>
    <mergeCell ref="H106:K106"/>
    <mergeCell ref="L106:O106"/>
    <mergeCell ref="P106:S106"/>
    <mergeCell ref="T103:V103"/>
    <mergeCell ref="T104:V104"/>
    <mergeCell ref="T105:V105"/>
    <mergeCell ref="W102:Z102"/>
    <mergeCell ref="W103:Z103"/>
    <mergeCell ref="W104:Z104"/>
    <mergeCell ref="W105:Z105"/>
    <mergeCell ref="P102:S102"/>
    <mergeCell ref="A111:G111"/>
    <mergeCell ref="H111:K111"/>
    <mergeCell ref="L111:O111"/>
    <mergeCell ref="P111:S111"/>
    <mergeCell ref="T111:V111"/>
    <mergeCell ref="W111:Z111"/>
    <mergeCell ref="A112:G112"/>
    <mergeCell ref="H112:K112"/>
    <mergeCell ref="L112:O112"/>
    <mergeCell ref="P112:S112"/>
    <mergeCell ref="T112:V112"/>
    <mergeCell ref="W112:Z112"/>
    <mergeCell ref="A109:G109"/>
    <mergeCell ref="H109:K109"/>
    <mergeCell ref="L109:O109"/>
    <mergeCell ref="P109:S109"/>
    <mergeCell ref="T109:V109"/>
    <mergeCell ref="W109:Z109"/>
    <mergeCell ref="A110:G110"/>
    <mergeCell ref="H110:K110"/>
    <mergeCell ref="L110:O110"/>
    <mergeCell ref="P110:S110"/>
    <mergeCell ref="T110:V110"/>
    <mergeCell ref="W110:Z110"/>
    <mergeCell ref="A115:G115"/>
    <mergeCell ref="H115:K115"/>
    <mergeCell ref="L115:O115"/>
    <mergeCell ref="P115:S115"/>
    <mergeCell ref="T115:V115"/>
    <mergeCell ref="W115:Z115"/>
    <mergeCell ref="A116:G116"/>
    <mergeCell ref="H116:K116"/>
    <mergeCell ref="L116:O116"/>
    <mergeCell ref="P116:S116"/>
    <mergeCell ref="T116:V116"/>
    <mergeCell ref="W116:Z116"/>
    <mergeCell ref="A113:G113"/>
    <mergeCell ref="H113:K113"/>
    <mergeCell ref="L113:O113"/>
    <mergeCell ref="P113:S113"/>
    <mergeCell ref="T113:V113"/>
    <mergeCell ref="W113:Z113"/>
    <mergeCell ref="A114:G114"/>
    <mergeCell ref="H114:K114"/>
    <mergeCell ref="L114:O114"/>
    <mergeCell ref="P114:S114"/>
    <mergeCell ref="T114:V114"/>
    <mergeCell ref="W114:Z114"/>
    <mergeCell ref="A119:G119"/>
    <mergeCell ref="H119:K119"/>
    <mergeCell ref="L119:O119"/>
    <mergeCell ref="P119:S119"/>
    <mergeCell ref="T119:V119"/>
    <mergeCell ref="W119:Z119"/>
    <mergeCell ref="A120:G120"/>
    <mergeCell ref="H120:K120"/>
    <mergeCell ref="L120:O120"/>
    <mergeCell ref="P120:S120"/>
    <mergeCell ref="T120:V120"/>
    <mergeCell ref="W120:Z120"/>
    <mergeCell ref="A117:G117"/>
    <mergeCell ref="H117:K117"/>
    <mergeCell ref="L117:O117"/>
    <mergeCell ref="P117:S117"/>
    <mergeCell ref="T117:V117"/>
    <mergeCell ref="W117:Z117"/>
    <mergeCell ref="A118:G118"/>
    <mergeCell ref="H118:K118"/>
    <mergeCell ref="L118:O118"/>
    <mergeCell ref="P118:S118"/>
    <mergeCell ref="T118:V118"/>
    <mergeCell ref="W118:Z118"/>
    <mergeCell ref="A123:G123"/>
    <mergeCell ref="H123:K123"/>
    <mergeCell ref="L123:O123"/>
    <mergeCell ref="P123:S123"/>
    <mergeCell ref="T123:V123"/>
    <mergeCell ref="W123:Z123"/>
    <mergeCell ref="A124:G124"/>
    <mergeCell ref="H124:K124"/>
    <mergeCell ref="L124:O124"/>
    <mergeCell ref="P124:S124"/>
    <mergeCell ref="T124:V124"/>
    <mergeCell ref="W124:Z124"/>
    <mergeCell ref="A121:G121"/>
    <mergeCell ref="H121:K121"/>
    <mergeCell ref="L121:O121"/>
    <mergeCell ref="P121:S121"/>
    <mergeCell ref="T121:V121"/>
    <mergeCell ref="W121:Z121"/>
    <mergeCell ref="A122:G122"/>
    <mergeCell ref="H122:K122"/>
    <mergeCell ref="L122:O122"/>
    <mergeCell ref="P122:S122"/>
    <mergeCell ref="T122:V122"/>
    <mergeCell ref="W122:Z122"/>
    <mergeCell ref="A127:G127"/>
    <mergeCell ref="H127:K127"/>
    <mergeCell ref="L127:O127"/>
    <mergeCell ref="P127:S127"/>
    <mergeCell ref="T127:V127"/>
    <mergeCell ref="W127:Z127"/>
    <mergeCell ref="A128:G128"/>
    <mergeCell ref="H128:K128"/>
    <mergeCell ref="L128:O128"/>
    <mergeCell ref="P128:S128"/>
    <mergeCell ref="T128:V128"/>
    <mergeCell ref="W128:Z128"/>
    <mergeCell ref="A125:G125"/>
    <mergeCell ref="H125:K125"/>
    <mergeCell ref="L125:O125"/>
    <mergeCell ref="P125:S125"/>
    <mergeCell ref="T125:V125"/>
    <mergeCell ref="W125:Z125"/>
    <mergeCell ref="A126:G126"/>
    <mergeCell ref="H126:K126"/>
    <mergeCell ref="L126:O126"/>
    <mergeCell ref="P126:S126"/>
    <mergeCell ref="T126:V126"/>
    <mergeCell ref="W126:Z126"/>
    <mergeCell ref="W167:X167"/>
    <mergeCell ref="W168:X168"/>
    <mergeCell ref="W169:X169"/>
    <mergeCell ref="A189:D189"/>
    <mergeCell ref="F189:J189"/>
    <mergeCell ref="K189:L189"/>
    <mergeCell ref="N189:O189"/>
    <mergeCell ref="P189:S189"/>
    <mergeCell ref="A133:G133"/>
    <mergeCell ref="H133:K133"/>
    <mergeCell ref="L133:O133"/>
    <mergeCell ref="P133:S133"/>
    <mergeCell ref="T133:V133"/>
    <mergeCell ref="W133:Z133"/>
    <mergeCell ref="K154:M154"/>
    <mergeCell ref="N154:P154"/>
    <mergeCell ref="K155:M155"/>
    <mergeCell ref="N155:P155"/>
    <mergeCell ref="A162:J162"/>
    <mergeCell ref="A163:J163"/>
    <mergeCell ref="A164:J164"/>
    <mergeCell ref="A165:J165"/>
    <mergeCell ref="A166:J166"/>
    <mergeCell ref="A167:J167"/>
    <mergeCell ref="A168:J168"/>
    <mergeCell ref="A169:J169"/>
    <mergeCell ref="A154:J154"/>
    <mergeCell ref="A155:J155"/>
    <mergeCell ref="A156:J156"/>
    <mergeCell ref="T189:V189"/>
    <mergeCell ref="W189:Z189"/>
    <mergeCell ref="C188:Z188"/>
    <mergeCell ref="A129:G129"/>
    <mergeCell ref="H129:K129"/>
    <mergeCell ref="A152:J152"/>
    <mergeCell ref="K152:M152"/>
    <mergeCell ref="K153:M153"/>
    <mergeCell ref="N153:P153"/>
    <mergeCell ref="N152:P152"/>
    <mergeCell ref="A153:J153"/>
    <mergeCell ref="W164:X164"/>
    <mergeCell ref="L129:O129"/>
    <mergeCell ref="P129:S129"/>
    <mergeCell ref="T129:V129"/>
    <mergeCell ref="W129:Z129"/>
    <mergeCell ref="A130:G130"/>
    <mergeCell ref="H130:K130"/>
    <mergeCell ref="L130:O130"/>
    <mergeCell ref="P130:S130"/>
    <mergeCell ref="T130:V130"/>
    <mergeCell ref="W130:Z130"/>
    <mergeCell ref="N163:P163"/>
    <mergeCell ref="K164:M164"/>
    <mergeCell ref="N164:P164"/>
    <mergeCell ref="Q161:R161"/>
    <mergeCell ref="Q162:R162"/>
    <mergeCell ref="A134:G134"/>
    <mergeCell ref="H134:K134"/>
    <mergeCell ref="L134:O134"/>
    <mergeCell ref="P134:S134"/>
    <mergeCell ref="T134:V134"/>
    <mergeCell ref="W134:Z134"/>
    <mergeCell ref="A135:G135"/>
    <mergeCell ref="H135:K135"/>
    <mergeCell ref="A131:G131"/>
    <mergeCell ref="H131:K131"/>
    <mergeCell ref="L131:O131"/>
    <mergeCell ref="P131:S131"/>
    <mergeCell ref="K158:M158"/>
    <mergeCell ref="K156:M156"/>
    <mergeCell ref="N156:P156"/>
    <mergeCell ref="S152:Z152"/>
    <mergeCell ref="S153:Z153"/>
    <mergeCell ref="S154:Z154"/>
    <mergeCell ref="S155:Z155"/>
    <mergeCell ref="S156:Z156"/>
    <mergeCell ref="Q151:Z151"/>
    <mergeCell ref="Q152:R152"/>
    <mergeCell ref="Q153:R153"/>
    <mergeCell ref="Q154:R154"/>
    <mergeCell ref="Q155:R155"/>
    <mergeCell ref="Q156:R156"/>
    <mergeCell ref="T131:V131"/>
    <mergeCell ref="W131:Z131"/>
    <mergeCell ref="A132:G132"/>
    <mergeCell ref="H132:K132"/>
    <mergeCell ref="L132:O132"/>
    <mergeCell ref="P132:S132"/>
    <mergeCell ref="T132:V132"/>
    <mergeCell ref="W132:Z132"/>
    <mergeCell ref="L135:O135"/>
    <mergeCell ref="P135:S135"/>
    <mergeCell ref="T135:V135"/>
    <mergeCell ref="W135:Z135"/>
    <mergeCell ref="A136:G136"/>
    <mergeCell ref="H136:K136"/>
    <mergeCell ref="A157:J157"/>
    <mergeCell ref="A158:J158"/>
    <mergeCell ref="A159:J159"/>
    <mergeCell ref="A160:J160"/>
    <mergeCell ref="A161:J161"/>
    <mergeCell ref="K157:M157"/>
    <mergeCell ref="N157:P157"/>
    <mergeCell ref="K163:M163"/>
    <mergeCell ref="K168:M168"/>
    <mergeCell ref="S157:Z157"/>
    <mergeCell ref="S158:Z158"/>
    <mergeCell ref="W186:Z186"/>
    <mergeCell ref="W187:Z187"/>
    <mergeCell ref="N168:P168"/>
    <mergeCell ref="K169:M169"/>
    <mergeCell ref="N169:P169"/>
    <mergeCell ref="K170:M170"/>
    <mergeCell ref="N170:P170"/>
    <mergeCell ref="Q157:R157"/>
    <mergeCell ref="Q158:R158"/>
    <mergeCell ref="K165:M165"/>
    <mergeCell ref="N165:P165"/>
    <mergeCell ref="K166:M166"/>
    <mergeCell ref="N166:P166"/>
    <mergeCell ref="K167:M167"/>
    <mergeCell ref="N167:P167"/>
    <mergeCell ref="N158:P158"/>
    <mergeCell ref="K159:M159"/>
    <mergeCell ref="N159:P159"/>
    <mergeCell ref="K160:M160"/>
    <mergeCell ref="N160:P160"/>
    <mergeCell ref="Q159:R159"/>
    <mergeCell ref="S160:Z160"/>
    <mergeCell ref="S161:Z161"/>
    <mergeCell ref="S162:Z162"/>
    <mergeCell ref="A170:J170"/>
    <mergeCell ref="Q163:Z163"/>
    <mergeCell ref="Y165:Z165"/>
    <mergeCell ref="Y166:Z166"/>
    <mergeCell ref="K199:M199"/>
    <mergeCell ref="N199:P199"/>
    <mergeCell ref="A194:J194"/>
    <mergeCell ref="K194:M194"/>
    <mergeCell ref="N194:P194"/>
    <mergeCell ref="A195:J195"/>
    <mergeCell ref="K195:M195"/>
    <mergeCell ref="N195:P195"/>
    <mergeCell ref="A196:J196"/>
    <mergeCell ref="K196:M196"/>
    <mergeCell ref="A186:D186"/>
    <mergeCell ref="A187:D187"/>
    <mergeCell ref="F186:J186"/>
    <mergeCell ref="F187:J187"/>
    <mergeCell ref="K186:L186"/>
    <mergeCell ref="N186:O186"/>
    <mergeCell ref="N187:O187"/>
    <mergeCell ref="K187:L187"/>
    <mergeCell ref="P186:S186"/>
    <mergeCell ref="P187:S187"/>
    <mergeCell ref="T187:V187"/>
    <mergeCell ref="T186:V186"/>
    <mergeCell ref="Q160:R160"/>
    <mergeCell ref="W165:X165"/>
    <mergeCell ref="W166:X166"/>
    <mergeCell ref="T210:Z210"/>
    <mergeCell ref="N178:P178"/>
    <mergeCell ref="A171:J171"/>
    <mergeCell ref="Q170:Z173"/>
    <mergeCell ref="Q174:Z177"/>
    <mergeCell ref="K183:M183"/>
    <mergeCell ref="X194:Z194"/>
    <mergeCell ref="U195:W195"/>
    <mergeCell ref="X195:Z195"/>
    <mergeCell ref="U196:W196"/>
    <mergeCell ref="X196:Z196"/>
    <mergeCell ref="N210:S210"/>
    <mergeCell ref="A201:E201"/>
    <mergeCell ref="A202:E202"/>
    <mergeCell ref="A203:E203"/>
    <mergeCell ref="A204:E204"/>
    <mergeCell ref="A205:E205"/>
    <mergeCell ref="N208:S208"/>
    <mergeCell ref="N209:S209"/>
    <mergeCell ref="Q178:Z178"/>
    <mergeCell ref="K171:M171"/>
    <mergeCell ref="N171:P171"/>
    <mergeCell ref="U197:W197"/>
    <mergeCell ref="X197:Z197"/>
    <mergeCell ref="A197:J197"/>
    <mergeCell ref="K197:M197"/>
    <mergeCell ref="N197:P197"/>
    <mergeCell ref="A198:J198"/>
    <mergeCell ref="K198:M198"/>
    <mergeCell ref="N198:P198"/>
    <mergeCell ref="A199:J199"/>
    <mergeCell ref="A200:Z200"/>
    <mergeCell ref="O212:P212"/>
    <mergeCell ref="A206:E206"/>
    <mergeCell ref="A207:E207"/>
    <mergeCell ref="A208:E208"/>
    <mergeCell ref="A209:E209"/>
    <mergeCell ref="A210:E210"/>
    <mergeCell ref="F201:M201"/>
    <mergeCell ref="F202:M202"/>
    <mergeCell ref="F203:M203"/>
    <mergeCell ref="F204:M204"/>
    <mergeCell ref="F205:M205"/>
    <mergeCell ref="F206:M206"/>
    <mergeCell ref="F207:M207"/>
    <mergeCell ref="F208:M208"/>
    <mergeCell ref="F209:M209"/>
    <mergeCell ref="F210:M210"/>
    <mergeCell ref="T201:Z201"/>
    <mergeCell ref="T202:Z202"/>
    <mergeCell ref="T203:Z203"/>
    <mergeCell ref="T204:Z204"/>
    <mergeCell ref="T205:Z205"/>
    <mergeCell ref="T206:Z206"/>
    <mergeCell ref="T207:Z207"/>
    <mergeCell ref="T208:Z208"/>
    <mergeCell ref="T209:Z209"/>
    <mergeCell ref="N201:S201"/>
    <mergeCell ref="N202:S202"/>
    <mergeCell ref="N203:S203"/>
    <mergeCell ref="N204:S204"/>
    <mergeCell ref="N205:S205"/>
    <mergeCell ref="N206:S206"/>
    <mergeCell ref="N207:S207"/>
    <mergeCell ref="O213:P213"/>
    <mergeCell ref="O214:P214"/>
    <mergeCell ref="O215:P215"/>
    <mergeCell ref="O216:P216"/>
    <mergeCell ref="O217:P217"/>
    <mergeCell ref="O218:P218"/>
    <mergeCell ref="O219:P219"/>
    <mergeCell ref="O220:P220"/>
    <mergeCell ref="O221:P221"/>
    <mergeCell ref="O222:P222"/>
    <mergeCell ref="A219:C219"/>
    <mergeCell ref="A220:C220"/>
    <mergeCell ref="A221:C221"/>
    <mergeCell ref="A222:C222"/>
    <mergeCell ref="D212:G212"/>
    <mergeCell ref="D213:G213"/>
    <mergeCell ref="D214:G214"/>
    <mergeCell ref="D215:G215"/>
    <mergeCell ref="D216:G216"/>
    <mergeCell ref="D217:G217"/>
    <mergeCell ref="D218:G218"/>
    <mergeCell ref="D219:G219"/>
    <mergeCell ref="D220:G220"/>
    <mergeCell ref="D221:G221"/>
    <mergeCell ref="D222:G222"/>
    <mergeCell ref="H222:L222"/>
    <mergeCell ref="A212:C212"/>
    <mergeCell ref="A213:C213"/>
    <mergeCell ref="A214:C214"/>
    <mergeCell ref="A215:C215"/>
    <mergeCell ref="A216:C216"/>
    <mergeCell ref="A217:C217"/>
    <mergeCell ref="A224:D224"/>
    <mergeCell ref="A225:D225"/>
    <mergeCell ref="A226:D226"/>
    <mergeCell ref="A227:D227"/>
    <mergeCell ref="A228:D228"/>
    <mergeCell ref="M212:N212"/>
    <mergeCell ref="M213:N213"/>
    <mergeCell ref="M214:N214"/>
    <mergeCell ref="M215:N215"/>
    <mergeCell ref="M216:N216"/>
    <mergeCell ref="M217:N217"/>
    <mergeCell ref="M218:N218"/>
    <mergeCell ref="M219:N219"/>
    <mergeCell ref="M220:N220"/>
    <mergeCell ref="M221:N221"/>
    <mergeCell ref="M222:N222"/>
    <mergeCell ref="A232:I232"/>
    <mergeCell ref="A218:C218"/>
    <mergeCell ref="A233:I235"/>
    <mergeCell ref="A236:I237"/>
    <mergeCell ref="A238:I239"/>
    <mergeCell ref="A240:I241"/>
    <mergeCell ref="J233:M233"/>
    <mergeCell ref="J234:M234"/>
    <mergeCell ref="J235:M235"/>
    <mergeCell ref="J236:M236"/>
    <mergeCell ref="J237:M237"/>
    <mergeCell ref="J238:M238"/>
    <mergeCell ref="J239:M239"/>
    <mergeCell ref="J232:Q232"/>
    <mergeCell ref="N233:Q233"/>
    <mergeCell ref="N234:Q234"/>
    <mergeCell ref="N235:Q235"/>
    <mergeCell ref="A211:P211"/>
    <mergeCell ref="A223:P223"/>
    <mergeCell ref="E224:P224"/>
    <mergeCell ref="E225:P225"/>
    <mergeCell ref="E226:P226"/>
    <mergeCell ref="E227:P227"/>
    <mergeCell ref="E228:P228"/>
    <mergeCell ref="A229:P231"/>
    <mergeCell ref="Q218:Z218"/>
    <mergeCell ref="Q211:Z211"/>
    <mergeCell ref="Q219:Z221"/>
    <mergeCell ref="Q222:Z224"/>
    <mergeCell ref="Q225:Z227"/>
    <mergeCell ref="Q228:Z231"/>
    <mergeCell ref="H212:L212"/>
    <mergeCell ref="H213:L213"/>
    <mergeCell ref="R238:V238"/>
    <mergeCell ref="W238:Z238"/>
    <mergeCell ref="R239:V239"/>
    <mergeCell ref="W239:Z239"/>
    <mergeCell ref="J240:M240"/>
    <mergeCell ref="N240:Q240"/>
    <mergeCell ref="R240:V240"/>
    <mergeCell ref="W240:Z240"/>
    <mergeCell ref="J241:M241"/>
    <mergeCell ref="N241:Q241"/>
    <mergeCell ref="R241:V241"/>
    <mergeCell ref="W241:Z241"/>
    <mergeCell ref="R234:V234"/>
    <mergeCell ref="W234:Z234"/>
    <mergeCell ref="R235:V235"/>
    <mergeCell ref="W235:Z235"/>
    <mergeCell ref="R236:V236"/>
    <mergeCell ref="W236:Z236"/>
    <mergeCell ref="R237:V237"/>
    <mergeCell ref="W237:Z237"/>
    <mergeCell ref="N236:Q236"/>
    <mergeCell ref="N237:Q237"/>
    <mergeCell ref="N238:Q238"/>
    <mergeCell ref="N239:Q239"/>
    <mergeCell ref="R232:Z232"/>
    <mergeCell ref="R233:V233"/>
    <mergeCell ref="W233:Z233"/>
    <mergeCell ref="H214:L214"/>
    <mergeCell ref="H215:L215"/>
    <mergeCell ref="H216:L216"/>
    <mergeCell ref="H217:L217"/>
    <mergeCell ref="H218:L218"/>
    <mergeCell ref="H219:L219"/>
    <mergeCell ref="H220:L220"/>
    <mergeCell ref="H221:L221"/>
    <mergeCell ref="N183:P183"/>
    <mergeCell ref="A184:J184"/>
    <mergeCell ref="K184:M184"/>
    <mergeCell ref="N184:P184"/>
    <mergeCell ref="A179:J179"/>
    <mergeCell ref="K179:M179"/>
    <mergeCell ref="N179:P179"/>
    <mergeCell ref="A180:J180"/>
    <mergeCell ref="K180:M180"/>
    <mergeCell ref="N180:P180"/>
    <mergeCell ref="A181:J181"/>
    <mergeCell ref="K181:M181"/>
    <mergeCell ref="N181:P181"/>
    <mergeCell ref="T181:Z181"/>
    <mergeCell ref="Q182:Z184"/>
    <mergeCell ref="Q180:S180"/>
    <mergeCell ref="Q181:S181"/>
    <mergeCell ref="A182:J182"/>
    <mergeCell ref="K182:M182"/>
    <mergeCell ref="N182:P182"/>
    <mergeCell ref="A183:J183"/>
    <mergeCell ref="A242:Z242"/>
    <mergeCell ref="A243:Z249"/>
    <mergeCell ref="A172:J172"/>
    <mergeCell ref="K172:M172"/>
    <mergeCell ref="N172:P172"/>
    <mergeCell ref="A173:J173"/>
    <mergeCell ref="K173:M173"/>
    <mergeCell ref="N173:P173"/>
    <mergeCell ref="A174:J174"/>
    <mergeCell ref="K174:M174"/>
    <mergeCell ref="N174:P174"/>
    <mergeCell ref="A175:J175"/>
    <mergeCell ref="K175:M175"/>
    <mergeCell ref="N175:P175"/>
    <mergeCell ref="A177:J177"/>
    <mergeCell ref="K177:M177"/>
    <mergeCell ref="N177:P177"/>
    <mergeCell ref="A178:J178"/>
    <mergeCell ref="K178:M178"/>
    <mergeCell ref="A191:P191"/>
    <mergeCell ref="A192:J192"/>
    <mergeCell ref="K192:M192"/>
    <mergeCell ref="N192:P192"/>
    <mergeCell ref="A193:J193"/>
    <mergeCell ref="K193:M193"/>
    <mergeCell ref="N193:P193"/>
    <mergeCell ref="Q191:Z191"/>
    <mergeCell ref="Q193:T193"/>
    <mergeCell ref="Q194:T194"/>
    <mergeCell ref="Q179:S179"/>
    <mergeCell ref="T179:Z179"/>
    <mergeCell ref="T180:Z180"/>
    <mergeCell ref="U194:W194"/>
    <mergeCell ref="N196:P196"/>
    <mergeCell ref="W198:Z198"/>
    <mergeCell ref="Q198:V198"/>
    <mergeCell ref="Q195:T195"/>
    <mergeCell ref="Q196:T196"/>
    <mergeCell ref="Q197:T197"/>
    <mergeCell ref="Q192:T192"/>
    <mergeCell ref="U192:W192"/>
    <mergeCell ref="X192:Z192"/>
    <mergeCell ref="U193:W193"/>
    <mergeCell ref="A176:J176"/>
    <mergeCell ref="K176:M176"/>
    <mergeCell ref="N176:P176"/>
    <mergeCell ref="A151:J151"/>
    <mergeCell ref="K151:M151"/>
    <mergeCell ref="N151:P151"/>
    <mergeCell ref="X193:Z193"/>
    <mergeCell ref="Y167:Z167"/>
    <mergeCell ref="Y168:Z168"/>
    <mergeCell ref="Y169:Z169"/>
    <mergeCell ref="Q164:V164"/>
    <mergeCell ref="R165:V165"/>
    <mergeCell ref="R166:V166"/>
    <mergeCell ref="R167:V167"/>
    <mergeCell ref="R168:V168"/>
    <mergeCell ref="R169:V169"/>
    <mergeCell ref="K161:M161"/>
    <mergeCell ref="N161:P161"/>
    <mergeCell ref="K162:M162"/>
    <mergeCell ref="N162:P162"/>
    <mergeCell ref="S159:Z159"/>
  </mergeCells>
  <conditionalFormatting sqref="I51:T51">
    <cfRule type="expression" dxfId="21" priority="7" stopIfTrue="1">
      <formula>$AE$4=FALSE</formula>
    </cfRule>
  </conditionalFormatting>
  <conditionalFormatting sqref="K35 K37:K38">
    <cfRule type="cellIs" dxfId="20" priority="4" operator="greaterThan">
      <formula>0</formula>
    </cfRule>
  </conditionalFormatting>
  <conditionalFormatting sqref="K33:N33">
    <cfRule type="expression" dxfId="19" priority="3">
      <formula>AND($K$32="Ajust Magie",$K$33&gt;=1)</formula>
    </cfRule>
  </conditionalFormatting>
  <conditionalFormatting sqref="AH5">
    <cfRule type="expression" dxfId="18" priority="1">
      <formula>$AH$6="Métrique"</formula>
    </cfRule>
    <cfRule type="expression" dxfId="17" priority="2">
      <formula>$AH$6="Impériale"</formula>
    </cfRule>
  </conditionalFormatting>
  <dataValidations count="32">
    <dataValidation type="list" allowBlank="1" showInputMessage="1" showErrorMessage="1" sqref="I51:T51">
      <formula1>Voleur_armure_type</formula1>
    </dataValidation>
    <dataValidation type="list" allowBlank="1" showInputMessage="1" showErrorMessage="1" sqref="A103 A119 A123 A111 A135 A107 A115 A139 A127 A131 A143 A147">
      <formula1>SR_list</formula1>
    </dataValidation>
    <dataValidation type="list" allowBlank="1" showInputMessage="1" showErrorMessage="1" sqref="L83:M86 Y83:Z86">
      <formula1>"Familier,Compétent,Expert,Spécialiste,Maître,Grand Maître"</formula1>
    </dataValidation>
    <dataValidation type="list" allowBlank="1" showInputMessage="1" showErrorMessage="1" sqref="A83:A86 N83:N86">
      <formula1>Comp_martiales_list</formula1>
    </dataValidation>
    <dataValidation type="list" allowBlank="1" showInputMessage="1" showErrorMessage="1" sqref="A33:J33">
      <formula1>liste_armures</formula1>
    </dataValidation>
    <dataValidation type="list" allowBlank="1" sqref="A37:J38">
      <formula1>"anneau,amulette,cape"</formula1>
    </dataValidation>
    <dataValidation type="list" allowBlank="1" showInputMessage="1" showErrorMessage="1" sqref="E19">
      <formula1>"Charme,Magnétisme"</formula1>
    </dataValidation>
    <dataValidation type="list" allowBlank="1" showInputMessage="1" showErrorMessage="1" sqref="P6">
      <formula1>"Mâle,Femelle,Autre"</formula1>
    </dataValidation>
    <dataValidation type="list" allowBlank="1" sqref="A69:C80 N68:N80 O69:P80">
      <formula1>Comp_diverses_list</formula1>
    </dataValidation>
    <dataValidation type="list" allowBlank="1" sqref="A68">
      <formula1>IF(comp_vers="aucune",La_cellule_vide,Comp_diverses_list)</formula1>
    </dataValidation>
    <dataValidation type="list" allowBlank="1" showInputMessage="1" showErrorMessage="1" sqref="M213:M222 O213:O222">
      <formula1>"£,¢"</formula1>
    </dataValidation>
    <dataValidation type="list" allowBlank="1" showInputMessage="1" showErrorMessage="1" sqref="T210">
      <formula1>Rang_Planescape</formula1>
    </dataValidation>
    <dataValidation type="list" allowBlank="1" showInputMessage="1" showErrorMessage="1" sqref="T208:U209 Q1">
      <formula1>"Loyal Bon,Neutre Bon,Chaotique Bon,Loyal Neutre,Neutre Vrai,Chaotique Neutre,Loyal Mauvais,Neutre Mauvais,Chaotique Mauvais"</formula1>
    </dataValidation>
    <dataValidation type="list" allowBlank="1" showInputMessage="1" showErrorMessage="1" sqref="F210">
      <formula1>Factions_list</formula1>
    </dataValidation>
    <dataValidation type="list" allowBlank="1" showInputMessage="1" showErrorMessage="1" sqref="AE9">
      <formula1>Campaign_settings</formula1>
    </dataValidation>
    <dataValidation type="list" allowBlank="1" showInputMessage="1" showErrorMessage="1" sqref="AN7:AO7">
      <formula1>IF($E$3="mage",Mage,IF($E$3="Multi-Classe",multi,))</formula1>
    </dataValidation>
    <dataValidation type="whole" allowBlank="1" showInputMessage="1" showErrorMessage="1" errorTitle="Niveau Invalide" error="Ce niveau est trop élevé ou trop bas et n'est pas prit en compte pas la feuille excel." sqref="AI8 AR3:AT3">
      <formula1>1</formula1>
      <formula2>20</formula2>
    </dataValidation>
    <dataValidation type="list" allowBlank="1" showInputMessage="1" showErrorMessage="1" sqref="AE4 AH7">
      <formula1>"TRUE,FALSE"</formula1>
    </dataValidation>
    <dataValidation type="list" allowBlank="1" showInputMessage="1" showErrorMessage="1" sqref="AE5">
      <formula1>"MC,T&amp;P"</formula1>
    </dataValidation>
    <dataValidation type="list" allowBlank="1" showInputMessage="1" showErrorMessage="1" sqref="AE6">
      <formula1>"Oui, Non"</formula1>
    </dataValidation>
    <dataValidation type="list" allowBlank="1" showInputMessage="1" showErrorMessage="1" sqref="AE7">
      <formula1>"2.0,2.5,aucune"</formula1>
    </dataValidation>
    <dataValidation type="list" allowBlank="1" showInputMessage="1" showErrorMessage="1" sqref="Q2">
      <formula1>Ethnie_List</formula1>
    </dataValidation>
    <dataValidation type="list" allowBlank="1" showInputMessage="1" showErrorMessage="1" sqref="E5:E6 E3:L3">
      <formula1>Classes_list</formula1>
    </dataValidation>
    <dataValidation type="list" allowBlank="1" showInputMessage="1" showErrorMessage="1" sqref="E4">
      <formula1>profil_list</formula1>
    </dataValidation>
    <dataValidation type="list" allowBlank="1" showInputMessage="1" showErrorMessage="1" sqref="E2">
      <formula1>Race_list</formula1>
    </dataValidation>
    <dataValidation type="list" allowBlank="1" showInputMessage="1" showErrorMessage="1" sqref="AH6:AI6">
      <formula1>"Métrique, Impériale"</formula1>
    </dataValidation>
    <dataValidation type="list" allowBlank="1" showInputMessage="1" showErrorMessage="1" sqref="AE8">
      <formula1>"2.0,2.5,jello,aucune"</formula1>
    </dataValidation>
    <dataValidation type="list" allowBlank="1" showInputMessage="1" showErrorMessage="1" sqref="E9:G9">
      <formula1>"Endurance +1,Endurance +2,Puissance +1,Puissance +2"</formula1>
    </dataValidation>
    <dataValidation type="list" allowBlank="1" showInputMessage="1" showErrorMessage="1" sqref="E11:G11">
      <formula1>"Précision +1,Précision +2,Équilibre +1,Équilibre +2"</formula1>
    </dataValidation>
    <dataValidation type="list" allowBlank="1" showInputMessage="1" showErrorMessage="1" sqref="E13:G13">
      <formula1>"Résistance +1,Résistance +2,Vigueur +1,Vigueur +2"</formula1>
    </dataValidation>
    <dataValidation type="list" allowBlank="1" showInputMessage="1" showErrorMessage="1" sqref="E15:G15">
      <formula1>"Intellect +1,Intellect +2,Érudition +1,Érudition +2"</formula1>
    </dataValidation>
    <dataValidation type="list" allowBlank="1" showInputMessage="1" showErrorMessage="1" sqref="E17:G17">
      <formula1>"Volonté +1,Volonté +2,Intuition +1,Intuition +2"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186"/>
  <sheetViews>
    <sheetView topLeftCell="A29" zoomScale="85" zoomScaleNormal="85" workbookViewId="0">
      <selection activeCell="E65" sqref="E65"/>
    </sheetView>
  </sheetViews>
  <sheetFormatPr defaultRowHeight="15"/>
  <cols>
    <col min="8" max="8" width="9.140625" customWidth="1"/>
    <col min="19" max="21" width="10.28515625" bestFit="1" customWidth="1"/>
    <col min="22" max="22" width="24.7109375" customWidth="1"/>
    <col min="26" max="26" width="11.85546875" customWidth="1"/>
  </cols>
  <sheetData>
    <row r="1" spans="1:22">
      <c r="A1" s="409" t="s">
        <v>174</v>
      </c>
      <c r="B1" s="409"/>
      <c r="C1" s="409"/>
      <c r="D1" s="409"/>
      <c r="E1" s="409"/>
      <c r="F1" s="409"/>
      <c r="G1" s="409"/>
      <c r="H1" s="412" t="s">
        <v>173</v>
      </c>
      <c r="I1" s="412"/>
      <c r="J1" s="412"/>
      <c r="K1" s="412"/>
      <c r="L1" s="408" t="s">
        <v>178</v>
      </c>
      <c r="M1" s="408"/>
      <c r="N1" s="408"/>
      <c r="O1" s="408"/>
    </row>
    <row r="2" spans="1:22">
      <c r="A2" s="18" t="s">
        <v>151</v>
      </c>
      <c r="B2" s="18" t="s">
        <v>34</v>
      </c>
      <c r="C2" s="18" t="s">
        <v>175</v>
      </c>
      <c r="D2" s="18" t="s">
        <v>35</v>
      </c>
      <c r="E2" s="18" t="s">
        <v>36</v>
      </c>
      <c r="F2" s="18" t="s">
        <v>37</v>
      </c>
      <c r="G2" s="18" t="s">
        <v>38</v>
      </c>
      <c r="H2" s="20" t="s">
        <v>151</v>
      </c>
      <c r="I2" s="20" t="s">
        <v>31</v>
      </c>
      <c r="J2" s="20" t="s">
        <v>32</v>
      </c>
      <c r="K2" s="20" t="s">
        <v>33</v>
      </c>
      <c r="P2" s="88"/>
      <c r="Q2" s="88"/>
      <c r="R2" s="88"/>
      <c r="S2" s="88"/>
      <c r="T2" s="88"/>
      <c r="U2" s="88"/>
      <c r="V2" s="88"/>
    </row>
    <row r="3" spans="1:22">
      <c r="A3" s="9">
        <v>1</v>
      </c>
      <c r="B3" s="205">
        <v>-3</v>
      </c>
      <c r="C3" s="205">
        <v>-3</v>
      </c>
      <c r="D3" s="205" t="s">
        <v>3622</v>
      </c>
      <c r="E3" s="205" t="s">
        <v>3623</v>
      </c>
      <c r="F3" s="205">
        <v>-2</v>
      </c>
      <c r="G3" s="9" t="s">
        <v>8</v>
      </c>
      <c r="H3" s="1">
        <v>1</v>
      </c>
      <c r="I3" s="207">
        <v>-6</v>
      </c>
      <c r="J3" s="207">
        <v>-6</v>
      </c>
      <c r="K3" s="207" t="s">
        <v>701</v>
      </c>
      <c r="L3" s="23">
        <v>1</v>
      </c>
      <c r="M3" s="203">
        <v>0</v>
      </c>
      <c r="N3" s="203">
        <v>-8</v>
      </c>
      <c r="O3" s="203">
        <v>-7</v>
      </c>
    </row>
    <row r="4" spans="1:22">
      <c r="A4" s="8">
        <v>2</v>
      </c>
      <c r="B4" s="206">
        <v>-2</v>
      </c>
      <c r="C4" s="206">
        <v>-2</v>
      </c>
      <c r="D4" s="206" t="s">
        <v>3623</v>
      </c>
      <c r="E4" s="206" t="s">
        <v>3606</v>
      </c>
      <c r="F4" s="206">
        <v>-1</v>
      </c>
      <c r="G4" s="8" t="s">
        <v>8</v>
      </c>
      <c r="H4" s="10">
        <v>2</v>
      </c>
      <c r="I4" s="208">
        <v>-4</v>
      </c>
      <c r="J4" s="208">
        <v>-4</v>
      </c>
      <c r="K4" s="208" t="s">
        <v>701</v>
      </c>
      <c r="L4" s="22">
        <v>2</v>
      </c>
      <c r="M4" s="204">
        <v>1</v>
      </c>
      <c r="N4" s="204">
        <v>-7</v>
      </c>
      <c r="O4" s="204">
        <v>-6</v>
      </c>
      <c r="P4" s="88"/>
      <c r="Q4" s="88"/>
      <c r="S4" s="67"/>
      <c r="T4" s="67"/>
      <c r="U4" s="67"/>
      <c r="V4" s="67"/>
    </row>
    <row r="5" spans="1:22">
      <c r="A5" s="9">
        <v>3</v>
      </c>
      <c r="B5" s="205">
        <v>-2</v>
      </c>
      <c r="C5" s="205">
        <v>-2</v>
      </c>
      <c r="D5" s="205" t="s">
        <v>3606</v>
      </c>
      <c r="E5" s="205" t="s">
        <v>3607</v>
      </c>
      <c r="F5" s="205">
        <v>0</v>
      </c>
      <c r="G5" s="9" t="s">
        <v>8</v>
      </c>
      <c r="H5" s="1">
        <v>3</v>
      </c>
      <c r="I5" s="207">
        <v>-3</v>
      </c>
      <c r="J5" s="207">
        <v>-3</v>
      </c>
      <c r="K5" s="207" t="s">
        <v>704</v>
      </c>
      <c r="L5" s="23">
        <v>3</v>
      </c>
      <c r="M5" s="203">
        <v>1</v>
      </c>
      <c r="N5" s="203">
        <v>-6</v>
      </c>
      <c r="O5" s="203">
        <v>-5</v>
      </c>
      <c r="P5" s="88"/>
      <c r="Q5" s="88"/>
    </row>
    <row r="6" spans="1:22">
      <c r="A6" s="8">
        <v>4</v>
      </c>
      <c r="B6" s="206">
        <v>-1</v>
      </c>
      <c r="C6" s="206">
        <v>-1</v>
      </c>
      <c r="D6" s="206" t="s">
        <v>3607</v>
      </c>
      <c r="E6" s="206" t="s">
        <v>3608</v>
      </c>
      <c r="F6" s="206">
        <v>0</v>
      </c>
      <c r="G6" s="8" t="s">
        <v>8</v>
      </c>
      <c r="H6" s="10">
        <v>4</v>
      </c>
      <c r="I6" s="208">
        <v>-2</v>
      </c>
      <c r="J6" s="208">
        <v>-2</v>
      </c>
      <c r="K6" s="208" t="s">
        <v>700</v>
      </c>
      <c r="L6" s="22">
        <v>4</v>
      </c>
      <c r="M6" s="204">
        <v>1</v>
      </c>
      <c r="N6" s="204">
        <v>-5</v>
      </c>
      <c r="O6" s="204">
        <v>-4</v>
      </c>
      <c r="P6" s="88"/>
      <c r="Q6" s="88"/>
    </row>
    <row r="7" spans="1:22">
      <c r="A7" s="9">
        <v>5</v>
      </c>
      <c r="B7" s="205">
        <v>-1</v>
      </c>
      <c r="C7" s="205">
        <v>-1</v>
      </c>
      <c r="D7" s="205" t="s">
        <v>3608</v>
      </c>
      <c r="E7" s="205" t="s">
        <v>3609</v>
      </c>
      <c r="F7" s="205">
        <v>0</v>
      </c>
      <c r="G7" s="9" t="s">
        <v>8</v>
      </c>
      <c r="H7" s="1">
        <v>5</v>
      </c>
      <c r="I7" s="207">
        <v>-1</v>
      </c>
      <c r="J7" s="207">
        <v>-1</v>
      </c>
      <c r="K7" s="207" t="s">
        <v>697</v>
      </c>
      <c r="L7" s="23">
        <v>5</v>
      </c>
      <c r="M7" s="203">
        <v>2</v>
      </c>
      <c r="N7" s="203">
        <v>-4</v>
      </c>
      <c r="O7" s="203">
        <v>-3</v>
      </c>
    </row>
    <row r="8" spans="1:22">
      <c r="A8" s="8">
        <v>6</v>
      </c>
      <c r="B8" s="206">
        <v>-1</v>
      </c>
      <c r="C8" s="206">
        <v>-1</v>
      </c>
      <c r="D8" s="206" t="s">
        <v>3609</v>
      </c>
      <c r="E8" s="206" t="s">
        <v>3610</v>
      </c>
      <c r="F8" s="206">
        <v>0</v>
      </c>
      <c r="G8" s="8" t="s">
        <v>8</v>
      </c>
      <c r="H8" s="10">
        <v>6</v>
      </c>
      <c r="I8" s="208">
        <v>0</v>
      </c>
      <c r="J8" s="208">
        <v>0</v>
      </c>
      <c r="K8" s="208" t="s">
        <v>696</v>
      </c>
      <c r="L8" s="22">
        <v>6</v>
      </c>
      <c r="M8" s="204">
        <v>2</v>
      </c>
      <c r="N8" s="204">
        <v>-3</v>
      </c>
      <c r="O8" s="204">
        <v>-2</v>
      </c>
    </row>
    <row r="9" spans="1:22">
      <c r="A9" s="9">
        <v>7</v>
      </c>
      <c r="B9" s="205">
        <v>0</v>
      </c>
      <c r="C9" s="205">
        <v>0</v>
      </c>
      <c r="D9" s="205" t="s">
        <v>3610</v>
      </c>
      <c r="E9" s="205" t="s">
        <v>3611</v>
      </c>
      <c r="F9" s="205">
        <v>0</v>
      </c>
      <c r="G9" s="9" t="s">
        <v>8</v>
      </c>
      <c r="H9" s="1">
        <v>7</v>
      </c>
      <c r="I9" s="207">
        <v>0</v>
      </c>
      <c r="J9" s="207">
        <v>0</v>
      </c>
      <c r="K9" s="207">
        <v>0</v>
      </c>
      <c r="L9" s="23">
        <v>7</v>
      </c>
      <c r="M9" s="203">
        <v>3</v>
      </c>
      <c r="N9" s="203">
        <v>-2</v>
      </c>
      <c r="O9" s="203">
        <v>-1</v>
      </c>
    </row>
    <row r="10" spans="1:22">
      <c r="A10" s="8">
        <v>8</v>
      </c>
      <c r="B10" s="206">
        <v>0</v>
      </c>
      <c r="C10" s="206">
        <v>0</v>
      </c>
      <c r="D10" s="206" t="s">
        <v>3611</v>
      </c>
      <c r="E10" s="206" t="s">
        <v>3612</v>
      </c>
      <c r="F10" s="206">
        <v>0</v>
      </c>
      <c r="G10" s="8" t="s">
        <v>8</v>
      </c>
      <c r="H10" s="10">
        <v>8</v>
      </c>
      <c r="I10" s="208">
        <v>0</v>
      </c>
      <c r="J10" s="208">
        <v>0</v>
      </c>
      <c r="K10" s="208">
        <v>0</v>
      </c>
      <c r="L10" s="22">
        <v>8</v>
      </c>
      <c r="M10" s="204">
        <v>3</v>
      </c>
      <c r="N10" s="204">
        <v>-1</v>
      </c>
      <c r="O10" s="204">
        <v>0</v>
      </c>
    </row>
    <row r="11" spans="1:22">
      <c r="A11" s="9">
        <v>9</v>
      </c>
      <c r="B11" s="205">
        <v>0</v>
      </c>
      <c r="C11" s="205">
        <v>0</v>
      </c>
      <c r="D11" s="205" t="s">
        <v>3612</v>
      </c>
      <c r="E11" s="205" t="s">
        <v>3613</v>
      </c>
      <c r="F11" s="205">
        <v>0</v>
      </c>
      <c r="G11" s="9" t="s">
        <v>8</v>
      </c>
      <c r="H11" s="1">
        <v>9</v>
      </c>
      <c r="I11" s="207">
        <v>0</v>
      </c>
      <c r="J11" s="207">
        <v>0</v>
      </c>
      <c r="K11" s="207">
        <v>0</v>
      </c>
      <c r="L11" s="23">
        <v>9</v>
      </c>
      <c r="M11" s="203">
        <v>4</v>
      </c>
      <c r="N11" s="203">
        <v>0</v>
      </c>
      <c r="O11" s="203">
        <v>0</v>
      </c>
    </row>
    <row r="12" spans="1:22">
      <c r="A12" s="8">
        <v>10</v>
      </c>
      <c r="B12" s="206">
        <v>0</v>
      </c>
      <c r="C12" s="206">
        <v>0</v>
      </c>
      <c r="D12" s="206" t="s">
        <v>3613</v>
      </c>
      <c r="E12" s="206" t="s">
        <v>3614</v>
      </c>
      <c r="F12" s="206">
        <v>0</v>
      </c>
      <c r="G12" s="8" t="s">
        <v>8</v>
      </c>
      <c r="H12" s="10">
        <v>10</v>
      </c>
      <c r="I12" s="208">
        <v>0</v>
      </c>
      <c r="J12" s="208">
        <v>0</v>
      </c>
      <c r="K12" s="208">
        <v>0</v>
      </c>
      <c r="L12" s="22">
        <v>10</v>
      </c>
      <c r="M12" s="204">
        <v>4</v>
      </c>
      <c r="N12" s="204">
        <v>0</v>
      </c>
      <c r="O12" s="204">
        <v>0</v>
      </c>
    </row>
    <row r="13" spans="1:22">
      <c r="A13" s="9">
        <v>11</v>
      </c>
      <c r="B13" s="205">
        <v>0</v>
      </c>
      <c r="C13" s="205">
        <v>0</v>
      </c>
      <c r="D13" s="205" t="s">
        <v>3614</v>
      </c>
      <c r="E13" s="205" t="s">
        <v>3624</v>
      </c>
      <c r="F13" s="205">
        <v>0</v>
      </c>
      <c r="G13" s="9" t="s">
        <v>8</v>
      </c>
      <c r="H13" s="1">
        <v>11</v>
      </c>
      <c r="I13" s="207">
        <v>0</v>
      </c>
      <c r="J13" s="207">
        <v>0</v>
      </c>
      <c r="K13" s="207">
        <v>0</v>
      </c>
      <c r="L13" s="23">
        <v>11</v>
      </c>
      <c r="M13" s="203">
        <v>4</v>
      </c>
      <c r="N13" s="203">
        <v>0</v>
      </c>
      <c r="O13" s="203">
        <v>0</v>
      </c>
    </row>
    <row r="14" spans="1:22">
      <c r="A14" s="8">
        <v>12</v>
      </c>
      <c r="B14" s="206">
        <v>0</v>
      </c>
      <c r="C14" s="206">
        <v>0</v>
      </c>
      <c r="D14" s="206" t="s">
        <v>3624</v>
      </c>
      <c r="E14" s="206" t="s">
        <v>3615</v>
      </c>
      <c r="F14" s="206">
        <v>0</v>
      </c>
      <c r="G14" s="8" t="s">
        <v>8</v>
      </c>
      <c r="H14" s="10">
        <v>12</v>
      </c>
      <c r="I14" s="208">
        <v>0</v>
      </c>
      <c r="J14" s="208">
        <v>0</v>
      </c>
      <c r="K14" s="208">
        <v>0</v>
      </c>
      <c r="L14" s="22">
        <v>12</v>
      </c>
      <c r="M14" s="204">
        <v>5</v>
      </c>
      <c r="N14" s="204">
        <v>0</v>
      </c>
      <c r="O14" s="204">
        <v>0</v>
      </c>
    </row>
    <row r="15" spans="1:22">
      <c r="A15" s="9">
        <v>13</v>
      </c>
      <c r="B15" s="205">
        <v>0</v>
      </c>
      <c r="C15" s="205">
        <v>0</v>
      </c>
      <c r="D15" s="205" t="s">
        <v>3615</v>
      </c>
      <c r="E15" s="205" t="s">
        <v>3626</v>
      </c>
      <c r="F15" s="205">
        <v>0</v>
      </c>
      <c r="G15" s="9" t="s">
        <v>8</v>
      </c>
      <c r="H15" s="1">
        <v>13</v>
      </c>
      <c r="I15" s="207">
        <v>0</v>
      </c>
      <c r="J15" s="207">
        <v>0</v>
      </c>
      <c r="K15" s="207">
        <v>0</v>
      </c>
      <c r="L15" s="23">
        <v>13</v>
      </c>
      <c r="M15" s="203">
        <v>5</v>
      </c>
      <c r="N15" s="203">
        <v>0</v>
      </c>
      <c r="O15" s="203" t="s">
        <v>696</v>
      </c>
    </row>
    <row r="16" spans="1:22">
      <c r="A16" s="8">
        <v>14</v>
      </c>
      <c r="B16" s="206">
        <v>0</v>
      </c>
      <c r="C16" s="206">
        <v>0</v>
      </c>
      <c r="D16" s="206" t="s">
        <v>3625</v>
      </c>
      <c r="E16" s="206" t="s">
        <v>3627</v>
      </c>
      <c r="F16" s="206">
        <v>0</v>
      </c>
      <c r="G16" s="8" t="s">
        <v>8</v>
      </c>
      <c r="H16" s="10">
        <v>14</v>
      </c>
      <c r="I16" s="208">
        <v>0</v>
      </c>
      <c r="J16" s="208">
        <v>0</v>
      </c>
      <c r="K16" s="208">
        <v>0</v>
      </c>
      <c r="L16" s="22">
        <v>14</v>
      </c>
      <c r="M16" s="204">
        <v>6</v>
      </c>
      <c r="N16" s="204" t="s">
        <v>696</v>
      </c>
      <c r="O16" s="204" t="s">
        <v>697</v>
      </c>
    </row>
    <row r="17" spans="1:24">
      <c r="A17" s="9">
        <v>15</v>
      </c>
      <c r="B17" s="205" t="s">
        <v>696</v>
      </c>
      <c r="C17" s="205" t="s">
        <v>696</v>
      </c>
      <c r="D17" s="205" t="s">
        <v>3626</v>
      </c>
      <c r="E17" s="205" t="s">
        <v>3628</v>
      </c>
      <c r="F17" s="205">
        <v>0</v>
      </c>
      <c r="G17" s="9" t="s">
        <v>8</v>
      </c>
      <c r="H17" s="1">
        <v>15</v>
      </c>
      <c r="I17" s="207">
        <v>0</v>
      </c>
      <c r="J17" s="207">
        <v>0</v>
      </c>
      <c r="K17" s="207">
        <v>-1</v>
      </c>
      <c r="L17" s="23">
        <v>15</v>
      </c>
      <c r="M17" s="203">
        <v>7</v>
      </c>
      <c r="N17" s="203" t="s">
        <v>700</v>
      </c>
      <c r="O17" s="203" t="s">
        <v>700</v>
      </c>
    </row>
    <row r="18" spans="1:24">
      <c r="A18" s="8">
        <v>16</v>
      </c>
      <c r="B18" s="206" t="s">
        <v>697</v>
      </c>
      <c r="C18" s="206" t="s">
        <v>697</v>
      </c>
      <c r="D18" s="206" t="s">
        <v>3616</v>
      </c>
      <c r="E18" s="206" t="s">
        <v>3617</v>
      </c>
      <c r="F18" s="206">
        <v>0</v>
      </c>
      <c r="G18" s="8" t="s">
        <v>8</v>
      </c>
      <c r="H18" s="10">
        <v>16</v>
      </c>
      <c r="I18" s="208" t="s">
        <v>696</v>
      </c>
      <c r="J18" s="208" t="s">
        <v>696</v>
      </c>
      <c r="K18" s="208">
        <v>-2</v>
      </c>
      <c r="L18" s="22">
        <v>16</v>
      </c>
      <c r="M18" s="204">
        <v>8</v>
      </c>
      <c r="N18" s="204" t="s">
        <v>704</v>
      </c>
      <c r="O18" s="204" t="s">
        <v>701</v>
      </c>
    </row>
    <row r="19" spans="1:24">
      <c r="A19" s="9">
        <v>17</v>
      </c>
      <c r="B19" s="205" t="s">
        <v>697</v>
      </c>
      <c r="C19" s="205" t="s">
        <v>700</v>
      </c>
      <c r="D19" s="205" t="s">
        <v>3618</v>
      </c>
      <c r="E19" s="205" t="s">
        <v>3619</v>
      </c>
      <c r="F19" s="205">
        <v>0</v>
      </c>
      <c r="G19" s="9" t="s">
        <v>8</v>
      </c>
      <c r="H19" s="1">
        <v>17</v>
      </c>
      <c r="I19" s="207" t="s">
        <v>697</v>
      </c>
      <c r="J19" s="207" t="s">
        <v>697</v>
      </c>
      <c r="K19" s="207">
        <v>-3</v>
      </c>
      <c r="L19" s="23">
        <v>17</v>
      </c>
      <c r="M19" s="203">
        <v>10</v>
      </c>
      <c r="N19" s="203" t="s">
        <v>706</v>
      </c>
      <c r="O19" s="203" t="s">
        <v>706</v>
      </c>
    </row>
    <row r="20" spans="1:24">
      <c r="A20" s="8">
        <v>18</v>
      </c>
      <c r="B20" s="206" t="s">
        <v>697</v>
      </c>
      <c r="C20" s="206" t="s">
        <v>704</v>
      </c>
      <c r="D20" s="206" t="s">
        <v>3620</v>
      </c>
      <c r="E20" s="206" t="s">
        <v>3621</v>
      </c>
      <c r="F20" s="206">
        <v>0</v>
      </c>
      <c r="G20" s="8" t="s">
        <v>8</v>
      </c>
      <c r="H20" s="10">
        <v>18</v>
      </c>
      <c r="I20" s="208" t="s">
        <v>697</v>
      </c>
      <c r="J20" s="208" t="s">
        <v>697</v>
      </c>
      <c r="K20" s="208">
        <v>-4</v>
      </c>
      <c r="L20" s="22">
        <v>18</v>
      </c>
      <c r="M20" s="204">
        <v>15</v>
      </c>
      <c r="N20" s="204" t="s">
        <v>3596</v>
      </c>
      <c r="O20" s="204" t="s">
        <v>705</v>
      </c>
    </row>
    <row r="21" spans="1:24">
      <c r="A21" s="9">
        <v>19</v>
      </c>
      <c r="B21" s="205" t="s">
        <v>697</v>
      </c>
      <c r="C21" s="205" t="s">
        <v>701</v>
      </c>
      <c r="D21" s="205" t="s">
        <v>3620</v>
      </c>
      <c r="E21" s="205" t="s">
        <v>3621</v>
      </c>
      <c r="F21" s="205" t="s">
        <v>696</v>
      </c>
      <c r="G21" s="9" t="s">
        <v>8</v>
      </c>
      <c r="H21" s="1">
        <v>19</v>
      </c>
      <c r="I21" s="207" t="s">
        <v>700</v>
      </c>
      <c r="J21" s="207" t="s">
        <v>700</v>
      </c>
      <c r="K21" s="207">
        <v>-4</v>
      </c>
      <c r="L21" s="23">
        <v>19</v>
      </c>
      <c r="M21" s="203">
        <v>20</v>
      </c>
      <c r="N21" s="203" t="s">
        <v>3597</v>
      </c>
      <c r="O21" s="203" t="s">
        <v>3596</v>
      </c>
    </row>
    <row r="22" spans="1:24">
      <c r="A22" s="8">
        <v>20</v>
      </c>
      <c r="B22" s="206" t="s">
        <v>697</v>
      </c>
      <c r="C22" s="206" t="s">
        <v>701</v>
      </c>
      <c r="D22" s="206" t="s">
        <v>3620</v>
      </c>
      <c r="E22" s="206" t="s">
        <v>3621</v>
      </c>
      <c r="F22" s="206" t="s">
        <v>696</v>
      </c>
      <c r="G22" s="8" t="s">
        <v>10</v>
      </c>
      <c r="H22" s="10">
        <v>20</v>
      </c>
      <c r="I22" s="208" t="s">
        <v>700</v>
      </c>
      <c r="J22" s="208" t="s">
        <v>700</v>
      </c>
      <c r="K22" s="208">
        <v>-4</v>
      </c>
      <c r="L22" s="22">
        <v>20</v>
      </c>
      <c r="M22" s="204">
        <v>25</v>
      </c>
      <c r="N22" s="204" t="s">
        <v>3598</v>
      </c>
      <c r="O22" s="204" t="s">
        <v>3603</v>
      </c>
    </row>
    <row r="23" spans="1:24">
      <c r="A23" s="9">
        <v>21</v>
      </c>
      <c r="B23" s="205" t="s">
        <v>697</v>
      </c>
      <c r="C23" s="205" t="s">
        <v>706</v>
      </c>
      <c r="D23" s="205" t="s">
        <v>3620</v>
      </c>
      <c r="E23" s="205" t="s">
        <v>3621</v>
      </c>
      <c r="F23" s="205" t="s">
        <v>697</v>
      </c>
      <c r="G23" s="9" t="s">
        <v>11</v>
      </c>
      <c r="H23" s="1">
        <v>21</v>
      </c>
      <c r="I23" s="207" t="s">
        <v>704</v>
      </c>
      <c r="J23" s="207" t="s">
        <v>704</v>
      </c>
      <c r="K23" s="207">
        <v>-5</v>
      </c>
      <c r="L23" s="23">
        <v>21</v>
      </c>
      <c r="M23" s="203">
        <v>30</v>
      </c>
      <c r="N23" s="203" t="s">
        <v>3599</v>
      </c>
      <c r="O23" s="203" t="s">
        <v>3597</v>
      </c>
    </row>
    <row r="24" spans="1:24">
      <c r="A24" s="8">
        <v>22</v>
      </c>
      <c r="B24" s="206" t="s">
        <v>697</v>
      </c>
      <c r="C24" s="206" t="s">
        <v>706</v>
      </c>
      <c r="D24" s="206" t="s">
        <v>3620</v>
      </c>
      <c r="E24" s="206" t="s">
        <v>3621</v>
      </c>
      <c r="F24" s="206" t="s">
        <v>697</v>
      </c>
      <c r="G24" s="8" t="s">
        <v>12</v>
      </c>
      <c r="H24" s="10">
        <v>22</v>
      </c>
      <c r="I24" s="208" t="s">
        <v>704</v>
      </c>
      <c r="J24" s="208" t="s">
        <v>704</v>
      </c>
      <c r="K24" s="208">
        <v>-5</v>
      </c>
      <c r="L24" s="22">
        <v>22</v>
      </c>
      <c r="M24" s="204">
        <v>35</v>
      </c>
      <c r="N24" s="204" t="s">
        <v>3600</v>
      </c>
      <c r="O24" s="204" t="s">
        <v>3604</v>
      </c>
    </row>
    <row r="25" spans="1:24">
      <c r="A25" s="9">
        <v>23</v>
      </c>
      <c r="B25" s="205" t="s">
        <v>697</v>
      </c>
      <c r="C25" s="205" t="s">
        <v>706</v>
      </c>
      <c r="D25" s="205" t="s">
        <v>3620</v>
      </c>
      <c r="E25" s="205" t="s">
        <v>3621</v>
      </c>
      <c r="F25" s="205" t="s">
        <v>700</v>
      </c>
      <c r="G25" s="9" t="s">
        <v>13</v>
      </c>
      <c r="H25" s="1">
        <v>23</v>
      </c>
      <c r="I25" s="207" t="s">
        <v>704</v>
      </c>
      <c r="J25" s="207" t="s">
        <v>704</v>
      </c>
      <c r="K25" s="207">
        <v>-5</v>
      </c>
      <c r="L25" s="23">
        <v>23</v>
      </c>
      <c r="M25" s="203">
        <v>40</v>
      </c>
      <c r="N25" s="203" t="s">
        <v>3601</v>
      </c>
      <c r="O25" s="203" t="s">
        <v>3598</v>
      </c>
    </row>
    <row r="26" spans="1:24">
      <c r="A26" s="8">
        <v>24</v>
      </c>
      <c r="B26" s="206" t="s">
        <v>697</v>
      </c>
      <c r="C26" s="206" t="s">
        <v>705</v>
      </c>
      <c r="D26" s="206" t="s">
        <v>3620</v>
      </c>
      <c r="E26" s="206" t="s">
        <v>3621</v>
      </c>
      <c r="F26" s="206" t="s">
        <v>700</v>
      </c>
      <c r="G26" s="8" t="s">
        <v>14</v>
      </c>
      <c r="H26" s="10">
        <v>24</v>
      </c>
      <c r="I26" s="208" t="s">
        <v>701</v>
      </c>
      <c r="J26" s="208" t="s">
        <v>701</v>
      </c>
      <c r="K26" s="208">
        <v>-6</v>
      </c>
      <c r="L26" s="22">
        <v>24</v>
      </c>
      <c r="M26" s="204">
        <v>45</v>
      </c>
      <c r="N26" s="204" t="s">
        <v>3602</v>
      </c>
      <c r="O26" s="204" t="s">
        <v>3605</v>
      </c>
    </row>
    <row r="27" spans="1:24">
      <c r="A27" s="9">
        <v>25</v>
      </c>
      <c r="B27" s="205" t="s">
        <v>697</v>
      </c>
      <c r="C27" s="205" t="s">
        <v>705</v>
      </c>
      <c r="D27" s="205" t="s">
        <v>3621</v>
      </c>
      <c r="E27" s="205" t="s">
        <v>3621</v>
      </c>
      <c r="F27" s="205" t="s">
        <v>704</v>
      </c>
      <c r="G27" s="9" t="s">
        <v>9</v>
      </c>
      <c r="H27" s="1">
        <v>25</v>
      </c>
      <c r="I27" s="207" t="s">
        <v>701</v>
      </c>
      <c r="J27" s="207" t="s">
        <v>701</v>
      </c>
      <c r="K27" s="207">
        <v>-6</v>
      </c>
      <c r="L27" s="23">
        <v>25</v>
      </c>
      <c r="M27" s="203">
        <v>50</v>
      </c>
      <c r="N27" s="203" t="s">
        <v>3602</v>
      </c>
      <c r="O27" s="203" t="s">
        <v>3599</v>
      </c>
    </row>
    <row r="28" spans="1:24">
      <c r="A28" s="412" t="s">
        <v>171</v>
      </c>
      <c r="B28" s="412"/>
      <c r="C28" s="412"/>
      <c r="D28" s="412"/>
      <c r="E28" s="412"/>
      <c r="F28" s="412"/>
      <c r="G28" s="412"/>
      <c r="H28" s="412"/>
      <c r="I28" s="412"/>
      <c r="J28" s="412"/>
      <c r="K28" s="412"/>
      <c r="L28" s="412"/>
      <c r="M28" s="412"/>
      <c r="N28" s="409" t="s">
        <v>176</v>
      </c>
      <c r="O28" s="409"/>
      <c r="P28" s="409"/>
      <c r="Q28" s="409"/>
      <c r="R28" s="409"/>
      <c r="S28" s="409"/>
      <c r="T28" s="412" t="s">
        <v>177</v>
      </c>
      <c r="U28" s="412"/>
      <c r="V28" s="412"/>
      <c r="W28" s="412"/>
      <c r="X28" s="412"/>
    </row>
    <row r="29" spans="1:24">
      <c r="A29" s="20" t="s">
        <v>151</v>
      </c>
      <c r="B29" s="20" t="s">
        <v>24</v>
      </c>
      <c r="C29" s="20" t="s">
        <v>25</v>
      </c>
      <c r="D29" s="20" t="s">
        <v>26</v>
      </c>
      <c r="E29" s="20" t="s">
        <v>27</v>
      </c>
      <c r="F29" s="20" t="s">
        <v>149</v>
      </c>
      <c r="G29" s="20" t="s">
        <v>30</v>
      </c>
      <c r="H29" s="20" t="s">
        <v>28</v>
      </c>
      <c r="I29" s="20" t="s">
        <v>172</v>
      </c>
      <c r="J29" s="72" t="s">
        <v>696</v>
      </c>
      <c r="K29" s="72" t="s">
        <v>697</v>
      </c>
      <c r="L29" s="72" t="s">
        <v>725</v>
      </c>
      <c r="M29" s="72" t="s">
        <v>726</v>
      </c>
    </row>
    <row r="30" spans="1:24">
      <c r="A30" s="69" t="str">
        <f>"1"</f>
        <v>1</v>
      </c>
      <c r="B30" s="207">
        <v>-5</v>
      </c>
      <c r="C30" s="207">
        <v>-4</v>
      </c>
      <c r="D30" s="1" t="str">
        <f>IF(Syst_Mesure="Métrique","0,5kg","1lbs")</f>
        <v>0,5kg</v>
      </c>
      <c r="E30" s="1" t="str">
        <f>IF(Syst_Mesure="Métrique","1,5kg","3lbs")</f>
        <v>1,5kg</v>
      </c>
      <c r="F30" s="1">
        <v>1</v>
      </c>
      <c r="G30" s="1">
        <v>0</v>
      </c>
      <c r="H30" s="209">
        <v>0</v>
      </c>
      <c r="I30" s="1" t="s">
        <v>0</v>
      </c>
      <c r="J30" s="1">
        <v>2</v>
      </c>
      <c r="K30" s="1">
        <v>3</v>
      </c>
      <c r="L30" s="1">
        <v>1</v>
      </c>
      <c r="M30" s="1">
        <v>1</v>
      </c>
      <c r="N30" s="9">
        <v>1</v>
      </c>
      <c r="O30" s="9">
        <v>0</v>
      </c>
      <c r="P30" s="9">
        <v>0</v>
      </c>
      <c r="Q30" s="205">
        <v>0</v>
      </c>
      <c r="R30" s="9">
        <v>0</v>
      </c>
      <c r="S30" s="9" t="s">
        <v>0</v>
      </c>
      <c r="T30" s="1">
        <v>1</v>
      </c>
      <c r="U30" s="1" t="str">
        <f>"-6"</f>
        <v>-6</v>
      </c>
      <c r="V30" s="1">
        <v>0</v>
      </c>
      <c r="W30" s="1">
        <v>80</v>
      </c>
      <c r="X30" s="1" t="s">
        <v>0</v>
      </c>
    </row>
    <row r="31" spans="1:24">
      <c r="A31" s="70" t="str">
        <f>"2"</f>
        <v>2</v>
      </c>
      <c r="B31" s="208">
        <v>-3</v>
      </c>
      <c r="C31" s="208">
        <v>-2</v>
      </c>
      <c r="D31" s="10" t="str">
        <f>IF(Syst_Mesure="Métrique","0,5kg","1lbs")</f>
        <v>0,5kg</v>
      </c>
      <c r="E31" s="10" t="str">
        <f>IF(Syst_Mesure="Métrique","2,5kg","5lbs")</f>
        <v>2,5kg</v>
      </c>
      <c r="F31" s="10">
        <v>1</v>
      </c>
      <c r="G31" s="10">
        <v>0</v>
      </c>
      <c r="H31" s="106">
        <v>0</v>
      </c>
      <c r="I31" s="10" t="s">
        <v>0</v>
      </c>
      <c r="J31" s="10">
        <v>3</v>
      </c>
      <c r="K31" s="10">
        <v>4</v>
      </c>
      <c r="L31" s="10">
        <v>1</v>
      </c>
      <c r="M31" s="10">
        <v>1</v>
      </c>
      <c r="N31" s="8">
        <v>2</v>
      </c>
      <c r="O31" s="8">
        <v>1</v>
      </c>
      <c r="P31" s="8">
        <v>0</v>
      </c>
      <c r="Q31" s="206">
        <v>0</v>
      </c>
      <c r="R31" s="8">
        <v>0</v>
      </c>
      <c r="S31" s="8" t="s">
        <v>0</v>
      </c>
      <c r="T31" s="10">
        <v>2</v>
      </c>
      <c r="U31" s="10" t="str">
        <f>"-4"</f>
        <v>-4</v>
      </c>
      <c r="V31" s="10">
        <v>0</v>
      </c>
      <c r="W31" s="10">
        <v>60</v>
      </c>
      <c r="X31" s="10" t="s">
        <v>0</v>
      </c>
    </row>
    <row r="32" spans="1:24">
      <c r="A32" s="69" t="str">
        <f>"3"</f>
        <v>3</v>
      </c>
      <c r="B32" s="207">
        <v>-3</v>
      </c>
      <c r="C32" s="207">
        <v>-1</v>
      </c>
      <c r="D32" s="1" t="str">
        <f>IF(Syst_Mesure="Métrique","2,0kg","4lbs")</f>
        <v>2,0kg</v>
      </c>
      <c r="E32" s="1" t="str">
        <f>IF(Syst_Mesure="Métrique","5,0kg","10lbs")</f>
        <v>5,0kg</v>
      </c>
      <c r="F32" s="1">
        <v>2</v>
      </c>
      <c r="G32" s="1">
        <v>0</v>
      </c>
      <c r="H32" s="209">
        <v>0</v>
      </c>
      <c r="I32" s="1" t="s">
        <v>0</v>
      </c>
      <c r="J32" s="13">
        <v>4</v>
      </c>
      <c r="K32" s="1">
        <v>5</v>
      </c>
      <c r="L32" s="1">
        <v>2</v>
      </c>
      <c r="M32" s="1">
        <v>1</v>
      </c>
      <c r="N32" s="9">
        <v>3</v>
      </c>
      <c r="O32" s="9">
        <v>1</v>
      </c>
      <c r="P32" s="9">
        <v>0</v>
      </c>
      <c r="Q32" s="205">
        <v>0</v>
      </c>
      <c r="R32" s="9">
        <v>0</v>
      </c>
      <c r="S32" s="9" t="s">
        <v>0</v>
      </c>
      <c r="T32" s="1">
        <v>3</v>
      </c>
      <c r="U32" s="1" t="str">
        <f>"-3"</f>
        <v>-3</v>
      </c>
      <c r="V32" s="1">
        <v>0</v>
      </c>
      <c r="W32" s="1">
        <v>50</v>
      </c>
      <c r="X32" s="1" t="s">
        <v>0</v>
      </c>
    </row>
    <row r="33" spans="1:25">
      <c r="A33" s="70" t="str">
        <f>"4"</f>
        <v>4</v>
      </c>
      <c r="B33" s="208">
        <v>-2</v>
      </c>
      <c r="C33" s="208">
        <v>-1</v>
      </c>
      <c r="D33" s="10" t="str">
        <f>IF(Syst_Mesure="Métrique","5,0kg","10lbs")</f>
        <v>5,0kg</v>
      </c>
      <c r="E33" s="10" t="str">
        <f>IF(Syst_Mesure="Métrique","12,5kg","25lbs")</f>
        <v>12,5kg</v>
      </c>
      <c r="F33" s="10">
        <v>3</v>
      </c>
      <c r="G33" s="10">
        <v>0</v>
      </c>
      <c r="H33" s="106">
        <v>0</v>
      </c>
      <c r="I33" s="10" t="s">
        <v>0</v>
      </c>
      <c r="J33" s="71">
        <v>5</v>
      </c>
      <c r="K33" s="10">
        <v>6</v>
      </c>
      <c r="L33" s="10">
        <v>3</v>
      </c>
      <c r="M33" s="10">
        <v>2</v>
      </c>
      <c r="N33" s="8">
        <v>4</v>
      </c>
      <c r="O33" s="8">
        <v>1</v>
      </c>
      <c r="P33" s="8">
        <v>0</v>
      </c>
      <c r="Q33" s="206">
        <v>0</v>
      </c>
      <c r="R33" s="8">
        <v>0</v>
      </c>
      <c r="S33" s="8" t="s">
        <v>0</v>
      </c>
      <c r="T33" s="10">
        <v>4</v>
      </c>
      <c r="U33" s="10" t="str">
        <f>"-2"</f>
        <v>-2</v>
      </c>
      <c r="V33" s="10">
        <v>0</v>
      </c>
      <c r="W33" s="10">
        <v>45</v>
      </c>
      <c r="X33" s="10" t="s">
        <v>0</v>
      </c>
    </row>
    <row r="34" spans="1:25">
      <c r="A34" s="69" t="str">
        <f>"5"</f>
        <v>5</v>
      </c>
      <c r="B34" s="207">
        <v>-2</v>
      </c>
      <c r="C34" s="207">
        <v>-1</v>
      </c>
      <c r="D34" s="1" t="str">
        <f>IF(Syst_Mesure="Métrique","5,0kg","10lbs")</f>
        <v>5,0kg</v>
      </c>
      <c r="E34" s="1" t="str">
        <f>IF(Syst_Mesure="Métrique","12,5kg","25lbs")</f>
        <v>12,5kg</v>
      </c>
      <c r="F34" s="1">
        <v>3</v>
      </c>
      <c r="G34" s="1">
        <v>0</v>
      </c>
      <c r="H34" s="209">
        <v>0</v>
      </c>
      <c r="I34" s="1" t="s">
        <v>0</v>
      </c>
      <c r="J34" s="13">
        <v>6</v>
      </c>
      <c r="K34" s="1">
        <v>7</v>
      </c>
      <c r="L34" s="1">
        <v>4</v>
      </c>
      <c r="M34" s="1">
        <v>3</v>
      </c>
      <c r="N34" s="9">
        <v>5</v>
      </c>
      <c r="O34" s="9">
        <v>1</v>
      </c>
      <c r="P34" s="9">
        <v>0</v>
      </c>
      <c r="Q34" s="205">
        <v>0</v>
      </c>
      <c r="R34" s="9">
        <v>0</v>
      </c>
      <c r="S34" s="9" t="s">
        <v>0</v>
      </c>
      <c r="T34" s="1">
        <v>5</v>
      </c>
      <c r="U34" s="1" t="str">
        <f>"-1"</f>
        <v>-1</v>
      </c>
      <c r="V34" s="1">
        <v>0</v>
      </c>
      <c r="W34" s="1">
        <v>40</v>
      </c>
      <c r="X34" s="1" t="s">
        <v>0</v>
      </c>
    </row>
    <row r="35" spans="1:25">
      <c r="A35" s="70" t="str">
        <f>"6"</f>
        <v>6</v>
      </c>
      <c r="B35" s="208">
        <v>-1</v>
      </c>
      <c r="C35" s="208">
        <v>0</v>
      </c>
      <c r="D35" s="10" t="str">
        <f>IF(Syst_Mesure="Métrique","10,0kg","20lbs")</f>
        <v>10,0kg</v>
      </c>
      <c r="E35" s="10" t="str">
        <f>IF(Syst_Mesure="Métrique","27,5kg","55lbs")</f>
        <v>27,5kg</v>
      </c>
      <c r="F35" s="10">
        <v>4</v>
      </c>
      <c r="G35" s="10">
        <v>0</v>
      </c>
      <c r="H35" s="106">
        <v>0</v>
      </c>
      <c r="I35" s="10" t="s">
        <v>0</v>
      </c>
      <c r="J35" s="71">
        <v>7</v>
      </c>
      <c r="K35" s="10">
        <v>8</v>
      </c>
      <c r="L35" s="10">
        <v>5</v>
      </c>
      <c r="M35" s="10">
        <v>4</v>
      </c>
      <c r="N35" s="8">
        <v>6</v>
      </c>
      <c r="O35" s="8">
        <v>1</v>
      </c>
      <c r="P35" s="8">
        <v>0</v>
      </c>
      <c r="Q35" s="206">
        <v>0</v>
      </c>
      <c r="R35" s="8">
        <v>0</v>
      </c>
      <c r="S35" s="8" t="s">
        <v>0</v>
      </c>
      <c r="T35" s="10">
        <v>6</v>
      </c>
      <c r="U35" s="10" t="str">
        <f>"-1"</f>
        <v>-1</v>
      </c>
      <c r="V35" s="10">
        <v>0</v>
      </c>
      <c r="W35" s="10">
        <v>35</v>
      </c>
      <c r="X35" s="10" t="s">
        <v>0</v>
      </c>
    </row>
    <row r="36" spans="1:25">
      <c r="A36" s="69" t="str">
        <f>"7"</f>
        <v>7</v>
      </c>
      <c r="B36" s="207">
        <v>-1</v>
      </c>
      <c r="C36" s="207">
        <v>0</v>
      </c>
      <c r="D36" s="1" t="str">
        <f>IF(Syst_Mesure="Métrique","10,0kg","20lbs")</f>
        <v>10,0kg</v>
      </c>
      <c r="E36" s="1" t="str">
        <f>IF(Syst_Mesure="Métrique","27,5kg","55lbs")</f>
        <v>27,5kg</v>
      </c>
      <c r="F36" s="1">
        <v>4</v>
      </c>
      <c r="G36" s="1">
        <v>0</v>
      </c>
      <c r="H36" s="209">
        <v>0</v>
      </c>
      <c r="I36" s="1" t="s">
        <v>0</v>
      </c>
      <c r="J36" s="13">
        <v>8</v>
      </c>
      <c r="K36" s="1">
        <v>9</v>
      </c>
      <c r="L36" s="1">
        <v>6</v>
      </c>
      <c r="M36" s="1">
        <v>5</v>
      </c>
      <c r="N36" s="9">
        <v>7</v>
      </c>
      <c r="O36" s="9">
        <v>1</v>
      </c>
      <c r="P36" s="9">
        <v>0</v>
      </c>
      <c r="Q36" s="205">
        <v>0</v>
      </c>
      <c r="R36" s="9">
        <v>0</v>
      </c>
      <c r="S36" s="9" t="s">
        <v>0</v>
      </c>
      <c r="T36" s="1">
        <v>7</v>
      </c>
      <c r="U36" s="1" t="str">
        <f>"-1"</f>
        <v>-1</v>
      </c>
      <c r="V36" s="1">
        <v>0</v>
      </c>
      <c r="W36" s="1">
        <v>30</v>
      </c>
      <c r="X36" s="1" t="s">
        <v>0</v>
      </c>
    </row>
    <row r="37" spans="1:25">
      <c r="A37" s="70" t="str">
        <f>"8"</f>
        <v>8</v>
      </c>
      <c r="B37" s="208">
        <v>0</v>
      </c>
      <c r="C37" s="208">
        <v>0</v>
      </c>
      <c r="D37" s="10" t="str">
        <f>IF(Syst_Mesure="Métrique","17,5kg","35lbs")</f>
        <v>17,5kg</v>
      </c>
      <c r="E37" s="10" t="str">
        <f>IF(Syst_Mesure="Métrique","45,0kg","90lbs")</f>
        <v>45,0kg</v>
      </c>
      <c r="F37" s="10">
        <v>5</v>
      </c>
      <c r="G37" s="10">
        <v>0</v>
      </c>
      <c r="H37" s="106">
        <v>0.01</v>
      </c>
      <c r="I37" s="10" t="s">
        <v>0</v>
      </c>
      <c r="J37" s="71">
        <v>9</v>
      </c>
      <c r="K37" s="10">
        <v>10</v>
      </c>
      <c r="L37" s="10">
        <v>7</v>
      </c>
      <c r="M37" s="10">
        <v>6</v>
      </c>
      <c r="N37" s="8">
        <v>8</v>
      </c>
      <c r="O37" s="8">
        <v>1</v>
      </c>
      <c r="P37" s="8">
        <v>0</v>
      </c>
      <c r="Q37" s="206">
        <v>0</v>
      </c>
      <c r="R37" s="8">
        <v>0</v>
      </c>
      <c r="S37" s="8" t="s">
        <v>0</v>
      </c>
      <c r="T37" s="10">
        <v>8</v>
      </c>
      <c r="U37" s="10" t="str">
        <f t="shared" ref="U37:U43" si="0">"0"</f>
        <v>0</v>
      </c>
      <c r="V37" s="10">
        <v>0</v>
      </c>
      <c r="W37" s="10">
        <v>25</v>
      </c>
      <c r="X37" s="10" t="s">
        <v>0</v>
      </c>
    </row>
    <row r="38" spans="1:25">
      <c r="A38" s="69" t="str">
        <f>"9"</f>
        <v>9</v>
      </c>
      <c r="B38" s="207">
        <v>0</v>
      </c>
      <c r="C38" s="207">
        <v>0</v>
      </c>
      <c r="D38" s="1" t="str">
        <f>IF(Syst_Mesure="Métrique","17,5kg","35lbs")</f>
        <v>17,5kg</v>
      </c>
      <c r="E38" s="1" t="str">
        <f>IF(Syst_Mesure="Métrique","45,0kg","90lbs")</f>
        <v>45,0kg</v>
      </c>
      <c r="F38" s="1">
        <v>5</v>
      </c>
      <c r="G38" s="1">
        <v>0</v>
      </c>
      <c r="H38" s="209">
        <v>0.01</v>
      </c>
      <c r="I38" s="1" t="s">
        <v>0</v>
      </c>
      <c r="J38" s="13">
        <v>10</v>
      </c>
      <c r="K38" s="1">
        <v>11</v>
      </c>
      <c r="L38" s="1">
        <v>8</v>
      </c>
      <c r="M38" s="1">
        <v>7</v>
      </c>
      <c r="N38" s="9">
        <v>9</v>
      </c>
      <c r="O38" s="9">
        <v>2</v>
      </c>
      <c r="P38" s="9">
        <v>4</v>
      </c>
      <c r="Q38" s="205" t="s">
        <v>3606</v>
      </c>
      <c r="R38" s="9">
        <v>6</v>
      </c>
      <c r="S38" s="9" t="s">
        <v>0</v>
      </c>
      <c r="T38" s="1">
        <v>9</v>
      </c>
      <c r="U38" s="1" t="str">
        <f t="shared" si="0"/>
        <v>0</v>
      </c>
      <c r="V38" s="1">
        <v>0</v>
      </c>
      <c r="W38" s="1">
        <v>12</v>
      </c>
      <c r="X38" s="1" t="s">
        <v>0</v>
      </c>
    </row>
    <row r="39" spans="1:25">
      <c r="A39" s="70" t="str">
        <f>"10"</f>
        <v>10</v>
      </c>
      <c r="B39" s="208">
        <v>0</v>
      </c>
      <c r="C39" s="208">
        <v>0</v>
      </c>
      <c r="D39" s="10" t="str">
        <f>IF(Syst_Mesure="Métrique","20,0kg","40lbs")</f>
        <v>20,0kg</v>
      </c>
      <c r="E39" s="10" t="str">
        <f>IF(Syst_Mesure="Métrique","57,5kg","115lbs")</f>
        <v>57,5kg</v>
      </c>
      <c r="F39" s="10">
        <v>6</v>
      </c>
      <c r="G39" s="10">
        <v>0</v>
      </c>
      <c r="H39" s="106">
        <v>0.02</v>
      </c>
      <c r="I39" s="10" t="s">
        <v>0</v>
      </c>
      <c r="J39" s="71">
        <v>11</v>
      </c>
      <c r="K39" s="10">
        <v>12</v>
      </c>
      <c r="L39" s="10">
        <v>9</v>
      </c>
      <c r="M39" s="10">
        <v>8</v>
      </c>
      <c r="N39" s="8">
        <v>10</v>
      </c>
      <c r="O39" s="8">
        <v>2</v>
      </c>
      <c r="P39" s="8">
        <v>5</v>
      </c>
      <c r="Q39" s="206" t="s">
        <v>3607</v>
      </c>
      <c r="R39" s="8">
        <v>7</v>
      </c>
      <c r="S39" s="8" t="s">
        <v>0</v>
      </c>
      <c r="T39" s="10">
        <v>10</v>
      </c>
      <c r="U39" s="10" t="str">
        <f t="shared" si="0"/>
        <v>0</v>
      </c>
      <c r="V39" s="10">
        <v>0</v>
      </c>
      <c r="W39" s="10">
        <v>10</v>
      </c>
      <c r="X39" s="10" t="s">
        <v>0</v>
      </c>
    </row>
    <row r="40" spans="1:25">
      <c r="A40" s="69" t="str">
        <f>"11"</f>
        <v>11</v>
      </c>
      <c r="B40" s="207">
        <v>0</v>
      </c>
      <c r="C40" s="207">
        <v>0</v>
      </c>
      <c r="D40" s="1" t="str">
        <f>IF(Syst_Mesure="Métrique","20,0kg","40lbs")</f>
        <v>20,0kg</v>
      </c>
      <c r="E40" s="1" t="str">
        <f>IF(Syst_Mesure="Métrique","57,5kg","115lbs")</f>
        <v>57,5kg</v>
      </c>
      <c r="F40" s="1">
        <v>6</v>
      </c>
      <c r="G40" s="1">
        <v>0</v>
      </c>
      <c r="H40" s="209">
        <v>0.02</v>
      </c>
      <c r="I40" s="1" t="s">
        <v>0</v>
      </c>
      <c r="J40" s="13">
        <v>12</v>
      </c>
      <c r="K40" s="1">
        <v>13</v>
      </c>
      <c r="L40" s="1">
        <v>10</v>
      </c>
      <c r="M40" s="1">
        <v>9</v>
      </c>
      <c r="N40" s="9">
        <v>11</v>
      </c>
      <c r="O40" s="9">
        <v>2</v>
      </c>
      <c r="P40" s="9">
        <v>5</v>
      </c>
      <c r="Q40" s="205" t="s">
        <v>3608</v>
      </c>
      <c r="R40" s="9">
        <v>7</v>
      </c>
      <c r="S40" s="9" t="s">
        <v>0</v>
      </c>
      <c r="T40" s="1">
        <v>11</v>
      </c>
      <c r="U40" s="1" t="str">
        <f t="shared" si="0"/>
        <v>0</v>
      </c>
      <c r="V40" s="1">
        <v>0</v>
      </c>
      <c r="W40" s="1">
        <v>5</v>
      </c>
      <c r="X40" s="1" t="s">
        <v>0</v>
      </c>
    </row>
    <row r="41" spans="1:25">
      <c r="A41" s="70" t="str">
        <f>"12"</f>
        <v>12</v>
      </c>
      <c r="B41" s="208">
        <v>0</v>
      </c>
      <c r="C41" s="208">
        <v>0</v>
      </c>
      <c r="D41" s="10" t="str">
        <f>IF(Syst_Mesure="Métrique","22,5kg","45lbs")</f>
        <v>22,5kg</v>
      </c>
      <c r="E41" s="10" t="str">
        <f>IF(Syst_Mesure="Métrique","70,0kg","140lbs")</f>
        <v>70,0kg</v>
      </c>
      <c r="F41" s="10">
        <v>7</v>
      </c>
      <c r="G41" s="10">
        <v>0</v>
      </c>
      <c r="H41" s="106">
        <v>0.04</v>
      </c>
      <c r="I41" s="10" t="s">
        <v>0</v>
      </c>
      <c r="J41" s="71">
        <v>13</v>
      </c>
      <c r="K41" s="10">
        <v>14</v>
      </c>
      <c r="L41" s="10">
        <v>11</v>
      </c>
      <c r="M41" s="10">
        <v>10</v>
      </c>
      <c r="N41" s="8">
        <v>12</v>
      </c>
      <c r="O41" s="8">
        <v>3</v>
      </c>
      <c r="P41" s="8">
        <v>5</v>
      </c>
      <c r="Q41" s="206" t="s">
        <v>3609</v>
      </c>
      <c r="R41" s="8">
        <v>7</v>
      </c>
      <c r="S41" s="8" t="s">
        <v>0</v>
      </c>
      <c r="T41" s="10">
        <v>12</v>
      </c>
      <c r="U41" s="10" t="str">
        <f t="shared" si="0"/>
        <v>0</v>
      </c>
      <c r="V41" s="10">
        <v>0</v>
      </c>
      <c r="W41" s="10">
        <v>0</v>
      </c>
      <c r="X41" s="10" t="s">
        <v>0</v>
      </c>
    </row>
    <row r="42" spans="1:25">
      <c r="A42" s="69" t="str">
        <f>"13"</f>
        <v>13</v>
      </c>
      <c r="B42" s="207">
        <v>0</v>
      </c>
      <c r="C42" s="207">
        <v>0</v>
      </c>
      <c r="D42" s="1" t="str">
        <f>IF(Syst_Mesure="Métrique","22,5kg","45lbs")</f>
        <v>22,5kg</v>
      </c>
      <c r="E42" s="1" t="str">
        <f>IF(Syst_Mesure="Métrique","70,0kg","140lbs")</f>
        <v>70,0kg</v>
      </c>
      <c r="F42" s="1">
        <v>7</v>
      </c>
      <c r="G42" s="1">
        <v>0</v>
      </c>
      <c r="H42" s="209">
        <v>0.04</v>
      </c>
      <c r="I42" s="1" t="s">
        <v>0</v>
      </c>
      <c r="J42" s="13">
        <v>14</v>
      </c>
      <c r="K42" s="1">
        <v>15</v>
      </c>
      <c r="L42" s="1">
        <v>12</v>
      </c>
      <c r="M42" s="1">
        <v>11</v>
      </c>
      <c r="N42" s="9">
        <v>13</v>
      </c>
      <c r="O42" s="9">
        <v>3</v>
      </c>
      <c r="P42" s="9">
        <v>6</v>
      </c>
      <c r="Q42" s="205" t="s">
        <v>3610</v>
      </c>
      <c r="R42" s="9">
        <v>9</v>
      </c>
      <c r="S42" s="9" t="s">
        <v>0</v>
      </c>
      <c r="T42" s="1">
        <v>13</v>
      </c>
      <c r="U42" s="1" t="str">
        <f t="shared" si="0"/>
        <v>0</v>
      </c>
      <c r="V42" s="1" t="s">
        <v>3890</v>
      </c>
      <c r="W42" s="1">
        <v>0</v>
      </c>
      <c r="X42" s="1" t="s">
        <v>0</v>
      </c>
    </row>
    <row r="43" spans="1:25">
      <c r="A43" s="70" t="str">
        <f>"14"</f>
        <v>14</v>
      </c>
      <c r="B43" s="208">
        <v>0</v>
      </c>
      <c r="C43" s="208">
        <v>0</v>
      </c>
      <c r="D43" s="10" t="str">
        <f>IF(Syst_Mesure="Métrique","27,5kg","55lbs")</f>
        <v>27,5kg</v>
      </c>
      <c r="E43" s="10" t="str">
        <f>IF(Syst_Mesure="Métrique","85,0kg","170lbs")</f>
        <v>85,0kg</v>
      </c>
      <c r="F43" s="10">
        <v>8</v>
      </c>
      <c r="G43" s="10">
        <v>0</v>
      </c>
      <c r="H43" s="106">
        <v>7.0000000000000007E-2</v>
      </c>
      <c r="I43" s="10" t="s">
        <v>0</v>
      </c>
      <c r="J43" s="71">
        <v>15</v>
      </c>
      <c r="K43" s="10">
        <v>16</v>
      </c>
      <c r="L43" s="10">
        <v>13</v>
      </c>
      <c r="M43" s="10">
        <v>12</v>
      </c>
      <c r="N43" s="8">
        <v>14</v>
      </c>
      <c r="O43" s="8">
        <v>4</v>
      </c>
      <c r="P43" s="8">
        <v>6</v>
      </c>
      <c r="Q43" s="206" t="s">
        <v>3611</v>
      </c>
      <c r="R43" s="8">
        <v>9</v>
      </c>
      <c r="S43" s="8" t="s">
        <v>0</v>
      </c>
      <c r="T43" s="10">
        <v>14</v>
      </c>
      <c r="U43" s="10" t="str">
        <f t="shared" si="0"/>
        <v>0</v>
      </c>
      <c r="V43" s="10" t="s">
        <v>3891</v>
      </c>
      <c r="W43" s="10">
        <v>0</v>
      </c>
      <c r="X43" s="10" t="s">
        <v>0</v>
      </c>
    </row>
    <row r="44" spans="1:25">
      <c r="A44" s="69" t="str">
        <f>"15"</f>
        <v>15</v>
      </c>
      <c r="B44" s="207">
        <v>0</v>
      </c>
      <c r="C44" s="207">
        <v>0</v>
      </c>
      <c r="D44" s="1" t="str">
        <f>IF(Syst_Mesure="Métrique","27,5kg","55lbs")</f>
        <v>27,5kg</v>
      </c>
      <c r="E44" s="1" t="str">
        <f>IF(Syst_Mesure="Métrique","85,0kg","170lbs")</f>
        <v>85,0kg</v>
      </c>
      <c r="F44" s="1">
        <v>8</v>
      </c>
      <c r="G44" s="1">
        <v>0</v>
      </c>
      <c r="H44" s="209">
        <v>7.0000000000000007E-2</v>
      </c>
      <c r="I44" s="1" t="s">
        <v>0</v>
      </c>
      <c r="J44" s="13">
        <v>16</v>
      </c>
      <c r="K44" s="1">
        <v>17</v>
      </c>
      <c r="L44" s="1">
        <v>14</v>
      </c>
      <c r="M44" s="1">
        <v>13</v>
      </c>
      <c r="N44" s="9">
        <v>15</v>
      </c>
      <c r="O44" s="9">
        <v>4</v>
      </c>
      <c r="P44" s="9">
        <v>7</v>
      </c>
      <c r="Q44" s="205" t="s">
        <v>3612</v>
      </c>
      <c r="R44" s="9">
        <v>11</v>
      </c>
      <c r="S44" s="9" t="s">
        <v>0</v>
      </c>
      <c r="T44" s="1">
        <v>15</v>
      </c>
      <c r="U44" s="1" t="str">
        <f>"+1"</f>
        <v>+1</v>
      </c>
      <c r="V44" s="1" t="s">
        <v>3892</v>
      </c>
      <c r="W44" s="1">
        <v>0</v>
      </c>
      <c r="X44" s="1" t="s">
        <v>0</v>
      </c>
    </row>
    <row r="45" spans="1:25">
      <c r="A45" s="70" t="str">
        <f>"16"</f>
        <v>16</v>
      </c>
      <c r="B45" s="208">
        <v>0</v>
      </c>
      <c r="C45" s="208" t="s">
        <v>696</v>
      </c>
      <c r="D45" s="10" t="str">
        <f>IF(Syst_Mesure="Métrique","35,0kg","70lbs")</f>
        <v>35,0kg</v>
      </c>
      <c r="E45" s="10" t="str">
        <f>IF(Syst_Mesure="Métrique","97,5kg","195lbs")</f>
        <v>97,5kg</v>
      </c>
      <c r="F45" s="10">
        <v>9</v>
      </c>
      <c r="G45" s="10">
        <v>0</v>
      </c>
      <c r="H45" s="106">
        <v>0.1</v>
      </c>
      <c r="I45" s="10" t="s">
        <v>0</v>
      </c>
      <c r="J45" s="71">
        <v>17</v>
      </c>
      <c r="K45" s="10">
        <v>18</v>
      </c>
      <c r="L45" s="10">
        <v>15</v>
      </c>
      <c r="M45" s="10">
        <v>14</v>
      </c>
      <c r="N45" s="8">
        <v>16</v>
      </c>
      <c r="O45" s="8">
        <v>5</v>
      </c>
      <c r="P45" s="8">
        <v>7</v>
      </c>
      <c r="Q45" s="206" t="s">
        <v>3613</v>
      </c>
      <c r="R45" s="8">
        <v>11</v>
      </c>
      <c r="S45" s="8" t="s">
        <v>0</v>
      </c>
      <c r="T45" s="10">
        <v>16</v>
      </c>
      <c r="U45" s="10" t="str">
        <f>"+2"</f>
        <v>+2</v>
      </c>
      <c r="V45" s="10" t="s">
        <v>3893</v>
      </c>
      <c r="W45" s="10">
        <v>0</v>
      </c>
      <c r="X45" s="10" t="s">
        <v>0</v>
      </c>
    </row>
    <row r="46" spans="1:25">
      <c r="A46" s="69" t="str">
        <f>"17"</f>
        <v>17</v>
      </c>
      <c r="B46" s="207" t="s">
        <v>696</v>
      </c>
      <c r="C46" s="207" t="s">
        <v>696</v>
      </c>
      <c r="D46" s="1" t="str">
        <f>IF(Syst_Mesure="Métrique","42,5kg","85lbs")</f>
        <v>42,5kg</v>
      </c>
      <c r="E46" s="1" t="str">
        <f>IF(Syst_Mesure="Métrique","110,0kg","220lbs")</f>
        <v>110,0kg</v>
      </c>
      <c r="F46" s="1">
        <v>10</v>
      </c>
      <c r="G46" s="1">
        <v>0</v>
      </c>
      <c r="H46" s="209">
        <v>0.13</v>
      </c>
      <c r="I46" s="1" t="s">
        <v>0</v>
      </c>
      <c r="J46" s="13">
        <v>18</v>
      </c>
      <c r="K46" s="13" t="s">
        <v>720</v>
      </c>
      <c r="L46" s="1">
        <v>16</v>
      </c>
      <c r="M46" s="1">
        <v>15</v>
      </c>
      <c r="N46" s="9">
        <v>17</v>
      </c>
      <c r="O46" s="9">
        <v>6</v>
      </c>
      <c r="P46" s="9">
        <v>8</v>
      </c>
      <c r="Q46" s="205" t="s">
        <v>3614</v>
      </c>
      <c r="R46" s="9">
        <v>14</v>
      </c>
      <c r="S46" s="9" t="s">
        <v>0</v>
      </c>
      <c r="T46" s="1">
        <v>17</v>
      </c>
      <c r="U46" s="1" t="str">
        <f>"+3"</f>
        <v>+3</v>
      </c>
      <c r="V46" s="1" t="s">
        <v>3894</v>
      </c>
      <c r="W46" s="1">
        <v>0</v>
      </c>
      <c r="X46" s="1" t="s">
        <v>0</v>
      </c>
    </row>
    <row r="47" spans="1:25">
      <c r="A47" s="70" t="str">
        <f>"18"</f>
        <v>18</v>
      </c>
      <c r="B47" s="208" t="s">
        <v>696</v>
      </c>
      <c r="C47" s="208" t="s">
        <v>697</v>
      </c>
      <c r="D47" s="10" t="str">
        <f>IF(Syst_Mesure="Métrique","55,0kg","110lbs")</f>
        <v>55,0kg</v>
      </c>
      <c r="E47" s="10" t="str">
        <f>IF(Syst_Mesure="Métrique","127,5kg","255lbs")</f>
        <v>127,5kg</v>
      </c>
      <c r="F47" s="10">
        <v>11</v>
      </c>
      <c r="G47" s="10">
        <v>0</v>
      </c>
      <c r="H47" s="106">
        <v>0.16</v>
      </c>
      <c r="I47" s="10" t="s">
        <v>0</v>
      </c>
      <c r="J47" s="71" t="s">
        <v>720</v>
      </c>
      <c r="K47" s="71" t="s">
        <v>721</v>
      </c>
      <c r="L47" s="10">
        <v>17</v>
      </c>
      <c r="M47" s="10">
        <v>16</v>
      </c>
      <c r="N47" s="8">
        <v>18</v>
      </c>
      <c r="O47" s="8">
        <v>7</v>
      </c>
      <c r="P47" s="8">
        <v>8</v>
      </c>
      <c r="Q47" s="206" t="s">
        <v>3615</v>
      </c>
      <c r="R47" s="8">
        <v>18</v>
      </c>
      <c r="S47" s="8" t="s">
        <v>0</v>
      </c>
      <c r="T47" s="10">
        <v>18</v>
      </c>
      <c r="U47" s="10" t="str">
        <f>"+4"</f>
        <v>+4</v>
      </c>
      <c r="V47" s="10" t="s">
        <v>3895</v>
      </c>
      <c r="W47" s="10">
        <v>0</v>
      </c>
      <c r="X47" s="10" t="s">
        <v>0</v>
      </c>
    </row>
    <row r="48" spans="1:25">
      <c r="A48" s="69" t="s">
        <v>720</v>
      </c>
      <c r="B48" s="207" t="s">
        <v>696</v>
      </c>
      <c r="C48" s="207" t="s">
        <v>700</v>
      </c>
      <c r="D48" s="1" t="str">
        <f>IF(Syst_Mesure="Métrique","67,5kg","135lbs")</f>
        <v>67,5kg</v>
      </c>
      <c r="E48" s="1" t="str">
        <f>IF(Syst_Mesure="Métrique","140,0kg","280lbs")</f>
        <v>140,0kg</v>
      </c>
      <c r="F48" s="1">
        <v>12</v>
      </c>
      <c r="G48" s="1">
        <v>0</v>
      </c>
      <c r="H48" s="209">
        <v>0.2</v>
      </c>
      <c r="I48" s="1"/>
      <c r="J48" s="13" t="s">
        <v>721</v>
      </c>
      <c r="K48" s="13" t="s">
        <v>719</v>
      </c>
      <c r="L48" s="1">
        <v>18</v>
      </c>
      <c r="M48" s="1">
        <v>17</v>
      </c>
      <c r="N48" s="9">
        <v>19</v>
      </c>
      <c r="O48" s="9">
        <v>8</v>
      </c>
      <c r="P48" s="9">
        <v>9</v>
      </c>
      <c r="Q48" s="205" t="s">
        <v>3616</v>
      </c>
      <c r="R48" s="9" t="s">
        <v>15</v>
      </c>
      <c r="S48" s="9" t="s">
        <v>40</v>
      </c>
      <c r="T48" s="1">
        <v>19</v>
      </c>
      <c r="U48" s="1" t="str">
        <f t="shared" ref="U48:U54" si="1">"+4"</f>
        <v>+4</v>
      </c>
      <c r="V48" s="1" t="s">
        <v>3896</v>
      </c>
      <c r="W48" s="1">
        <v>0</v>
      </c>
      <c r="X48" s="1" t="s">
        <v>3903</v>
      </c>
      <c r="Y48" s="37" t="s">
        <v>272</v>
      </c>
    </row>
    <row r="49" spans="1:34">
      <c r="A49" s="70" t="s">
        <v>721</v>
      </c>
      <c r="B49" s="208" t="s">
        <v>697</v>
      </c>
      <c r="C49" s="208" t="s">
        <v>700</v>
      </c>
      <c r="D49" s="10" t="str">
        <f>IF(Syst_Mesure="Métrique","80,0kg","140lbs")</f>
        <v>80,0kg</v>
      </c>
      <c r="E49" s="10" t="str">
        <f>IF(Syst_Mesure="Métrique","152,5kg","305lbs")</f>
        <v>152,5kg</v>
      </c>
      <c r="F49" s="10">
        <v>13</v>
      </c>
      <c r="G49" s="10">
        <v>0</v>
      </c>
      <c r="H49" s="106">
        <v>0.25</v>
      </c>
      <c r="I49" s="10"/>
      <c r="J49" s="71" t="s">
        <v>719</v>
      </c>
      <c r="K49" s="71" t="s">
        <v>722</v>
      </c>
      <c r="L49" s="71" t="s">
        <v>720</v>
      </c>
      <c r="M49" s="10">
        <v>18</v>
      </c>
      <c r="N49" s="8">
        <v>20</v>
      </c>
      <c r="O49" s="8">
        <v>9</v>
      </c>
      <c r="P49" s="8">
        <v>9</v>
      </c>
      <c r="Q49" s="206" t="s">
        <v>3617</v>
      </c>
      <c r="R49" s="8" t="s">
        <v>15</v>
      </c>
      <c r="S49" s="8" t="s">
        <v>41</v>
      </c>
      <c r="T49" s="10">
        <v>20</v>
      </c>
      <c r="U49" s="10" t="str">
        <f t="shared" si="1"/>
        <v>+4</v>
      </c>
      <c r="V49" s="10" t="s">
        <v>3897</v>
      </c>
      <c r="W49" s="10">
        <v>0</v>
      </c>
      <c r="X49" s="10" t="s">
        <v>3903</v>
      </c>
      <c r="Y49" s="38" t="str">
        <f>Y48&amp;"Immobilisation des personne, peur, oublie,"</f>
        <v>Amis, Charme Personne,Effroi, Injonction,Hypnotisme,Immobilisation des personne, peur, oublie,</v>
      </c>
    </row>
    <row r="50" spans="1:34">
      <c r="A50" s="69" t="s">
        <v>719</v>
      </c>
      <c r="B50" s="207" t="s">
        <v>697</v>
      </c>
      <c r="C50" s="207" t="s">
        <v>704</v>
      </c>
      <c r="D50" s="1" t="str">
        <f>IF(Syst_Mesure="Métrique","92,5kg","185lbs")</f>
        <v>92,5kg</v>
      </c>
      <c r="E50" s="1" t="str">
        <f>IF(Syst_Mesure="Métrique","165,0kg","330lbs")</f>
        <v>165,0kg</v>
      </c>
      <c r="F50" s="1">
        <v>14</v>
      </c>
      <c r="G50" s="1">
        <v>0</v>
      </c>
      <c r="H50" s="209">
        <v>0.3</v>
      </c>
      <c r="I50" s="1"/>
      <c r="J50" s="13" t="s">
        <v>722</v>
      </c>
      <c r="K50" s="13" t="s">
        <v>723</v>
      </c>
      <c r="L50" s="13" t="s">
        <v>721</v>
      </c>
      <c r="M50" s="13" t="s">
        <v>720</v>
      </c>
      <c r="N50" s="9">
        <v>21</v>
      </c>
      <c r="O50" s="9">
        <v>10</v>
      </c>
      <c r="P50" s="9">
        <v>9</v>
      </c>
      <c r="Q50" s="205" t="s">
        <v>3618</v>
      </c>
      <c r="R50" s="9" t="s">
        <v>15</v>
      </c>
      <c r="S50" s="9" t="s">
        <v>42</v>
      </c>
      <c r="T50" s="1">
        <v>21</v>
      </c>
      <c r="U50" s="1" t="str">
        <f t="shared" si="1"/>
        <v>+4</v>
      </c>
      <c r="V50" s="1" t="s">
        <v>3898</v>
      </c>
      <c r="W50" s="1">
        <v>0</v>
      </c>
      <c r="X50" s="1" t="s">
        <v>3903</v>
      </c>
      <c r="Y50" s="37" t="str">
        <f>Y49&amp;"Rayon d'affaiblissement, Terreur,"</f>
        <v>Amis, Charme Personne,Effroi, Injonction,Hypnotisme,Immobilisation des personne, peur, oublie,Rayon d'affaiblissement, Terreur,</v>
      </c>
    </row>
    <row r="51" spans="1:34">
      <c r="A51" s="70" t="s">
        <v>722</v>
      </c>
      <c r="B51" s="208" t="s">
        <v>697</v>
      </c>
      <c r="C51" s="208" t="s">
        <v>701</v>
      </c>
      <c r="D51" s="10" t="str">
        <f>IF(Syst_Mesure="Métrique","117,5kg","235lbs")</f>
        <v>117,5kg</v>
      </c>
      <c r="E51" s="10" t="str">
        <f>IF(Syst_Mesure="Métrique","190,0kg","380lbs")</f>
        <v>190,0kg</v>
      </c>
      <c r="F51" s="10">
        <v>15</v>
      </c>
      <c r="G51" s="10">
        <v>3</v>
      </c>
      <c r="H51" s="106">
        <v>0.35</v>
      </c>
      <c r="I51" s="10"/>
      <c r="J51" s="71" t="s">
        <v>723</v>
      </c>
      <c r="K51" s="10">
        <v>19</v>
      </c>
      <c r="L51" s="71" t="s">
        <v>719</v>
      </c>
      <c r="M51" s="71" t="s">
        <v>721</v>
      </c>
      <c r="N51" s="8">
        <v>22</v>
      </c>
      <c r="O51" s="8">
        <v>11</v>
      </c>
      <c r="P51" s="8">
        <v>9</v>
      </c>
      <c r="Q51" s="206" t="s">
        <v>3619</v>
      </c>
      <c r="R51" s="8" t="s">
        <v>15</v>
      </c>
      <c r="S51" s="8" t="s">
        <v>43</v>
      </c>
      <c r="T51" s="10">
        <v>22</v>
      </c>
      <c r="U51" s="10" t="str">
        <f t="shared" si="1"/>
        <v>+4</v>
      </c>
      <c r="V51" s="10" t="s">
        <v>3899</v>
      </c>
      <c r="W51" s="10">
        <v>0</v>
      </c>
      <c r="X51" s="10" t="s">
        <v>3903</v>
      </c>
      <c r="Y51" s="38" t="str">
        <f>Y50&amp;"Charme-Monstre, Confusion, Émotion, Maladresse, Suggestion,"</f>
        <v>Amis, Charme Personne,Effroi, Injonction,Hypnotisme,Immobilisation des personne, peur, oublie,Rayon d'affaiblissement, Terreur,Charme-Monstre, Confusion, Émotion, Maladresse, Suggestion,</v>
      </c>
    </row>
    <row r="52" spans="1:34">
      <c r="A52" s="69" t="s">
        <v>723</v>
      </c>
      <c r="B52" s="207" t="s">
        <v>700</v>
      </c>
      <c r="C52" s="207" t="s">
        <v>706</v>
      </c>
      <c r="D52" s="1" t="str">
        <f>IF(Syst_Mesure="Métrique","167,5kg","335lbs")</f>
        <v>167,5kg</v>
      </c>
      <c r="E52" s="1" t="str">
        <f>IF(Syst_Mesure="Métrique","240,0kg","480lbs")</f>
        <v>240,0kg</v>
      </c>
      <c r="F52" s="1">
        <v>16</v>
      </c>
      <c r="G52" s="1">
        <v>6</v>
      </c>
      <c r="H52" s="209">
        <v>0.4</v>
      </c>
      <c r="I52" s="1"/>
      <c r="J52" s="13">
        <v>19</v>
      </c>
      <c r="K52" s="1">
        <v>20</v>
      </c>
      <c r="L52" s="13" t="s">
        <v>722</v>
      </c>
      <c r="M52" s="13" t="s">
        <v>719</v>
      </c>
      <c r="N52" s="9">
        <v>23</v>
      </c>
      <c r="O52" s="9">
        <v>12</v>
      </c>
      <c r="P52" s="9">
        <v>9</v>
      </c>
      <c r="Q52" s="205" t="s">
        <v>3620</v>
      </c>
      <c r="R52" s="9" t="s">
        <v>15</v>
      </c>
      <c r="S52" s="9" t="s">
        <v>44</v>
      </c>
      <c r="T52" s="1">
        <v>23</v>
      </c>
      <c r="U52" s="1" t="str">
        <f t="shared" si="1"/>
        <v>+4</v>
      </c>
      <c r="V52" s="1" t="s">
        <v>3900</v>
      </c>
      <c r="W52" s="1">
        <v>0</v>
      </c>
      <c r="X52" s="1" t="s">
        <v>3903</v>
      </c>
      <c r="Y52" s="37" t="str">
        <f>Y51&amp;"Chaos, Débilité Mentale, Immobilisation des Monstres, Quête Religieuse, Réceptacle Magique,"</f>
        <v>Amis, Charme Personne,Effroi, Injonction,Hypnotisme,Immobilisation des personne, peur, oublie,Rayon d'affaiblissement, Terreur,Charme-Monstre, Confusion, Émotion, Maladresse, Suggestion,Chaos, Débilité Mentale, Immobilisation des Monstres, Quête Religieuse, Réceptacle Magique,</v>
      </c>
    </row>
    <row r="53" spans="1:34">
      <c r="A53" s="70" t="str">
        <f>"19"</f>
        <v>19</v>
      </c>
      <c r="B53" s="208" t="s">
        <v>700</v>
      </c>
      <c r="C53" s="208" t="s">
        <v>705</v>
      </c>
      <c r="D53" s="10" t="str">
        <f>IF(Syst_Mesure="Métrique","242,5kg","485lbs")</f>
        <v>242,5kg</v>
      </c>
      <c r="E53" s="10" t="str">
        <f>IF(Syst_Mesure="Métrique","320,0kg","640lbs")</f>
        <v>320,0kg</v>
      </c>
      <c r="F53" s="10">
        <v>16</v>
      </c>
      <c r="G53" s="10">
        <v>8</v>
      </c>
      <c r="H53" s="106">
        <v>0.5</v>
      </c>
      <c r="I53" s="10" t="s">
        <v>1</v>
      </c>
      <c r="J53" s="71">
        <v>20</v>
      </c>
      <c r="K53" s="10">
        <v>21</v>
      </c>
      <c r="L53" s="71" t="s">
        <v>723</v>
      </c>
      <c r="M53" s="71" t="s">
        <v>722</v>
      </c>
      <c r="N53" s="8">
        <v>24</v>
      </c>
      <c r="O53" s="8">
        <v>15</v>
      </c>
      <c r="P53" s="8">
        <v>9</v>
      </c>
      <c r="Q53" s="206" t="s">
        <v>3621</v>
      </c>
      <c r="R53" s="8" t="s">
        <v>15</v>
      </c>
      <c r="S53" s="8" t="s">
        <v>45</v>
      </c>
      <c r="T53" s="10">
        <v>24</v>
      </c>
      <c r="U53" s="10" t="str">
        <f t="shared" si="1"/>
        <v>+4</v>
      </c>
      <c r="V53" s="10" t="s">
        <v>3901</v>
      </c>
      <c r="W53" s="10">
        <v>0</v>
      </c>
      <c r="X53" s="10" t="s">
        <v>3903</v>
      </c>
      <c r="Y53" s="38" t="str">
        <f>Y52&amp;"Bâtonnet de suzeraineté, Quête Magique, Suggestion de Masse,"</f>
        <v>Amis, Charme Personne,Effroi, Injonction,Hypnotisme,Immobilisation des personne, peur, oublie,Rayon d'affaiblissement, Terreur,Charme-Monstre, Confusion, Émotion, Maladresse, Suggestion,Chaos, Débilité Mentale, Immobilisation des Monstres, Quête Religieuse, Réceptacle Magique,Bâtonnet de suzeraineté, Quête Magique, Suggestion de Masse,</v>
      </c>
    </row>
    <row r="54" spans="1:34">
      <c r="A54" s="69" t="str">
        <f>"20"</f>
        <v>20</v>
      </c>
      <c r="B54" s="207" t="s">
        <v>700</v>
      </c>
      <c r="C54" s="207" t="s">
        <v>3596</v>
      </c>
      <c r="D54" s="1" t="str">
        <f>IF(Syst_Mesure="Métrique","267,5kg","535lbs")</f>
        <v>267,5kg</v>
      </c>
      <c r="E54" s="1" t="str">
        <f>IF(Syst_Mesure="Métrique","350,0kg","700lbs")</f>
        <v>350,0kg</v>
      </c>
      <c r="F54" s="1">
        <v>17</v>
      </c>
      <c r="G54" s="1">
        <v>10</v>
      </c>
      <c r="H54" s="209">
        <v>0.6</v>
      </c>
      <c r="I54" s="1" t="s">
        <v>2</v>
      </c>
      <c r="J54" s="13">
        <v>21</v>
      </c>
      <c r="K54" s="1">
        <v>22</v>
      </c>
      <c r="L54" s="1">
        <v>19</v>
      </c>
      <c r="M54" s="13" t="s">
        <v>723</v>
      </c>
      <c r="N54" s="9">
        <v>25</v>
      </c>
      <c r="O54" s="9">
        <v>20</v>
      </c>
      <c r="P54" s="9">
        <v>9</v>
      </c>
      <c r="Q54" s="205" t="s">
        <v>3621</v>
      </c>
      <c r="R54" s="9" t="s">
        <v>15</v>
      </c>
      <c r="S54" s="9" t="s">
        <v>46</v>
      </c>
      <c r="T54" s="1">
        <v>25</v>
      </c>
      <c r="U54" s="1" t="str">
        <f t="shared" si="1"/>
        <v>+4</v>
      </c>
      <c r="V54" s="1" t="s">
        <v>3902</v>
      </c>
      <c r="W54" s="1">
        <v>0</v>
      </c>
      <c r="X54" s="1" t="s">
        <v>3903</v>
      </c>
      <c r="Y54" s="37" t="str">
        <f>Y53&amp;"Antipathie/Sympathie, Charme de masse, Sort de mort"</f>
        <v>Amis, Charme Personne,Effroi, Injonction,Hypnotisme,Immobilisation des personne, peur, oublie,Rayon d'affaiblissement, Terreur,Charme-Monstre, Confusion, Émotion, Maladresse, Suggestion,Chaos, Débilité Mentale, Immobilisation des Monstres, Quête Religieuse, Réceptacle Magique,Bâtonnet de suzeraineté, Quête Magique, Suggestion de Masse,Antipathie/Sympathie, Charme de masse, Sort de mort</v>
      </c>
    </row>
    <row r="55" spans="1:34">
      <c r="A55" s="70" t="str">
        <f>"21"</f>
        <v>21</v>
      </c>
      <c r="B55" s="208" t="s">
        <v>704</v>
      </c>
      <c r="C55" s="208" t="s">
        <v>3603</v>
      </c>
      <c r="D55" s="10" t="str">
        <f>IF(Syst_Mesure="Métrique","317,5kg","635lbs")</f>
        <v>317,5kg</v>
      </c>
      <c r="E55" s="10" t="str">
        <f>IF(Syst_Mesure="Métrique","405,0kg","810lbs")</f>
        <v>405,0kg</v>
      </c>
      <c r="F55" s="10">
        <v>17</v>
      </c>
      <c r="G55" s="10">
        <v>12</v>
      </c>
      <c r="H55" s="106">
        <v>0.7</v>
      </c>
      <c r="I55" s="10" t="s">
        <v>3</v>
      </c>
      <c r="J55" s="71">
        <v>22</v>
      </c>
      <c r="K55" s="10">
        <v>23</v>
      </c>
      <c r="L55" s="10">
        <v>20</v>
      </c>
      <c r="M55" s="10">
        <v>19</v>
      </c>
    </row>
    <row r="56" spans="1:34">
      <c r="A56" s="69" t="str">
        <f>"22"</f>
        <v>22</v>
      </c>
      <c r="B56" s="207" t="s">
        <v>704</v>
      </c>
      <c r="C56" s="207" t="s">
        <v>3597</v>
      </c>
      <c r="D56" s="1" t="str">
        <f>IF(Syst_Mesure="Métrique","392,5kg","785lbs")</f>
        <v>392,5kg</v>
      </c>
      <c r="E56" s="1" t="str">
        <f>IF(Syst_Mesure="Métrique","485,0kg","970lbs")</f>
        <v>485,0kg</v>
      </c>
      <c r="F56" s="1">
        <v>18</v>
      </c>
      <c r="G56" s="1">
        <v>14</v>
      </c>
      <c r="H56" s="209">
        <v>0.8</v>
      </c>
      <c r="I56" s="1" t="s">
        <v>4</v>
      </c>
      <c r="J56" s="13">
        <v>23</v>
      </c>
      <c r="K56" s="1">
        <v>24</v>
      </c>
      <c r="L56" s="1">
        <v>21</v>
      </c>
      <c r="M56" s="1">
        <v>20</v>
      </c>
    </row>
    <row r="57" spans="1:34">
      <c r="A57" s="70" t="str">
        <f>"23"</f>
        <v>23</v>
      </c>
      <c r="B57" s="208" t="s">
        <v>701</v>
      </c>
      <c r="C57" s="208" t="s">
        <v>3604</v>
      </c>
      <c r="D57" s="10" t="str">
        <f>IF(Syst_Mesure="Métrique","467,5kg","935lbs")</f>
        <v>467,5kg</v>
      </c>
      <c r="E57" s="10" t="str">
        <f>IF(Syst_Mesure="Métrique","565,0kg","1130lbs")</f>
        <v>565,0kg</v>
      </c>
      <c r="F57" s="10">
        <v>18</v>
      </c>
      <c r="G57" s="10">
        <v>16</v>
      </c>
      <c r="H57" s="106">
        <v>0.9</v>
      </c>
      <c r="I57" s="10" t="s">
        <v>5</v>
      </c>
      <c r="J57" s="71">
        <v>24</v>
      </c>
      <c r="K57" s="10">
        <v>25</v>
      </c>
      <c r="L57" s="10">
        <v>22</v>
      </c>
      <c r="M57" s="10">
        <v>21</v>
      </c>
    </row>
    <row r="58" spans="1:34">
      <c r="A58" s="69" t="str">
        <f>"24"</f>
        <v>24</v>
      </c>
      <c r="B58" s="207" t="s">
        <v>706</v>
      </c>
      <c r="C58" s="207" t="s">
        <v>3598</v>
      </c>
      <c r="D58" s="1" t="str">
        <f>IF(Syst_Mesure="Métrique","617,5kg","1235lbs")</f>
        <v>617,5kg</v>
      </c>
      <c r="E58" s="1" t="str">
        <f>IF(Syst_Mesure="Métrique","720,0kg","1440lbs")</f>
        <v>720,0kg</v>
      </c>
      <c r="F58" s="1">
        <v>19</v>
      </c>
      <c r="G58" s="1">
        <v>17</v>
      </c>
      <c r="H58" s="209">
        <v>0.95</v>
      </c>
      <c r="I58" s="1" t="s">
        <v>6</v>
      </c>
      <c r="J58" s="13">
        <v>25</v>
      </c>
      <c r="K58" s="1">
        <v>25</v>
      </c>
      <c r="L58" s="1">
        <v>23</v>
      </c>
      <c r="M58" s="1">
        <v>22</v>
      </c>
    </row>
    <row r="59" spans="1:34">
      <c r="A59" s="70" t="str">
        <f>"25"</f>
        <v>25</v>
      </c>
      <c r="B59" s="208" t="s">
        <v>705</v>
      </c>
      <c r="C59" s="208" t="s">
        <v>3599</v>
      </c>
      <c r="D59" s="10" t="str">
        <f>IF(Syst_Mesure="Métrique","767,5kg","1535lbs")</f>
        <v>767,5kg</v>
      </c>
      <c r="E59" s="10" t="str">
        <f>IF(Syst_Mesure="Métrique","875,0kg","1750lbs")</f>
        <v>875,0kg</v>
      </c>
      <c r="F59" s="10">
        <v>19</v>
      </c>
      <c r="G59" s="10">
        <v>18</v>
      </c>
      <c r="H59" s="106">
        <v>0.99</v>
      </c>
      <c r="I59" s="10" t="s">
        <v>7</v>
      </c>
      <c r="J59" s="71">
        <v>25</v>
      </c>
      <c r="K59" s="10">
        <v>25</v>
      </c>
      <c r="L59" s="10">
        <v>24</v>
      </c>
      <c r="M59" s="10">
        <v>23</v>
      </c>
    </row>
    <row r="61" spans="1:34">
      <c r="A61" s="412" t="s">
        <v>724</v>
      </c>
      <c r="B61" s="412"/>
      <c r="D61" s="408" t="s">
        <v>1412</v>
      </c>
      <c r="E61" s="408"/>
      <c r="F61" s="408"/>
      <c r="G61" s="408"/>
      <c r="H61" s="408"/>
      <c r="I61" s="408"/>
      <c r="J61" s="408"/>
      <c r="K61" s="408"/>
      <c r="O61" s="408" t="s">
        <v>1413</v>
      </c>
      <c r="P61" s="408"/>
      <c r="Q61" s="408"/>
      <c r="R61" s="408"/>
      <c r="S61" s="408"/>
      <c r="T61" s="408"/>
      <c r="U61" s="408"/>
      <c r="V61" s="408"/>
      <c r="X61" s="408" t="s">
        <v>1432</v>
      </c>
      <c r="Y61" s="408"/>
      <c r="Z61" s="408"/>
      <c r="AA61" s="408"/>
      <c r="AB61" s="408"/>
      <c r="AC61" s="21"/>
      <c r="AD61" s="408" t="s">
        <v>1433</v>
      </c>
      <c r="AE61" s="408"/>
      <c r="AF61" s="408"/>
      <c r="AG61" s="408"/>
      <c r="AH61" s="21"/>
    </row>
    <row r="62" spans="1:34">
      <c r="A62" s="80" t="str">
        <f>"1"</f>
        <v>1</v>
      </c>
      <c r="B62" s="80" t="str">
        <f>"1"</f>
        <v>1</v>
      </c>
      <c r="D62" s="76" t="s">
        <v>194</v>
      </c>
      <c r="E62" s="76">
        <v>1</v>
      </c>
      <c r="F62" s="76">
        <v>2</v>
      </c>
      <c r="G62" s="76">
        <v>3</v>
      </c>
      <c r="H62" s="76">
        <v>4</v>
      </c>
      <c r="I62" s="76">
        <v>5</v>
      </c>
      <c r="J62" s="76">
        <v>6</v>
      </c>
      <c r="K62" s="76">
        <v>7</v>
      </c>
      <c r="O62" s="77" t="s">
        <v>187</v>
      </c>
      <c r="P62" s="76">
        <v>1</v>
      </c>
      <c r="Q62" s="76">
        <v>2</v>
      </c>
      <c r="R62" s="76">
        <v>3</v>
      </c>
      <c r="S62" s="76">
        <v>4</v>
      </c>
      <c r="T62" s="76">
        <v>5</v>
      </c>
      <c r="U62" s="76">
        <v>6</v>
      </c>
      <c r="V62" s="76">
        <v>7</v>
      </c>
      <c r="X62" s="77" t="s">
        <v>187</v>
      </c>
      <c r="Y62" s="76">
        <v>1</v>
      </c>
      <c r="Z62" s="76">
        <v>2</v>
      </c>
      <c r="AA62" s="76">
        <v>3</v>
      </c>
      <c r="AB62" s="76">
        <v>4</v>
      </c>
      <c r="AD62" s="77" t="s">
        <v>187</v>
      </c>
      <c r="AE62" s="76">
        <v>1</v>
      </c>
      <c r="AF62" s="76">
        <v>2</v>
      </c>
      <c r="AG62" s="76">
        <v>3</v>
      </c>
    </row>
    <row r="63" spans="1:34">
      <c r="A63" s="81" t="str">
        <f>"2"</f>
        <v>2</v>
      </c>
      <c r="B63" s="81" t="str">
        <f>"2"</f>
        <v>2</v>
      </c>
      <c r="D63" s="23">
        <v>1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D63" s="23">
        <v>0</v>
      </c>
      <c r="AE63" s="23">
        <v>0</v>
      </c>
      <c r="AF63" s="23">
        <v>0</v>
      </c>
      <c r="AG63" s="23">
        <v>0</v>
      </c>
    </row>
    <row r="64" spans="1:34">
      <c r="A64" s="80" t="str">
        <f>"3"</f>
        <v>3</v>
      </c>
      <c r="B64" s="80" t="str">
        <f>"3"</f>
        <v>3</v>
      </c>
      <c r="D64" s="22">
        <v>2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O64" s="22">
        <v>1</v>
      </c>
      <c r="P64" s="22">
        <v>1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X64" s="22">
        <v>1</v>
      </c>
      <c r="Y64" s="22">
        <v>0</v>
      </c>
      <c r="Z64" s="22">
        <v>0</v>
      </c>
      <c r="AA64" s="22">
        <v>0</v>
      </c>
      <c r="AB64" s="22">
        <v>0</v>
      </c>
      <c r="AD64" s="22">
        <v>1</v>
      </c>
      <c r="AE64" s="22">
        <v>0</v>
      </c>
      <c r="AF64" s="22">
        <v>0</v>
      </c>
      <c r="AG64" s="22">
        <v>0</v>
      </c>
    </row>
    <row r="65" spans="1:33">
      <c r="A65" s="81" t="str">
        <f>"4"</f>
        <v>4</v>
      </c>
      <c r="B65" s="81" t="str">
        <f>"4"</f>
        <v>4</v>
      </c>
      <c r="D65" s="23">
        <v>3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O65" s="23">
        <v>2</v>
      </c>
      <c r="P65" s="23">
        <v>2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X65" s="23">
        <v>2</v>
      </c>
      <c r="Y65" s="23">
        <v>0</v>
      </c>
      <c r="Z65" s="23">
        <v>0</v>
      </c>
      <c r="AA65" s="23">
        <v>0</v>
      </c>
      <c r="AB65" s="23">
        <v>0</v>
      </c>
      <c r="AD65" s="23">
        <v>2</v>
      </c>
      <c r="AE65" s="23">
        <v>0</v>
      </c>
      <c r="AF65" s="23">
        <v>0</v>
      </c>
      <c r="AG65" s="23">
        <v>0</v>
      </c>
    </row>
    <row r="66" spans="1:33">
      <c r="A66" s="80" t="str">
        <f>"5"</f>
        <v>5</v>
      </c>
      <c r="B66" s="80" t="str">
        <f>"5"</f>
        <v>5</v>
      </c>
      <c r="D66" s="22">
        <v>4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O66" s="22">
        <v>3</v>
      </c>
      <c r="P66" s="22">
        <v>2</v>
      </c>
      <c r="Q66" s="22">
        <v>1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X66" s="22">
        <v>3</v>
      </c>
      <c r="Y66" s="22">
        <v>0</v>
      </c>
      <c r="Z66" s="22">
        <v>0</v>
      </c>
      <c r="AA66" s="22">
        <v>0</v>
      </c>
      <c r="AB66" s="22">
        <v>0</v>
      </c>
      <c r="AD66" s="22">
        <v>3</v>
      </c>
      <c r="AE66" s="22">
        <v>0</v>
      </c>
      <c r="AF66" s="22">
        <v>0</v>
      </c>
      <c r="AG66" s="22">
        <v>0</v>
      </c>
    </row>
    <row r="67" spans="1:33">
      <c r="A67" s="81" t="str">
        <f>"6"</f>
        <v>6</v>
      </c>
      <c r="B67" s="81" t="str">
        <f>"6"</f>
        <v>6</v>
      </c>
      <c r="D67" s="23">
        <v>5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O67" s="23">
        <v>4</v>
      </c>
      <c r="P67" s="23">
        <v>3</v>
      </c>
      <c r="Q67" s="23">
        <v>2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X67" s="23">
        <v>4</v>
      </c>
      <c r="Y67" s="23">
        <v>0</v>
      </c>
      <c r="Z67" s="23">
        <v>0</v>
      </c>
      <c r="AA67" s="23">
        <v>0</v>
      </c>
      <c r="AB67" s="23">
        <v>0</v>
      </c>
      <c r="AD67" s="23">
        <v>4</v>
      </c>
      <c r="AE67" s="23">
        <v>0</v>
      </c>
      <c r="AF67" s="23">
        <v>0</v>
      </c>
      <c r="AG67" s="23">
        <v>0</v>
      </c>
    </row>
    <row r="68" spans="1:33">
      <c r="A68" s="80" t="str">
        <f>"7"</f>
        <v>7</v>
      </c>
      <c r="B68" s="80" t="str">
        <f>"7"</f>
        <v>7</v>
      </c>
      <c r="D68" s="22">
        <v>6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O68" s="22">
        <v>5</v>
      </c>
      <c r="P68" s="22">
        <v>3</v>
      </c>
      <c r="Q68" s="22">
        <v>3</v>
      </c>
      <c r="R68" s="22">
        <v>1</v>
      </c>
      <c r="S68" s="22">
        <v>0</v>
      </c>
      <c r="T68" s="22">
        <v>0</v>
      </c>
      <c r="U68" s="22">
        <v>0</v>
      </c>
      <c r="V68" s="22">
        <v>0</v>
      </c>
      <c r="X68" s="22">
        <v>5</v>
      </c>
      <c r="Y68" s="22">
        <v>0</v>
      </c>
      <c r="Z68" s="22">
        <v>0</v>
      </c>
      <c r="AA68" s="22">
        <v>0</v>
      </c>
      <c r="AB68" s="22">
        <v>0</v>
      </c>
      <c r="AD68" s="22">
        <v>5</v>
      </c>
      <c r="AE68" s="22">
        <v>0</v>
      </c>
      <c r="AF68" s="22">
        <v>0</v>
      </c>
      <c r="AG68" s="22">
        <v>0</v>
      </c>
    </row>
    <row r="69" spans="1:33">
      <c r="A69" s="81" t="str">
        <f>"8"</f>
        <v>8</v>
      </c>
      <c r="B69" s="81" t="str">
        <f>"8"</f>
        <v>8</v>
      </c>
      <c r="D69" s="23">
        <v>7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O69" s="23">
        <v>6</v>
      </c>
      <c r="P69" s="23">
        <v>3</v>
      </c>
      <c r="Q69" s="23">
        <v>3</v>
      </c>
      <c r="R69" s="23">
        <v>2</v>
      </c>
      <c r="S69" s="23">
        <v>0</v>
      </c>
      <c r="T69" s="23">
        <v>0</v>
      </c>
      <c r="U69" s="23">
        <v>0</v>
      </c>
      <c r="V69" s="23">
        <v>0</v>
      </c>
      <c r="X69" s="23">
        <v>6</v>
      </c>
      <c r="Y69" s="23">
        <v>0</v>
      </c>
      <c r="Z69" s="23">
        <v>0</v>
      </c>
      <c r="AA69" s="23">
        <v>0</v>
      </c>
      <c r="AB69" s="23">
        <v>0</v>
      </c>
      <c r="AD69" s="23">
        <v>6</v>
      </c>
      <c r="AE69" s="23">
        <v>0</v>
      </c>
      <c r="AF69" s="23">
        <v>0</v>
      </c>
      <c r="AG69" s="23">
        <v>0</v>
      </c>
    </row>
    <row r="70" spans="1:33">
      <c r="A70" s="80" t="str">
        <f>"9"</f>
        <v>9</v>
      </c>
      <c r="B70" s="80" t="str">
        <f>"9"</f>
        <v>9</v>
      </c>
      <c r="D70" s="22">
        <v>8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O70" s="22">
        <v>7</v>
      </c>
      <c r="P70" s="22">
        <v>3</v>
      </c>
      <c r="Q70" s="22">
        <v>3</v>
      </c>
      <c r="R70" s="22">
        <v>2</v>
      </c>
      <c r="S70" s="22">
        <v>1</v>
      </c>
      <c r="T70" s="22">
        <v>0</v>
      </c>
      <c r="U70" s="22">
        <v>0</v>
      </c>
      <c r="V70" s="22">
        <v>0</v>
      </c>
      <c r="X70" s="22">
        <v>7</v>
      </c>
      <c r="Y70" s="22">
        <v>0</v>
      </c>
      <c r="Z70" s="22">
        <v>0</v>
      </c>
      <c r="AA70" s="22">
        <v>0</v>
      </c>
      <c r="AB70" s="22">
        <v>0</v>
      </c>
      <c r="AD70" s="22">
        <v>7</v>
      </c>
      <c r="AE70" s="22">
        <v>0</v>
      </c>
      <c r="AF70" s="22">
        <v>0</v>
      </c>
      <c r="AG70" s="22">
        <v>0</v>
      </c>
    </row>
    <row r="71" spans="1:33">
      <c r="A71" s="81" t="str">
        <f>"10"</f>
        <v>10</v>
      </c>
      <c r="B71" s="81" t="str">
        <f>"10"</f>
        <v>10</v>
      </c>
      <c r="D71" s="23">
        <v>9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O71" s="23">
        <v>8</v>
      </c>
      <c r="P71" s="23">
        <v>3</v>
      </c>
      <c r="Q71" s="23">
        <v>3</v>
      </c>
      <c r="R71" s="23">
        <v>3</v>
      </c>
      <c r="S71" s="23">
        <v>2</v>
      </c>
      <c r="T71" s="23">
        <v>0</v>
      </c>
      <c r="U71" s="23">
        <v>0</v>
      </c>
      <c r="V71" s="23">
        <v>0</v>
      </c>
      <c r="X71" s="23">
        <v>8</v>
      </c>
      <c r="Y71" s="23">
        <v>0</v>
      </c>
      <c r="Z71" s="23">
        <v>0</v>
      </c>
      <c r="AA71" s="23">
        <v>0</v>
      </c>
      <c r="AB71" s="23">
        <v>0</v>
      </c>
      <c r="AD71" s="23">
        <v>8</v>
      </c>
      <c r="AE71" s="23">
        <v>1</v>
      </c>
      <c r="AF71" s="23">
        <v>0</v>
      </c>
      <c r="AG71" s="23">
        <v>0</v>
      </c>
    </row>
    <row r="72" spans="1:33">
      <c r="A72" s="80" t="str">
        <f>"11"</f>
        <v>11</v>
      </c>
      <c r="B72" s="80" t="str">
        <f>"11"</f>
        <v>11</v>
      </c>
      <c r="D72" s="22">
        <v>10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O72" s="22">
        <v>9</v>
      </c>
      <c r="P72" s="22">
        <v>4</v>
      </c>
      <c r="Q72" s="22">
        <v>4</v>
      </c>
      <c r="R72" s="22">
        <v>3</v>
      </c>
      <c r="S72" s="22">
        <v>2</v>
      </c>
      <c r="T72" s="22">
        <v>1</v>
      </c>
      <c r="U72" s="22">
        <v>0</v>
      </c>
      <c r="V72" s="22">
        <v>0</v>
      </c>
      <c r="X72" s="22">
        <v>9</v>
      </c>
      <c r="Y72" s="22">
        <v>1</v>
      </c>
      <c r="Z72" s="22">
        <v>0</v>
      </c>
      <c r="AA72" s="22">
        <v>0</v>
      </c>
      <c r="AB72" s="22">
        <v>0</v>
      </c>
      <c r="AD72" s="22">
        <v>9</v>
      </c>
      <c r="AE72" s="22">
        <v>2</v>
      </c>
      <c r="AF72" s="22">
        <v>0</v>
      </c>
      <c r="AG72" s="22">
        <v>0</v>
      </c>
    </row>
    <row r="73" spans="1:33">
      <c r="A73" s="81" t="str">
        <f>"12"</f>
        <v>12</v>
      </c>
      <c r="B73" s="81" t="str">
        <f>"12"</f>
        <v>12</v>
      </c>
      <c r="D73" s="23">
        <v>11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O73" s="23">
        <v>10</v>
      </c>
      <c r="P73" s="23">
        <v>4</v>
      </c>
      <c r="Q73" s="23">
        <v>4</v>
      </c>
      <c r="R73" s="23">
        <v>3</v>
      </c>
      <c r="S73" s="23">
        <v>3</v>
      </c>
      <c r="T73" s="23">
        <v>2</v>
      </c>
      <c r="U73" s="23">
        <v>0</v>
      </c>
      <c r="V73" s="23">
        <v>0</v>
      </c>
      <c r="X73" s="23">
        <v>10</v>
      </c>
      <c r="Y73" s="23">
        <v>2</v>
      </c>
      <c r="Z73" s="23">
        <v>0</v>
      </c>
      <c r="AA73" s="23">
        <v>0</v>
      </c>
      <c r="AB73" s="23">
        <v>0</v>
      </c>
      <c r="AD73" s="23">
        <v>10</v>
      </c>
      <c r="AE73" s="23">
        <v>2</v>
      </c>
      <c r="AF73" s="23">
        <v>1</v>
      </c>
      <c r="AG73" s="23">
        <v>0</v>
      </c>
    </row>
    <row r="74" spans="1:33">
      <c r="A74" s="80" t="str">
        <f>"13"</f>
        <v>13</v>
      </c>
      <c r="B74" s="80" t="str">
        <f>"13"</f>
        <v>13</v>
      </c>
      <c r="D74" s="22">
        <v>12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O74" s="22">
        <v>11</v>
      </c>
      <c r="P74" s="22">
        <v>5</v>
      </c>
      <c r="Q74" s="22">
        <v>4</v>
      </c>
      <c r="R74" s="22">
        <v>4</v>
      </c>
      <c r="S74" s="22">
        <v>3</v>
      </c>
      <c r="T74" s="22">
        <v>2</v>
      </c>
      <c r="U74" s="22">
        <v>1</v>
      </c>
      <c r="V74" s="22">
        <v>0</v>
      </c>
      <c r="X74" s="22">
        <v>11</v>
      </c>
      <c r="Y74" s="22">
        <v>2</v>
      </c>
      <c r="Z74" s="22">
        <v>1</v>
      </c>
      <c r="AA74" s="22">
        <v>0</v>
      </c>
      <c r="AB74" s="22">
        <v>0</v>
      </c>
      <c r="AD74" s="22">
        <v>11</v>
      </c>
      <c r="AE74" s="22">
        <v>2</v>
      </c>
      <c r="AF74" s="22">
        <v>2</v>
      </c>
      <c r="AG74" s="22">
        <v>0</v>
      </c>
    </row>
    <row r="75" spans="1:33">
      <c r="A75" s="81" t="str">
        <f>"14"</f>
        <v>14</v>
      </c>
      <c r="B75" s="81" t="str">
        <f>"14"</f>
        <v>14</v>
      </c>
      <c r="D75" s="23">
        <v>13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O75" s="23">
        <v>12</v>
      </c>
      <c r="P75" s="23">
        <v>6</v>
      </c>
      <c r="Q75" s="23">
        <v>5</v>
      </c>
      <c r="R75" s="23">
        <v>5</v>
      </c>
      <c r="S75" s="23">
        <v>3</v>
      </c>
      <c r="T75" s="23">
        <v>2</v>
      </c>
      <c r="U75" s="23">
        <v>2</v>
      </c>
      <c r="V75" s="23">
        <v>0</v>
      </c>
      <c r="X75" s="23">
        <v>12</v>
      </c>
      <c r="Y75" s="23">
        <v>2</v>
      </c>
      <c r="Z75" s="23">
        <v>2</v>
      </c>
      <c r="AA75" s="23">
        <v>0</v>
      </c>
      <c r="AB75" s="23">
        <v>0</v>
      </c>
      <c r="AD75" s="23">
        <v>12</v>
      </c>
      <c r="AE75" s="23">
        <v>2</v>
      </c>
      <c r="AF75" s="23">
        <v>2</v>
      </c>
      <c r="AG75" s="23">
        <v>1</v>
      </c>
    </row>
    <row r="76" spans="1:33">
      <c r="A76" s="80" t="str">
        <f>"15"</f>
        <v>15</v>
      </c>
      <c r="B76" s="80" t="str">
        <f>"15"</f>
        <v>15</v>
      </c>
      <c r="D76" s="22">
        <v>14</v>
      </c>
      <c r="E76" s="22">
        <v>1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O76" s="22">
        <v>13</v>
      </c>
      <c r="P76" s="22">
        <v>6</v>
      </c>
      <c r="Q76" s="22">
        <v>6</v>
      </c>
      <c r="R76" s="22">
        <v>6</v>
      </c>
      <c r="S76" s="22">
        <v>4</v>
      </c>
      <c r="T76" s="22">
        <v>2</v>
      </c>
      <c r="U76" s="22">
        <v>2</v>
      </c>
      <c r="V76" s="22">
        <v>0</v>
      </c>
      <c r="X76" s="22">
        <v>13</v>
      </c>
      <c r="Y76" s="22">
        <v>2</v>
      </c>
      <c r="Z76" s="22">
        <v>2</v>
      </c>
      <c r="AA76" s="22">
        <v>1</v>
      </c>
      <c r="AB76" s="22">
        <v>0</v>
      </c>
      <c r="AD76" s="22">
        <v>13</v>
      </c>
      <c r="AE76" s="22">
        <v>3</v>
      </c>
      <c r="AF76" s="22">
        <v>2</v>
      </c>
      <c r="AG76" s="22">
        <v>1</v>
      </c>
    </row>
    <row r="77" spans="1:33">
      <c r="A77" s="81" t="str">
        <f>"16"</f>
        <v>16</v>
      </c>
      <c r="B77" s="81" t="str">
        <f>"16"</f>
        <v>16</v>
      </c>
      <c r="D77" s="23">
        <v>15</v>
      </c>
      <c r="E77" s="23">
        <v>1</v>
      </c>
      <c r="F77" s="23">
        <v>1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O77" s="23">
        <v>14</v>
      </c>
      <c r="P77" s="23">
        <v>6</v>
      </c>
      <c r="Q77" s="23">
        <v>6</v>
      </c>
      <c r="R77" s="23">
        <v>6</v>
      </c>
      <c r="S77" s="23">
        <v>5</v>
      </c>
      <c r="T77" s="23">
        <v>3</v>
      </c>
      <c r="U77" s="23">
        <v>2</v>
      </c>
      <c r="V77" s="23">
        <v>1</v>
      </c>
      <c r="X77" s="23">
        <v>14</v>
      </c>
      <c r="Y77" s="23">
        <v>3</v>
      </c>
      <c r="Z77" s="23">
        <v>2</v>
      </c>
      <c r="AA77" s="23">
        <v>1</v>
      </c>
      <c r="AB77" s="23">
        <v>0</v>
      </c>
      <c r="AD77" s="23">
        <v>14</v>
      </c>
      <c r="AE77" s="23">
        <v>3</v>
      </c>
      <c r="AF77" s="23">
        <v>2</v>
      </c>
      <c r="AG77" s="23">
        <v>2</v>
      </c>
    </row>
    <row r="78" spans="1:33">
      <c r="A78" s="80" t="str">
        <f>"17"</f>
        <v>17</v>
      </c>
      <c r="B78" s="80" t="str">
        <f>"17"</f>
        <v>17</v>
      </c>
      <c r="D78" s="22">
        <v>16</v>
      </c>
      <c r="E78" s="22">
        <v>1</v>
      </c>
      <c r="F78" s="22">
        <v>2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O78" s="22">
        <v>15</v>
      </c>
      <c r="P78" s="22">
        <v>6</v>
      </c>
      <c r="Q78" s="22">
        <v>6</v>
      </c>
      <c r="R78" s="22">
        <v>6</v>
      </c>
      <c r="S78" s="22">
        <v>6</v>
      </c>
      <c r="T78" s="22">
        <v>4</v>
      </c>
      <c r="U78" s="22">
        <v>2</v>
      </c>
      <c r="V78" s="22">
        <v>1</v>
      </c>
      <c r="X78" s="22">
        <v>15</v>
      </c>
      <c r="Y78" s="22">
        <v>3</v>
      </c>
      <c r="Z78" s="22">
        <v>2</v>
      </c>
      <c r="AA78" s="22">
        <v>1</v>
      </c>
      <c r="AB78" s="22">
        <v>1</v>
      </c>
      <c r="AD78" s="22">
        <v>15</v>
      </c>
      <c r="AE78" s="22">
        <v>3</v>
      </c>
      <c r="AF78" s="22">
        <v>3</v>
      </c>
      <c r="AG78" s="22">
        <v>2</v>
      </c>
    </row>
    <row r="79" spans="1:33">
      <c r="A79" s="81" t="str">
        <f>"18"</f>
        <v>18</v>
      </c>
      <c r="B79" s="81" t="str">
        <f>"18"</f>
        <v>18</v>
      </c>
      <c r="D79" s="23">
        <v>17</v>
      </c>
      <c r="E79" s="23">
        <v>1</v>
      </c>
      <c r="F79" s="23">
        <v>2</v>
      </c>
      <c r="G79" s="23">
        <v>1</v>
      </c>
      <c r="H79" s="23">
        <v>0</v>
      </c>
      <c r="I79" s="23">
        <v>0</v>
      </c>
      <c r="J79" s="23">
        <v>0</v>
      </c>
      <c r="K79" s="23">
        <v>0</v>
      </c>
      <c r="O79" s="23">
        <v>16</v>
      </c>
      <c r="P79" s="23">
        <v>7</v>
      </c>
      <c r="Q79" s="23">
        <v>7</v>
      </c>
      <c r="R79" s="23">
        <v>7</v>
      </c>
      <c r="S79" s="23">
        <v>6</v>
      </c>
      <c r="T79" s="23">
        <v>4</v>
      </c>
      <c r="U79" s="23">
        <v>3</v>
      </c>
      <c r="V79" s="23">
        <v>1</v>
      </c>
      <c r="X79" s="23">
        <v>16</v>
      </c>
      <c r="Y79" s="23">
        <v>3</v>
      </c>
      <c r="Z79" s="23">
        <v>3</v>
      </c>
      <c r="AA79" s="23">
        <v>2</v>
      </c>
      <c r="AB79" s="23">
        <v>1</v>
      </c>
      <c r="AD79" s="23">
        <v>16</v>
      </c>
      <c r="AE79" s="23">
        <v>3</v>
      </c>
      <c r="AF79" s="23">
        <v>3</v>
      </c>
      <c r="AG79" s="23">
        <v>3</v>
      </c>
    </row>
    <row r="80" spans="1:33">
      <c r="A80" s="80" t="s">
        <v>892</v>
      </c>
      <c r="B80" s="69" t="s">
        <v>720</v>
      </c>
      <c r="D80" s="22">
        <v>18</v>
      </c>
      <c r="E80" s="22">
        <v>1</v>
      </c>
      <c r="F80" s="22">
        <v>2</v>
      </c>
      <c r="G80" s="22">
        <v>1</v>
      </c>
      <c r="H80" s="22">
        <v>1</v>
      </c>
      <c r="I80" s="22">
        <v>0</v>
      </c>
      <c r="J80" s="22">
        <v>0</v>
      </c>
      <c r="K80" s="22">
        <v>0</v>
      </c>
      <c r="O80" s="22">
        <v>17</v>
      </c>
      <c r="P80" s="22">
        <v>7</v>
      </c>
      <c r="Q80" s="22">
        <v>7</v>
      </c>
      <c r="R80" s="22">
        <v>7</v>
      </c>
      <c r="S80" s="22">
        <v>7</v>
      </c>
      <c r="T80" s="22">
        <v>5</v>
      </c>
      <c r="U80" s="22">
        <v>3</v>
      </c>
      <c r="V80" s="22">
        <v>2</v>
      </c>
      <c r="X80" s="22">
        <v>17</v>
      </c>
      <c r="Y80" s="22">
        <v>3</v>
      </c>
      <c r="Z80" s="22">
        <v>3</v>
      </c>
      <c r="AA80" s="22">
        <v>3</v>
      </c>
      <c r="AB80" s="22">
        <v>1</v>
      </c>
      <c r="AD80" s="22">
        <v>17</v>
      </c>
      <c r="AE80" s="22">
        <v>3</v>
      </c>
      <c r="AF80" s="22">
        <v>3</v>
      </c>
      <c r="AG80" s="22">
        <v>3</v>
      </c>
    </row>
    <row r="81" spans="1:33">
      <c r="A81" s="81" t="s">
        <v>893</v>
      </c>
      <c r="B81" s="70" t="s">
        <v>720</v>
      </c>
      <c r="D81" s="23">
        <v>19</v>
      </c>
      <c r="E81" s="23">
        <v>2</v>
      </c>
      <c r="F81" s="23">
        <v>2</v>
      </c>
      <c r="G81" s="23">
        <v>1</v>
      </c>
      <c r="H81" s="23">
        <v>2</v>
      </c>
      <c r="I81" s="23">
        <v>0</v>
      </c>
      <c r="J81" s="23">
        <v>0</v>
      </c>
      <c r="K81" s="23">
        <v>0</v>
      </c>
      <c r="O81" s="23">
        <v>18</v>
      </c>
      <c r="P81" s="23">
        <v>8</v>
      </c>
      <c r="Q81" s="23">
        <v>8</v>
      </c>
      <c r="R81" s="23">
        <v>8</v>
      </c>
      <c r="S81" s="23">
        <v>8</v>
      </c>
      <c r="T81" s="23">
        <v>6</v>
      </c>
      <c r="U81" s="23">
        <v>4</v>
      </c>
      <c r="V81" s="23">
        <v>2</v>
      </c>
      <c r="X81" s="23">
        <v>18</v>
      </c>
      <c r="Y81" s="23">
        <v>3</v>
      </c>
      <c r="Z81" s="23">
        <v>3</v>
      </c>
      <c r="AA81" s="23">
        <v>3</v>
      </c>
      <c r="AB81" s="23">
        <v>1</v>
      </c>
      <c r="AD81" s="23">
        <v>18</v>
      </c>
      <c r="AE81" s="23">
        <v>3</v>
      </c>
      <c r="AF81" s="23">
        <v>3</v>
      </c>
      <c r="AG81" s="23">
        <v>3</v>
      </c>
    </row>
    <row r="82" spans="1:33">
      <c r="A82" s="80" t="s">
        <v>894</v>
      </c>
      <c r="B82" s="69" t="s">
        <v>720</v>
      </c>
      <c r="D82" s="22">
        <v>20</v>
      </c>
      <c r="E82" s="22">
        <v>2</v>
      </c>
      <c r="F82" s="22">
        <v>3</v>
      </c>
      <c r="G82" s="22">
        <v>1</v>
      </c>
      <c r="H82" s="22">
        <v>3</v>
      </c>
      <c r="I82" s="22">
        <v>0</v>
      </c>
      <c r="J82" s="22">
        <v>0</v>
      </c>
      <c r="K82" s="22">
        <v>0</v>
      </c>
      <c r="O82" s="22">
        <v>19</v>
      </c>
      <c r="P82" s="22">
        <v>9</v>
      </c>
      <c r="Q82" s="22">
        <v>9</v>
      </c>
      <c r="R82" s="22">
        <v>8</v>
      </c>
      <c r="S82" s="22">
        <v>8</v>
      </c>
      <c r="T82" s="22">
        <v>6</v>
      </c>
      <c r="U82" s="22">
        <v>4</v>
      </c>
      <c r="V82" s="22">
        <v>2</v>
      </c>
      <c r="X82" s="22">
        <v>19</v>
      </c>
      <c r="Y82" s="22">
        <v>3</v>
      </c>
      <c r="Z82" s="22">
        <v>3</v>
      </c>
      <c r="AA82" s="22">
        <v>3</v>
      </c>
      <c r="AB82" s="22">
        <v>2</v>
      </c>
      <c r="AD82" s="22">
        <v>19</v>
      </c>
      <c r="AE82" s="22">
        <v>3</v>
      </c>
      <c r="AF82" s="22">
        <v>3</v>
      </c>
      <c r="AG82" s="22">
        <v>3</v>
      </c>
    </row>
    <row r="83" spans="1:33">
      <c r="A83" s="81" t="s">
        <v>895</v>
      </c>
      <c r="B83" s="70" t="s">
        <v>720</v>
      </c>
      <c r="D83" s="23">
        <v>21</v>
      </c>
      <c r="E83" s="23">
        <v>2</v>
      </c>
      <c r="F83" s="23">
        <v>3</v>
      </c>
      <c r="G83" s="23">
        <v>2</v>
      </c>
      <c r="H83" s="23">
        <v>3</v>
      </c>
      <c r="I83" s="23">
        <v>1</v>
      </c>
      <c r="J83" s="23">
        <v>0</v>
      </c>
      <c r="K83" s="23">
        <v>0</v>
      </c>
      <c r="O83" s="23">
        <v>20</v>
      </c>
      <c r="P83" s="23">
        <v>9</v>
      </c>
      <c r="Q83" s="23">
        <v>9</v>
      </c>
      <c r="R83" s="23">
        <v>9</v>
      </c>
      <c r="S83" s="23">
        <v>8</v>
      </c>
      <c r="T83" s="23">
        <v>7</v>
      </c>
      <c r="U83" s="23">
        <v>5</v>
      </c>
      <c r="V83" s="23">
        <v>2</v>
      </c>
      <c r="X83" s="23">
        <v>20</v>
      </c>
      <c r="Y83" s="23">
        <v>3</v>
      </c>
      <c r="Z83" s="23">
        <v>3</v>
      </c>
      <c r="AA83" s="23">
        <v>3</v>
      </c>
      <c r="AB83" s="23">
        <v>3</v>
      </c>
      <c r="AD83" s="23">
        <v>20</v>
      </c>
      <c r="AE83" s="23">
        <v>3</v>
      </c>
      <c r="AF83" s="23">
        <v>3</v>
      </c>
      <c r="AG83" s="23">
        <v>3</v>
      </c>
    </row>
    <row r="84" spans="1:33">
      <c r="A84" s="80" t="s">
        <v>896</v>
      </c>
      <c r="B84" s="69" t="s">
        <v>720</v>
      </c>
      <c r="D84" s="22">
        <v>22</v>
      </c>
      <c r="E84" s="22">
        <v>2</v>
      </c>
      <c r="F84" s="22">
        <v>3</v>
      </c>
      <c r="G84" s="22">
        <v>2</v>
      </c>
      <c r="H84" s="22">
        <v>4</v>
      </c>
      <c r="I84" s="22">
        <v>2</v>
      </c>
      <c r="J84" s="22">
        <v>0</v>
      </c>
      <c r="K84" s="22">
        <v>0</v>
      </c>
    </row>
    <row r="85" spans="1:33">
      <c r="A85" s="81" t="s">
        <v>897</v>
      </c>
      <c r="B85" s="70" t="s">
        <v>720</v>
      </c>
      <c r="D85" s="23">
        <v>23</v>
      </c>
      <c r="E85" s="23">
        <v>2</v>
      </c>
      <c r="F85" s="23">
        <v>3</v>
      </c>
      <c r="G85" s="23">
        <v>2</v>
      </c>
      <c r="H85" s="23">
        <v>4</v>
      </c>
      <c r="I85" s="23">
        <v>4</v>
      </c>
      <c r="J85" s="23">
        <v>0</v>
      </c>
      <c r="K85" s="23">
        <v>0</v>
      </c>
    </row>
    <row r="86" spans="1:33">
      <c r="A86" s="80" t="s">
        <v>898</v>
      </c>
      <c r="B86" s="69" t="s">
        <v>720</v>
      </c>
      <c r="D86" s="22">
        <v>24</v>
      </c>
      <c r="E86" s="22">
        <v>2</v>
      </c>
      <c r="F86" s="22">
        <v>3</v>
      </c>
      <c r="G86" s="22">
        <v>2</v>
      </c>
      <c r="H86" s="22">
        <v>4</v>
      </c>
      <c r="I86" s="22">
        <v>4</v>
      </c>
      <c r="J86" s="22">
        <v>2</v>
      </c>
      <c r="K86" s="22">
        <v>0</v>
      </c>
    </row>
    <row r="87" spans="1:33">
      <c r="A87" s="81" t="s">
        <v>899</v>
      </c>
      <c r="B87" s="70" t="s">
        <v>720</v>
      </c>
      <c r="D87" s="23">
        <v>25</v>
      </c>
      <c r="E87" s="23">
        <v>2</v>
      </c>
      <c r="F87" s="23">
        <v>3</v>
      </c>
      <c r="G87" s="23">
        <v>2</v>
      </c>
      <c r="H87" s="23">
        <v>4</v>
      </c>
      <c r="I87" s="23">
        <v>4</v>
      </c>
      <c r="J87" s="23">
        <v>3</v>
      </c>
      <c r="K87" s="23">
        <v>1</v>
      </c>
    </row>
    <row r="88" spans="1:33">
      <c r="A88" s="80" t="s">
        <v>900</v>
      </c>
      <c r="B88" s="69" t="s">
        <v>720</v>
      </c>
    </row>
    <row r="89" spans="1:33">
      <c r="A89" s="81" t="s">
        <v>901</v>
      </c>
      <c r="B89" s="70" t="s">
        <v>720</v>
      </c>
      <c r="J89" s="24"/>
      <c r="K89" s="24"/>
      <c r="L89" s="24"/>
      <c r="M89" s="24"/>
      <c r="N89" s="24"/>
    </row>
    <row r="90" spans="1:33">
      <c r="A90" s="80" t="s">
        <v>902</v>
      </c>
      <c r="B90" s="69" t="s">
        <v>720</v>
      </c>
      <c r="J90" s="24"/>
      <c r="K90" s="139"/>
      <c r="L90" s="139"/>
      <c r="M90" s="139"/>
      <c r="N90" s="24"/>
      <c r="O90" s="409" t="s">
        <v>1414</v>
      </c>
      <c r="P90" s="409"/>
      <c r="Q90" s="409"/>
      <c r="R90" s="409"/>
      <c r="S90" s="409"/>
      <c r="T90" s="409"/>
      <c r="U90" s="409"/>
      <c r="V90" s="409"/>
      <c r="W90" s="409"/>
      <c r="X90" s="409"/>
    </row>
    <row r="91" spans="1:33">
      <c r="A91" s="81" t="s">
        <v>903</v>
      </c>
      <c r="B91" s="70" t="s">
        <v>720</v>
      </c>
      <c r="J91" s="24"/>
      <c r="K91" s="24"/>
      <c r="L91" s="24"/>
      <c r="M91" s="24"/>
      <c r="N91" s="24"/>
      <c r="O91" s="18" t="s">
        <v>187</v>
      </c>
      <c r="P91" s="18">
        <v>1</v>
      </c>
      <c r="Q91" s="18">
        <v>2</v>
      </c>
      <c r="R91" s="18">
        <v>3</v>
      </c>
      <c r="S91" s="18">
        <v>4</v>
      </c>
      <c r="T91" s="18">
        <v>5</v>
      </c>
      <c r="U91" s="18">
        <v>6</v>
      </c>
      <c r="V91" s="18">
        <v>7</v>
      </c>
      <c r="W91" s="18">
        <v>8</v>
      </c>
      <c r="X91" s="18">
        <v>9</v>
      </c>
    </row>
    <row r="92" spans="1:33">
      <c r="A92" s="80" t="s">
        <v>904</v>
      </c>
      <c r="B92" s="69" t="s">
        <v>720</v>
      </c>
      <c r="J92" s="24"/>
      <c r="K92" s="24"/>
      <c r="L92" s="24"/>
      <c r="M92" s="24"/>
      <c r="N92" s="24"/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9">
        <v>0</v>
      </c>
    </row>
    <row r="93" spans="1:33">
      <c r="A93" s="81" t="s">
        <v>905</v>
      </c>
      <c r="B93" s="70" t="s">
        <v>720</v>
      </c>
      <c r="J93" s="24"/>
      <c r="K93" s="139"/>
      <c r="L93" s="139"/>
      <c r="M93" s="139"/>
      <c r="N93" s="24"/>
      <c r="O93" s="8">
        <v>1</v>
      </c>
      <c r="P93" s="8">
        <v>1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</row>
    <row r="94" spans="1:33">
      <c r="A94" s="80" t="s">
        <v>906</v>
      </c>
      <c r="B94" s="69" t="s">
        <v>720</v>
      </c>
      <c r="J94" s="24"/>
      <c r="K94" s="24"/>
      <c r="L94" s="24"/>
      <c r="M94" s="24"/>
      <c r="N94" s="24"/>
      <c r="O94" s="9">
        <v>2</v>
      </c>
      <c r="P94" s="9">
        <v>2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</row>
    <row r="95" spans="1:33">
      <c r="A95" s="81" t="s">
        <v>907</v>
      </c>
      <c r="B95" s="70" t="s">
        <v>720</v>
      </c>
      <c r="J95" s="24"/>
      <c r="K95" s="24"/>
      <c r="L95" s="24"/>
      <c r="M95" s="24"/>
      <c r="N95" s="24"/>
      <c r="O95" s="8">
        <v>3</v>
      </c>
      <c r="P95" s="8">
        <v>2</v>
      </c>
      <c r="Q95" s="8">
        <v>1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</row>
    <row r="96" spans="1:33">
      <c r="A96" s="80" t="s">
        <v>908</v>
      </c>
      <c r="B96" s="69" t="s">
        <v>720</v>
      </c>
      <c r="E96" s="253" t="s">
        <v>3872</v>
      </c>
      <c r="F96" s="253"/>
      <c r="G96" s="253"/>
      <c r="J96" s="24"/>
      <c r="K96" s="139"/>
      <c r="L96" s="139"/>
      <c r="M96" s="139"/>
      <c r="N96" s="24"/>
      <c r="O96" s="9">
        <v>4</v>
      </c>
      <c r="P96" s="9">
        <v>3</v>
      </c>
      <c r="Q96" s="9">
        <v>2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</row>
    <row r="97" spans="1:24">
      <c r="A97" s="81" t="s">
        <v>909</v>
      </c>
      <c r="B97" s="70" t="s">
        <v>720</v>
      </c>
      <c r="E97" s="36"/>
      <c r="F97" s="36" t="s">
        <v>3870</v>
      </c>
      <c r="G97" s="36" t="s">
        <v>3871</v>
      </c>
      <c r="J97" s="24"/>
      <c r="K97" s="24"/>
      <c r="L97" s="24"/>
      <c r="M97" s="24"/>
      <c r="N97" s="24"/>
      <c r="O97" s="8">
        <v>5</v>
      </c>
      <c r="P97" s="8">
        <v>4</v>
      </c>
      <c r="Q97" s="8">
        <v>2</v>
      </c>
      <c r="R97" s="8">
        <v>1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</row>
    <row r="98" spans="1:24">
      <c r="A98" s="80" t="s">
        <v>910</v>
      </c>
      <c r="B98" s="69" t="s">
        <v>720</v>
      </c>
      <c r="E98" s="229" t="s">
        <v>3875</v>
      </c>
      <c r="F98" s="229">
        <v>11</v>
      </c>
      <c r="G98" s="229">
        <v>13</v>
      </c>
      <c r="J98" s="24"/>
      <c r="K98" s="24"/>
      <c r="L98" s="24"/>
      <c r="M98" s="24"/>
      <c r="N98" s="24"/>
      <c r="O98" s="9">
        <v>6</v>
      </c>
      <c r="P98" s="9">
        <v>4</v>
      </c>
      <c r="Q98" s="9">
        <v>2</v>
      </c>
      <c r="R98" s="9">
        <v>2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</row>
    <row r="99" spans="1:24">
      <c r="A99" s="81" t="s">
        <v>911</v>
      </c>
      <c r="B99" s="70" t="s">
        <v>720</v>
      </c>
      <c r="E99" s="229" t="s">
        <v>3873</v>
      </c>
      <c r="F99" s="229">
        <v>10</v>
      </c>
      <c r="G99" s="229">
        <v>12</v>
      </c>
      <c r="J99" s="24"/>
      <c r="K99" s="24"/>
      <c r="L99" s="24"/>
      <c r="M99" s="24"/>
      <c r="N99" s="24"/>
      <c r="O99" s="8">
        <v>7</v>
      </c>
      <c r="P99" s="8">
        <v>4</v>
      </c>
      <c r="Q99" s="8">
        <v>3</v>
      </c>
      <c r="R99" s="8">
        <v>2</v>
      </c>
      <c r="S99" s="8">
        <v>1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</row>
    <row r="100" spans="1:24">
      <c r="A100" s="80" t="s">
        <v>912</v>
      </c>
      <c r="B100" s="69" t="s">
        <v>720</v>
      </c>
      <c r="E100" s="229" t="s">
        <v>3874</v>
      </c>
      <c r="F100" s="229">
        <v>12</v>
      </c>
      <c r="G100" s="229">
        <v>10</v>
      </c>
      <c r="J100" s="24"/>
      <c r="K100" s="24"/>
      <c r="L100" s="24"/>
      <c r="M100" s="24"/>
      <c r="N100" s="24"/>
      <c r="O100" s="9">
        <v>8</v>
      </c>
      <c r="P100" s="9">
        <v>4</v>
      </c>
      <c r="Q100" s="9">
        <v>3</v>
      </c>
      <c r="R100" s="9">
        <v>3</v>
      </c>
      <c r="S100" s="9">
        <v>2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</row>
    <row r="101" spans="1:24">
      <c r="A101" s="81" t="s">
        <v>913</v>
      </c>
      <c r="B101" s="70" t="s">
        <v>720</v>
      </c>
      <c r="E101" s="229" t="s">
        <v>3876</v>
      </c>
      <c r="F101" s="229">
        <v>13</v>
      </c>
      <c r="G101" s="229">
        <v>11</v>
      </c>
      <c r="J101" s="24"/>
      <c r="K101" s="24"/>
      <c r="L101" s="24"/>
      <c r="M101" s="24"/>
      <c r="N101" s="24"/>
      <c r="O101" s="8">
        <v>9</v>
      </c>
      <c r="P101" s="8">
        <v>4</v>
      </c>
      <c r="Q101" s="8">
        <v>3</v>
      </c>
      <c r="R101" s="8">
        <v>3</v>
      </c>
      <c r="S101" s="8">
        <v>2</v>
      </c>
      <c r="T101" s="8">
        <v>1</v>
      </c>
      <c r="U101" s="8">
        <v>0</v>
      </c>
      <c r="V101" s="8">
        <v>0</v>
      </c>
      <c r="W101" s="8">
        <v>0</v>
      </c>
      <c r="X101" s="8">
        <v>0</v>
      </c>
    </row>
    <row r="102" spans="1:24">
      <c r="A102" s="80" t="s">
        <v>914</v>
      </c>
      <c r="B102" s="69" t="s">
        <v>720</v>
      </c>
      <c r="J102" s="24"/>
      <c r="K102" s="139"/>
      <c r="L102" s="139"/>
      <c r="M102" s="139"/>
      <c r="N102" s="24"/>
      <c r="O102" s="9">
        <v>10</v>
      </c>
      <c r="P102" s="9">
        <v>4</v>
      </c>
      <c r="Q102" s="9">
        <v>4</v>
      </c>
      <c r="R102" s="9">
        <v>3</v>
      </c>
      <c r="S102" s="9">
        <v>2</v>
      </c>
      <c r="T102" s="9">
        <v>2</v>
      </c>
      <c r="U102" s="9">
        <v>0</v>
      </c>
      <c r="V102" s="9">
        <v>0</v>
      </c>
      <c r="W102" s="9">
        <v>0</v>
      </c>
      <c r="X102" s="9">
        <v>0</v>
      </c>
    </row>
    <row r="103" spans="1:24">
      <c r="A103" s="81" t="s">
        <v>915</v>
      </c>
      <c r="B103" s="70" t="s">
        <v>720</v>
      </c>
      <c r="J103" s="24"/>
      <c r="K103" s="24"/>
      <c r="L103" s="24"/>
      <c r="M103" s="24"/>
      <c r="N103" s="24"/>
      <c r="O103" s="8">
        <v>11</v>
      </c>
      <c r="P103" s="8">
        <v>4</v>
      </c>
      <c r="Q103" s="8">
        <v>4</v>
      </c>
      <c r="R103" s="8">
        <v>4</v>
      </c>
      <c r="S103" s="8">
        <v>3</v>
      </c>
      <c r="T103" s="8">
        <v>3</v>
      </c>
      <c r="U103" s="8">
        <v>1</v>
      </c>
      <c r="V103" s="8">
        <v>0</v>
      </c>
      <c r="W103" s="8">
        <v>0</v>
      </c>
      <c r="X103" s="8">
        <v>0</v>
      </c>
    </row>
    <row r="104" spans="1:24">
      <c r="A104" s="80" t="s">
        <v>891</v>
      </c>
      <c r="B104" s="69" t="s">
        <v>720</v>
      </c>
      <c r="J104" s="24"/>
      <c r="K104" s="24"/>
      <c r="L104" s="24"/>
      <c r="M104" s="24"/>
      <c r="N104" s="24"/>
      <c r="O104" s="9">
        <v>12</v>
      </c>
      <c r="P104" s="9">
        <v>4</v>
      </c>
      <c r="Q104" s="9">
        <v>4</v>
      </c>
      <c r="R104" s="9">
        <v>4</v>
      </c>
      <c r="S104" s="9">
        <v>4</v>
      </c>
      <c r="T104" s="9">
        <v>4</v>
      </c>
      <c r="U104" s="9">
        <v>2</v>
      </c>
      <c r="V104" s="9">
        <v>0</v>
      </c>
      <c r="W104" s="9">
        <v>0</v>
      </c>
      <c r="X104" s="9">
        <v>0</v>
      </c>
    </row>
    <row r="105" spans="1:24">
      <c r="A105" s="81" t="s">
        <v>916</v>
      </c>
      <c r="B105" s="70" t="s">
        <v>720</v>
      </c>
      <c r="J105" s="24"/>
      <c r="K105" s="139"/>
      <c r="L105" s="139"/>
      <c r="M105" s="139"/>
      <c r="N105" s="24"/>
      <c r="O105" s="8">
        <v>13</v>
      </c>
      <c r="P105" s="8">
        <v>5</v>
      </c>
      <c r="Q105" s="8">
        <v>5</v>
      </c>
      <c r="R105" s="8">
        <v>5</v>
      </c>
      <c r="S105" s="8">
        <v>4</v>
      </c>
      <c r="T105" s="8">
        <v>4</v>
      </c>
      <c r="U105" s="8">
        <v>2</v>
      </c>
      <c r="V105" s="8">
        <v>0</v>
      </c>
      <c r="W105" s="8">
        <v>0</v>
      </c>
      <c r="X105" s="8">
        <v>0</v>
      </c>
    </row>
    <row r="106" spans="1:24">
      <c r="A106" s="80" t="s">
        <v>917</v>
      </c>
      <c r="B106" s="69" t="s">
        <v>720</v>
      </c>
      <c r="J106" s="24"/>
      <c r="K106" s="24"/>
      <c r="L106" s="24"/>
      <c r="M106" s="24"/>
      <c r="N106" s="24"/>
      <c r="O106" s="9">
        <v>14</v>
      </c>
      <c r="P106" s="9">
        <v>5</v>
      </c>
      <c r="Q106" s="9">
        <v>5</v>
      </c>
      <c r="R106" s="9">
        <v>5</v>
      </c>
      <c r="S106" s="9">
        <v>4</v>
      </c>
      <c r="T106" s="9">
        <v>4</v>
      </c>
      <c r="U106" s="9">
        <v>2</v>
      </c>
      <c r="V106" s="9">
        <v>1</v>
      </c>
      <c r="W106" s="9">
        <v>0</v>
      </c>
      <c r="X106" s="9">
        <v>0</v>
      </c>
    </row>
    <row r="107" spans="1:24">
      <c r="A107" s="81" t="s">
        <v>918</v>
      </c>
      <c r="B107" s="70" t="s">
        <v>720</v>
      </c>
      <c r="J107" s="24"/>
      <c r="K107" s="24"/>
      <c r="L107" s="24"/>
      <c r="M107" s="24"/>
      <c r="N107" s="24"/>
      <c r="O107" s="8">
        <v>15</v>
      </c>
      <c r="P107" s="8">
        <v>5</v>
      </c>
      <c r="Q107" s="8">
        <v>5</v>
      </c>
      <c r="R107" s="8">
        <v>5</v>
      </c>
      <c r="S107" s="8">
        <v>5</v>
      </c>
      <c r="T107" s="8">
        <v>5</v>
      </c>
      <c r="U107" s="8">
        <v>3</v>
      </c>
      <c r="V107" s="8">
        <v>1</v>
      </c>
      <c r="W107" s="8">
        <v>0</v>
      </c>
      <c r="X107" s="8">
        <v>0</v>
      </c>
    </row>
    <row r="108" spans="1:24">
      <c r="A108" s="80" t="s">
        <v>919</v>
      </c>
      <c r="B108" s="69" t="s">
        <v>720</v>
      </c>
      <c r="J108" s="24"/>
      <c r="K108" s="24"/>
      <c r="L108" s="24"/>
      <c r="M108" s="24"/>
      <c r="N108" s="24"/>
      <c r="O108" s="9">
        <v>16</v>
      </c>
      <c r="P108" s="9">
        <v>5</v>
      </c>
      <c r="Q108" s="9">
        <v>5</v>
      </c>
      <c r="R108" s="9">
        <v>5</v>
      </c>
      <c r="S108" s="9">
        <v>5</v>
      </c>
      <c r="T108" s="9">
        <v>5</v>
      </c>
      <c r="U108" s="9">
        <v>3</v>
      </c>
      <c r="V108" s="9">
        <v>2</v>
      </c>
      <c r="W108" s="9">
        <v>1</v>
      </c>
      <c r="X108" s="9">
        <v>0</v>
      </c>
    </row>
    <row r="109" spans="1:24">
      <c r="A109" s="81" t="s">
        <v>920</v>
      </c>
      <c r="B109" s="70" t="s">
        <v>720</v>
      </c>
      <c r="J109" s="24"/>
      <c r="K109" s="24"/>
      <c r="L109" s="24"/>
      <c r="M109" s="24"/>
      <c r="N109" s="24"/>
      <c r="O109" s="8">
        <v>17</v>
      </c>
      <c r="P109" s="8">
        <v>5</v>
      </c>
      <c r="Q109" s="8">
        <v>5</v>
      </c>
      <c r="R109" s="8">
        <v>5</v>
      </c>
      <c r="S109" s="8">
        <v>5</v>
      </c>
      <c r="T109" s="8">
        <v>5</v>
      </c>
      <c r="U109" s="8">
        <v>3</v>
      </c>
      <c r="V109" s="8">
        <v>3</v>
      </c>
      <c r="W109" s="8">
        <v>2</v>
      </c>
      <c r="X109" s="8">
        <v>0</v>
      </c>
    </row>
    <row r="110" spans="1:24">
      <c r="A110" s="80" t="s">
        <v>921</v>
      </c>
      <c r="B110" s="69" t="s">
        <v>720</v>
      </c>
      <c r="J110" s="24"/>
      <c r="K110" s="24"/>
      <c r="L110" s="24"/>
      <c r="M110" s="24"/>
      <c r="N110" s="24"/>
      <c r="O110" s="9">
        <v>18</v>
      </c>
      <c r="P110" s="9">
        <v>5</v>
      </c>
      <c r="Q110" s="9">
        <v>5</v>
      </c>
      <c r="R110" s="9">
        <v>5</v>
      </c>
      <c r="S110" s="9">
        <v>5</v>
      </c>
      <c r="T110" s="9">
        <v>5</v>
      </c>
      <c r="U110" s="9">
        <v>3</v>
      </c>
      <c r="V110" s="9">
        <v>3</v>
      </c>
      <c r="W110" s="9">
        <v>2</v>
      </c>
      <c r="X110" s="9">
        <v>1</v>
      </c>
    </row>
    <row r="111" spans="1:24">
      <c r="A111" s="81" t="s">
        <v>922</v>
      </c>
      <c r="B111" s="70" t="s">
        <v>720</v>
      </c>
      <c r="J111" s="24"/>
      <c r="K111" s="24"/>
      <c r="L111" s="24"/>
      <c r="M111" s="24"/>
      <c r="N111" s="24"/>
      <c r="O111" s="8">
        <v>19</v>
      </c>
      <c r="P111" s="8">
        <v>5</v>
      </c>
      <c r="Q111" s="8">
        <v>5</v>
      </c>
      <c r="R111" s="8">
        <v>5</v>
      </c>
      <c r="S111" s="8">
        <v>5</v>
      </c>
      <c r="T111" s="8">
        <v>5</v>
      </c>
      <c r="U111" s="8">
        <v>3</v>
      </c>
      <c r="V111" s="8">
        <v>3</v>
      </c>
      <c r="W111" s="8">
        <v>3</v>
      </c>
      <c r="X111" s="8">
        <v>1</v>
      </c>
    </row>
    <row r="112" spans="1:24">
      <c r="A112" s="80" t="s">
        <v>923</v>
      </c>
      <c r="B112" s="69" t="s">
        <v>720</v>
      </c>
      <c r="J112" s="24"/>
      <c r="K112" s="24"/>
      <c r="L112" s="24"/>
      <c r="M112" s="24"/>
      <c r="N112" s="24"/>
      <c r="O112" s="9">
        <v>20</v>
      </c>
      <c r="P112" s="9">
        <v>5</v>
      </c>
      <c r="Q112" s="9">
        <v>5</v>
      </c>
      <c r="R112" s="9">
        <v>5</v>
      </c>
      <c r="S112" s="9">
        <v>5</v>
      </c>
      <c r="T112" s="9">
        <v>5</v>
      </c>
      <c r="U112" s="9">
        <v>4</v>
      </c>
      <c r="V112" s="9">
        <v>3</v>
      </c>
      <c r="W112" s="9">
        <v>3</v>
      </c>
      <c r="X112" s="9">
        <v>2</v>
      </c>
    </row>
    <row r="113" spans="1:24">
      <c r="A113" s="81" t="s">
        <v>924</v>
      </c>
      <c r="B113" s="70" t="s">
        <v>720</v>
      </c>
    </row>
    <row r="114" spans="1:24">
      <c r="A114" s="80" t="s">
        <v>925</v>
      </c>
      <c r="B114" s="69" t="s">
        <v>720</v>
      </c>
      <c r="O114" s="409" t="s">
        <v>1415</v>
      </c>
      <c r="P114" s="409"/>
      <c r="Q114" s="409"/>
      <c r="R114" s="409"/>
      <c r="S114" s="409"/>
      <c r="T114" s="409"/>
      <c r="U114" s="409"/>
      <c r="V114" s="21"/>
      <c r="W114" s="21"/>
      <c r="X114" s="21"/>
    </row>
    <row r="115" spans="1:24">
      <c r="A115" s="81" t="s">
        <v>926</v>
      </c>
      <c r="B115" s="70" t="s">
        <v>720</v>
      </c>
      <c r="O115" s="18" t="s">
        <v>187</v>
      </c>
      <c r="P115" s="18">
        <v>1</v>
      </c>
      <c r="Q115" s="18">
        <v>2</v>
      </c>
      <c r="R115" s="18">
        <v>3</v>
      </c>
      <c r="S115" s="18">
        <v>4</v>
      </c>
      <c r="T115" s="18">
        <v>5</v>
      </c>
      <c r="U115" s="18">
        <v>6</v>
      </c>
    </row>
    <row r="116" spans="1:24">
      <c r="A116" s="80" t="s">
        <v>927</v>
      </c>
      <c r="B116" s="69" t="s">
        <v>720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</row>
    <row r="117" spans="1:24">
      <c r="A117" s="81" t="s">
        <v>928</v>
      </c>
      <c r="B117" s="70" t="s">
        <v>720</v>
      </c>
      <c r="O117" s="8">
        <v>1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</row>
    <row r="118" spans="1:24">
      <c r="A118" s="80" t="s">
        <v>929</v>
      </c>
      <c r="B118" s="69" t="s">
        <v>720</v>
      </c>
      <c r="O118" s="9">
        <v>2</v>
      </c>
      <c r="P118" s="9">
        <v>1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</row>
    <row r="119" spans="1:24">
      <c r="A119" s="81" t="s">
        <v>930</v>
      </c>
      <c r="B119" s="70" t="s">
        <v>720</v>
      </c>
      <c r="O119" s="8">
        <v>3</v>
      </c>
      <c r="P119" s="8">
        <v>2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</row>
    <row r="120" spans="1:24">
      <c r="A120" s="80" t="s">
        <v>931</v>
      </c>
      <c r="B120" s="69" t="s">
        <v>720</v>
      </c>
      <c r="O120" s="9">
        <v>4</v>
      </c>
      <c r="P120" s="9">
        <v>2</v>
      </c>
      <c r="Q120" s="9">
        <v>1</v>
      </c>
      <c r="R120" s="9">
        <v>0</v>
      </c>
      <c r="S120" s="9">
        <v>0</v>
      </c>
      <c r="T120" s="9">
        <v>0</v>
      </c>
      <c r="U120" s="9">
        <v>0</v>
      </c>
    </row>
    <row r="121" spans="1:24">
      <c r="A121" s="81" t="s">
        <v>932</v>
      </c>
      <c r="B121" s="70" t="s">
        <v>720</v>
      </c>
      <c r="O121" s="8">
        <v>5</v>
      </c>
      <c r="P121" s="8">
        <v>3</v>
      </c>
      <c r="Q121" s="8">
        <v>1</v>
      </c>
      <c r="R121" s="8">
        <v>0</v>
      </c>
      <c r="S121" s="8">
        <v>0</v>
      </c>
      <c r="T121" s="8">
        <v>0</v>
      </c>
      <c r="U121" s="8">
        <v>0</v>
      </c>
    </row>
    <row r="122" spans="1:24">
      <c r="A122" s="80" t="s">
        <v>933</v>
      </c>
      <c r="B122" s="69" t="s">
        <v>720</v>
      </c>
      <c r="O122" s="9">
        <v>6</v>
      </c>
      <c r="P122" s="9">
        <v>3</v>
      </c>
      <c r="Q122" s="9">
        <v>2</v>
      </c>
      <c r="R122" s="9">
        <v>0</v>
      </c>
      <c r="S122" s="9">
        <v>0</v>
      </c>
      <c r="T122" s="9">
        <v>0</v>
      </c>
      <c r="U122" s="9">
        <v>0</v>
      </c>
    </row>
    <row r="123" spans="1:24">
      <c r="A123" s="81" t="s">
        <v>934</v>
      </c>
      <c r="B123" s="70" t="s">
        <v>720</v>
      </c>
      <c r="O123" s="8">
        <v>7</v>
      </c>
      <c r="P123" s="8">
        <v>3</v>
      </c>
      <c r="Q123" s="8">
        <v>2</v>
      </c>
      <c r="R123" s="8">
        <v>1</v>
      </c>
      <c r="S123" s="8">
        <v>0</v>
      </c>
      <c r="T123" s="8">
        <v>0</v>
      </c>
      <c r="U123" s="8">
        <v>0</v>
      </c>
    </row>
    <row r="124" spans="1:24">
      <c r="A124" s="80" t="s">
        <v>935</v>
      </c>
      <c r="B124" s="69" t="s">
        <v>720</v>
      </c>
      <c r="O124" s="9">
        <v>8</v>
      </c>
      <c r="P124" s="9">
        <v>3</v>
      </c>
      <c r="Q124" s="9">
        <v>3</v>
      </c>
      <c r="R124" s="9">
        <v>1</v>
      </c>
      <c r="S124" s="9">
        <v>0</v>
      </c>
      <c r="T124" s="9">
        <v>0</v>
      </c>
      <c r="U124" s="9">
        <v>0</v>
      </c>
    </row>
    <row r="125" spans="1:24">
      <c r="A125" s="81" t="s">
        <v>936</v>
      </c>
      <c r="B125" s="70" t="s">
        <v>720</v>
      </c>
      <c r="O125" s="8">
        <v>9</v>
      </c>
      <c r="P125" s="8">
        <v>3</v>
      </c>
      <c r="Q125" s="8">
        <v>3</v>
      </c>
      <c r="R125" s="8">
        <v>2</v>
      </c>
      <c r="S125" s="8">
        <v>0</v>
      </c>
      <c r="T125" s="8">
        <v>0</v>
      </c>
      <c r="U125" s="8">
        <v>0</v>
      </c>
    </row>
    <row r="126" spans="1:24">
      <c r="A126" s="80" t="s">
        <v>937</v>
      </c>
      <c r="B126" s="69" t="s">
        <v>720</v>
      </c>
      <c r="O126" s="9">
        <v>10</v>
      </c>
      <c r="P126" s="9">
        <v>3</v>
      </c>
      <c r="Q126" s="9">
        <v>3</v>
      </c>
      <c r="R126" s="9">
        <v>2</v>
      </c>
      <c r="S126" s="9">
        <v>1</v>
      </c>
      <c r="T126" s="9">
        <v>0</v>
      </c>
      <c r="U126" s="9">
        <v>0</v>
      </c>
    </row>
    <row r="127" spans="1:24">
      <c r="A127" s="81" t="s">
        <v>938</v>
      </c>
      <c r="B127" s="70" t="s">
        <v>720</v>
      </c>
      <c r="O127" s="8">
        <v>11</v>
      </c>
      <c r="P127" s="8">
        <v>3</v>
      </c>
      <c r="Q127" s="8">
        <v>3</v>
      </c>
      <c r="R127" s="8">
        <v>3</v>
      </c>
      <c r="S127" s="8">
        <v>1</v>
      </c>
      <c r="T127" s="8">
        <v>0</v>
      </c>
      <c r="U127" s="8">
        <v>0</v>
      </c>
    </row>
    <row r="128" spans="1:24">
      <c r="A128" s="80" t="s">
        <v>939</v>
      </c>
      <c r="B128" s="69" t="s">
        <v>720</v>
      </c>
      <c r="O128" s="9">
        <v>12</v>
      </c>
      <c r="P128" s="9">
        <v>3</v>
      </c>
      <c r="Q128" s="9">
        <v>3</v>
      </c>
      <c r="R128" s="9">
        <v>3</v>
      </c>
      <c r="S128" s="9">
        <v>2</v>
      </c>
      <c r="T128" s="9">
        <v>0</v>
      </c>
      <c r="U128" s="9">
        <v>0</v>
      </c>
    </row>
    <row r="129" spans="1:21">
      <c r="A129" s="81" t="s">
        <v>720</v>
      </c>
      <c r="B129" s="70" t="s">
        <v>720</v>
      </c>
      <c r="O129" s="8">
        <v>13</v>
      </c>
      <c r="P129" s="8">
        <v>3</v>
      </c>
      <c r="Q129" s="8">
        <v>3</v>
      </c>
      <c r="R129" s="8">
        <v>3</v>
      </c>
      <c r="S129" s="8">
        <v>2</v>
      </c>
      <c r="T129" s="8">
        <v>1</v>
      </c>
      <c r="U129" s="8">
        <v>0</v>
      </c>
    </row>
    <row r="130" spans="1:21">
      <c r="A130" s="80" t="s">
        <v>940</v>
      </c>
      <c r="B130" s="69" t="s">
        <v>721</v>
      </c>
      <c r="F130" s="411" t="s">
        <v>3466</v>
      </c>
      <c r="G130" s="411"/>
      <c r="H130" s="411"/>
      <c r="O130" s="9">
        <v>14</v>
      </c>
      <c r="P130" s="9">
        <v>3</v>
      </c>
      <c r="Q130" s="9">
        <v>3</v>
      </c>
      <c r="R130" s="9">
        <v>3</v>
      </c>
      <c r="S130" s="9">
        <v>3</v>
      </c>
      <c r="T130" s="9">
        <v>1</v>
      </c>
      <c r="U130" s="9">
        <v>0</v>
      </c>
    </row>
    <row r="131" spans="1:21">
      <c r="A131" s="81" t="s">
        <v>941</v>
      </c>
      <c r="B131" s="70" t="s">
        <v>721</v>
      </c>
      <c r="F131" s="173">
        <f>IF(Classe="",0,1)</f>
        <v>0</v>
      </c>
      <c r="G131" s="173">
        <f>IF(Classe2="",0,1)</f>
        <v>0</v>
      </c>
      <c r="H131" s="173">
        <f>IF(Classe3="",0,1)</f>
        <v>0</v>
      </c>
      <c r="O131" s="8">
        <v>15</v>
      </c>
      <c r="P131" s="8">
        <v>3</v>
      </c>
      <c r="Q131" s="8">
        <v>3</v>
      </c>
      <c r="R131" s="8">
        <v>3</v>
      </c>
      <c r="S131" s="8">
        <v>3</v>
      </c>
      <c r="T131" s="8">
        <v>2</v>
      </c>
      <c r="U131" s="8">
        <v>0</v>
      </c>
    </row>
    <row r="132" spans="1:21">
      <c r="A132" s="80" t="s">
        <v>942</v>
      </c>
      <c r="B132" s="69" t="s">
        <v>721</v>
      </c>
      <c r="F132" t="s">
        <v>3467</v>
      </c>
      <c r="G132" s="182">
        <f>IF(SUM(F131:H131)=0,1,SUM(F131:H131))</f>
        <v>1</v>
      </c>
      <c r="O132" s="9">
        <v>16</v>
      </c>
      <c r="P132" s="9">
        <v>4</v>
      </c>
      <c r="Q132" s="9">
        <v>3</v>
      </c>
      <c r="R132" s="9">
        <v>3</v>
      </c>
      <c r="S132" s="9">
        <v>3</v>
      </c>
      <c r="T132" s="9">
        <v>2</v>
      </c>
      <c r="U132" s="9">
        <v>1</v>
      </c>
    </row>
    <row r="133" spans="1:21">
      <c r="A133" s="81" t="s">
        <v>943</v>
      </c>
      <c r="B133" s="70" t="s">
        <v>721</v>
      </c>
      <c r="O133" s="8">
        <v>17</v>
      </c>
      <c r="P133" s="8">
        <v>4</v>
      </c>
      <c r="Q133" s="8">
        <v>4</v>
      </c>
      <c r="R133" s="8">
        <v>3</v>
      </c>
      <c r="S133" s="8">
        <v>3</v>
      </c>
      <c r="T133" s="8">
        <v>3</v>
      </c>
      <c r="U133" s="8">
        <v>1</v>
      </c>
    </row>
    <row r="134" spans="1:21">
      <c r="A134" s="80" t="s">
        <v>944</v>
      </c>
      <c r="B134" s="69" t="s">
        <v>721</v>
      </c>
      <c r="O134" s="9">
        <v>18</v>
      </c>
      <c r="P134" s="9">
        <v>4</v>
      </c>
      <c r="Q134" s="9">
        <v>4</v>
      </c>
      <c r="R134" s="9">
        <v>4</v>
      </c>
      <c r="S134" s="9">
        <v>3</v>
      </c>
      <c r="T134" s="9">
        <v>3</v>
      </c>
      <c r="U134" s="9">
        <v>2</v>
      </c>
    </row>
    <row r="135" spans="1:21">
      <c r="A135" s="81" t="s">
        <v>945</v>
      </c>
      <c r="B135" s="70" t="s">
        <v>721</v>
      </c>
      <c r="O135" s="8">
        <v>19</v>
      </c>
      <c r="P135" s="8">
        <v>4</v>
      </c>
      <c r="Q135" s="8">
        <v>4</v>
      </c>
      <c r="R135" s="8">
        <v>4</v>
      </c>
      <c r="S135" s="8">
        <v>4</v>
      </c>
      <c r="T135" s="8">
        <v>3</v>
      </c>
      <c r="U135" s="8">
        <v>2</v>
      </c>
    </row>
    <row r="136" spans="1:21">
      <c r="A136" s="80" t="s">
        <v>946</v>
      </c>
      <c r="B136" s="69" t="s">
        <v>721</v>
      </c>
      <c r="O136" s="9">
        <v>20</v>
      </c>
      <c r="P136" s="9">
        <v>4</v>
      </c>
      <c r="Q136" s="9">
        <v>4</v>
      </c>
      <c r="R136" s="9">
        <v>4</v>
      </c>
      <c r="S136" s="9">
        <v>4</v>
      </c>
      <c r="T136" s="9">
        <v>4</v>
      </c>
      <c r="U136" s="9">
        <v>3</v>
      </c>
    </row>
    <row r="137" spans="1:21">
      <c r="A137" s="81" t="s">
        <v>947</v>
      </c>
      <c r="B137" s="70" t="s">
        <v>721</v>
      </c>
    </row>
    <row r="138" spans="1:21">
      <c r="A138" s="80" t="s">
        <v>948</v>
      </c>
      <c r="B138" s="69" t="s">
        <v>721</v>
      </c>
    </row>
    <row r="139" spans="1:21">
      <c r="A139" s="81" t="s">
        <v>949</v>
      </c>
      <c r="B139" s="70" t="s">
        <v>721</v>
      </c>
      <c r="D139" s="410" t="s">
        <v>1431</v>
      </c>
      <c r="E139" s="410"/>
      <c r="F139" s="410"/>
      <c r="G139" s="410"/>
      <c r="H139" s="410"/>
      <c r="I139" s="410"/>
      <c r="J139" s="410"/>
      <c r="K139" s="410"/>
      <c r="L139" s="410"/>
      <c r="M139" s="410"/>
      <c r="N139" s="410"/>
      <c r="O139" s="410"/>
      <c r="P139" s="410"/>
      <c r="Q139" s="410"/>
      <c r="R139" s="410"/>
      <c r="S139" s="410"/>
      <c r="T139" s="410"/>
    </row>
    <row r="140" spans="1:21">
      <c r="A140" s="80" t="s">
        <v>950</v>
      </c>
      <c r="B140" s="69" t="s">
        <v>721</v>
      </c>
      <c r="D140" s="20" t="s">
        <v>156</v>
      </c>
      <c r="E140" s="20" t="s">
        <v>731</v>
      </c>
      <c r="F140" s="20" t="s">
        <v>1434</v>
      </c>
      <c r="G140" s="20" t="s">
        <v>2347</v>
      </c>
      <c r="H140" s="20" t="s">
        <v>2348</v>
      </c>
      <c r="I140" s="20" t="s">
        <v>2349</v>
      </c>
      <c r="J140" s="20" t="s">
        <v>2350</v>
      </c>
      <c r="K140" s="20" t="s">
        <v>2351</v>
      </c>
      <c r="L140" s="20" t="s">
        <v>2352</v>
      </c>
      <c r="M140" s="20" t="s">
        <v>2353</v>
      </c>
      <c r="N140" s="20" t="s">
        <v>2354</v>
      </c>
      <c r="O140" s="20" t="s">
        <v>2355</v>
      </c>
      <c r="P140" s="20" t="s">
        <v>2356</v>
      </c>
      <c r="Q140" s="20" t="s">
        <v>2357</v>
      </c>
      <c r="R140" s="20" t="s">
        <v>2358</v>
      </c>
      <c r="S140" s="20" t="s">
        <v>3522</v>
      </c>
      <c r="T140" s="20" t="s">
        <v>3909</v>
      </c>
    </row>
    <row r="141" spans="1:21">
      <c r="A141" s="81" t="s">
        <v>951</v>
      </c>
      <c r="B141" s="70" t="s">
        <v>721</v>
      </c>
      <c r="D141" s="1" t="s">
        <v>29</v>
      </c>
      <c r="E141" s="1" t="s">
        <v>164</v>
      </c>
      <c r="F141" s="1" t="s">
        <v>1103</v>
      </c>
      <c r="G141" s="1">
        <f>IF(Classe=D141,level,0)</f>
        <v>0</v>
      </c>
      <c r="H141" s="1">
        <f>IF(Classe2=D141,levelc2,0)</f>
        <v>0</v>
      </c>
      <c r="I141" s="1">
        <f>IF(Classe3=D141,levelc3,0)</f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 t="s">
        <v>3534</v>
      </c>
      <c r="T141" s="1" t="b">
        <f t="shared" ref="T141:T154" si="2">IF(OR(Classe=$D141,Classe2=$D141,Classe3=$D141),TRUE,FALSE)</f>
        <v>0</v>
      </c>
    </row>
    <row r="142" spans="1:21">
      <c r="A142" s="80" t="s">
        <v>952</v>
      </c>
      <c r="B142" s="69" t="s">
        <v>721</v>
      </c>
      <c r="D142" s="10" t="s">
        <v>55</v>
      </c>
      <c r="E142" s="10" t="s">
        <v>164</v>
      </c>
      <c r="F142" s="10" t="s">
        <v>224</v>
      </c>
      <c r="G142" s="10">
        <f>IF(Classe=D142,level,0)</f>
        <v>0</v>
      </c>
      <c r="H142" s="10">
        <f>IF(Classe2=D142,levelc2,0)</f>
        <v>0</v>
      </c>
      <c r="I142" s="10">
        <f>IF(Classe3=D142,levelc3,0)</f>
        <v>0</v>
      </c>
      <c r="J142" s="10">
        <f>VLOOKUP(MAX(G142:I142),Niv_prieres_pal,2,FALSE)</f>
        <v>0</v>
      </c>
      <c r="K142" s="10">
        <f>VLOOKUP(MAX(G142:I142),Niv_prieres_pal,3,FALSE)</f>
        <v>0</v>
      </c>
      <c r="L142" s="10">
        <f>VLOOKUP(MAX(G142:I142),Niv_prieres_pal,4,FALSE)</f>
        <v>0</v>
      </c>
      <c r="M142" s="10">
        <f>VLOOKUP(MAX(G142:I142),Niv_prieres_pal,5,FALSE)</f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 t="s">
        <v>3534</v>
      </c>
      <c r="T142" s="10" t="b">
        <f t="shared" si="2"/>
        <v>0</v>
      </c>
    </row>
    <row r="143" spans="1:21">
      <c r="A143" s="81" t="s">
        <v>953</v>
      </c>
      <c r="B143" s="70" t="s">
        <v>721</v>
      </c>
      <c r="D143" s="1" t="s">
        <v>169</v>
      </c>
      <c r="E143" s="1" t="s">
        <v>164</v>
      </c>
      <c r="F143" s="1" t="s">
        <v>224</v>
      </c>
      <c r="G143" s="1">
        <f>IF(Classe=D143,level,0)</f>
        <v>0</v>
      </c>
      <c r="H143" s="1">
        <f>IF(Classe2=D143,levelc2,0)</f>
        <v>0</v>
      </c>
      <c r="I143" s="1">
        <f>IF(Classe3=D143,levelc3,0)</f>
        <v>0</v>
      </c>
      <c r="J143" s="1">
        <f>VLOOKUP(MAX(G143:I143),Niv_prieres_rod,2,FALSE)</f>
        <v>0</v>
      </c>
      <c r="K143" s="1">
        <f>VLOOKUP(MAX(G143:I143),Niv_prieres_rod,3,FALSE)</f>
        <v>0</v>
      </c>
      <c r="L143" s="1">
        <f>VLOOKUP(MAX(G143:I143),Niv_prieres_rod,4,FALSE)</f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 t="s">
        <v>3534</v>
      </c>
      <c r="T143" s="1" t="b">
        <f t="shared" si="2"/>
        <v>0</v>
      </c>
    </row>
    <row r="144" spans="1:21">
      <c r="A144" s="80" t="s">
        <v>954</v>
      </c>
      <c r="B144" s="69" t="s">
        <v>721</v>
      </c>
      <c r="D144" s="10" t="s">
        <v>2377</v>
      </c>
      <c r="E144" s="10" t="s">
        <v>164</v>
      </c>
      <c r="F144" s="10" t="s">
        <v>1103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 t="s">
        <v>3534</v>
      </c>
      <c r="T144" s="10" t="b">
        <f t="shared" si="2"/>
        <v>0</v>
      </c>
    </row>
    <row r="145" spans="1:20">
      <c r="A145" s="81" t="s">
        <v>955</v>
      </c>
      <c r="B145" s="70" t="s">
        <v>721</v>
      </c>
      <c r="D145" s="1" t="s">
        <v>57</v>
      </c>
      <c r="E145" s="1" t="s">
        <v>165</v>
      </c>
      <c r="F145" s="1" t="s">
        <v>3438</v>
      </c>
      <c r="G145" s="1">
        <f>IF(Classe=D145,level,0)</f>
        <v>0</v>
      </c>
      <c r="H145" s="1">
        <f>IF(Classe2=D145,levelc2,0)</f>
        <v>0</v>
      </c>
      <c r="I145" s="1">
        <f>IF(Classe3=D145,levelc3,0)</f>
        <v>0</v>
      </c>
      <c r="J145" s="1">
        <f>VLOOKUP(MAX(G145:I145),Niv_sorts,2,FALSE)</f>
        <v>0</v>
      </c>
      <c r="K145" s="1">
        <f>VLOOKUP(MAX(G145:I145),Niv_sorts,3,FALSE)</f>
        <v>0</v>
      </c>
      <c r="L145" s="1">
        <f>VLOOKUP(MAX(G145:I145),Niv_sorts,4,FALSE)</f>
        <v>0</v>
      </c>
      <c r="M145" s="1">
        <f>VLOOKUP(MAX(G145:I145),Niv_sorts,5,FALSE)</f>
        <v>0</v>
      </c>
      <c r="N145" s="1">
        <f>VLOOKUP(MAX(G145:I145),Niv_sorts,6,FALSE)</f>
        <v>0</v>
      </c>
      <c r="O145" s="1">
        <f>VLOOKUP(MAX(G145:I145),Niv_sorts,7,FALSE)</f>
        <v>0</v>
      </c>
      <c r="P145" s="1">
        <f>VLOOKUP(MAX(G145:I145),Niv_sorts,8,FALSE)</f>
        <v>0</v>
      </c>
      <c r="Q145" s="1">
        <f>VLOOKUP(MAX(G145:I145),Niv_sorts,9,FALSE)</f>
        <v>0</v>
      </c>
      <c r="R145" s="1">
        <f>VLOOKUP(MAX(G145:I145),Niv_sorts,10,FALSE)</f>
        <v>0</v>
      </c>
      <c r="S145" s="1" t="s">
        <v>223</v>
      </c>
      <c r="T145" s="1" t="b">
        <f t="shared" si="2"/>
        <v>0</v>
      </c>
    </row>
    <row r="146" spans="1:20">
      <c r="A146" s="80" t="s">
        <v>956</v>
      </c>
      <c r="B146" s="69" t="s">
        <v>721</v>
      </c>
      <c r="D146" s="10" t="s">
        <v>170</v>
      </c>
      <c r="E146" s="10" t="s">
        <v>166</v>
      </c>
      <c r="F146" s="10" t="s">
        <v>224</v>
      </c>
      <c r="G146" s="10">
        <f>IF(Classe=D146,level,0)</f>
        <v>0</v>
      </c>
      <c r="H146" s="10">
        <f>IF(Classe2=D146,levelc2,0)</f>
        <v>0</v>
      </c>
      <c r="I146" s="10">
        <f>IF(Classe3=D146,levelc3,0)</f>
        <v>0</v>
      </c>
      <c r="J146" s="10">
        <f>VLOOKUP(MAX(G146:I146),Niv_prieres,2,FALSE)</f>
        <v>0</v>
      </c>
      <c r="K146" s="10">
        <f>VLOOKUP(MAX(G146:I146),Niv_prieres,3,FALSE)</f>
        <v>0</v>
      </c>
      <c r="L146" s="10">
        <f>VLOOKUP(MAX(G146:I146),Niv_prieres,4,FALSE)</f>
        <v>0</v>
      </c>
      <c r="M146" s="10">
        <f>VLOOKUP(MAX(G146:I146),Niv_prieres,5,FALSE)</f>
        <v>0</v>
      </c>
      <c r="N146" s="10">
        <f>VLOOKUP(MAX(G146:I146),Niv_prieres,6,FALSE)</f>
        <v>0</v>
      </c>
      <c r="O146" s="10">
        <f>VLOOKUP(MAX(G146:I146),Niv_prieres,7,FALSE)</f>
        <v>0</v>
      </c>
      <c r="P146" s="10">
        <f>VLOOKUP(MAX(G146:I146),Niv_prieres,8,FALSE)</f>
        <v>0</v>
      </c>
      <c r="Q146" s="10">
        <v>0</v>
      </c>
      <c r="R146" s="10">
        <v>0</v>
      </c>
      <c r="S146" s="10" t="s">
        <v>157</v>
      </c>
      <c r="T146" s="10" t="b">
        <f t="shared" si="2"/>
        <v>0</v>
      </c>
    </row>
    <row r="147" spans="1:20">
      <c r="A147" s="81" t="s">
        <v>957</v>
      </c>
      <c r="B147" s="70" t="s">
        <v>721</v>
      </c>
      <c r="D147" s="1" t="s">
        <v>150</v>
      </c>
      <c r="E147" s="1" t="s">
        <v>166</v>
      </c>
      <c r="F147" s="1" t="s">
        <v>224</v>
      </c>
      <c r="G147" s="1">
        <f>IF(Classe=D147,level,0)</f>
        <v>0</v>
      </c>
      <c r="H147" s="1">
        <f>IF(Classe2=D147,levelc2,0)</f>
        <v>0</v>
      </c>
      <c r="I147" s="1">
        <f>IF(Classe3=D147,levelc3,0)</f>
        <v>0</v>
      </c>
      <c r="J147" s="1">
        <f>VLOOKUP(MAX(G147:I147),Niv_prieres,2,FALSE)</f>
        <v>0</v>
      </c>
      <c r="K147" s="1">
        <f>VLOOKUP(MAX(G147:I147),Niv_prieres,3,FALSE)</f>
        <v>0</v>
      </c>
      <c r="L147" s="1">
        <f>VLOOKUP(MAX(G147:I147),Niv_prieres,4,FALSE)</f>
        <v>0</v>
      </c>
      <c r="M147" s="1">
        <f>VLOOKUP(MAX(G147:I147),Niv_prieres,5,FALSE)</f>
        <v>0</v>
      </c>
      <c r="N147" s="1">
        <f>VLOOKUP(MAX(G147:I147),Niv_prieres,6,FALSE)</f>
        <v>0</v>
      </c>
      <c r="O147" s="1">
        <f>VLOOKUP(MAX(G147:I147),Niv_prieres,7,FALSE)</f>
        <v>0</v>
      </c>
      <c r="P147" s="1">
        <f>VLOOKUP(MAX(G147:I147),Niv_prieres,8,FALSE)</f>
        <v>0</v>
      </c>
      <c r="Q147" s="1">
        <v>0</v>
      </c>
      <c r="R147" s="1">
        <v>0</v>
      </c>
      <c r="S147" s="1" t="s">
        <v>157</v>
      </c>
      <c r="T147" s="1" t="b">
        <f t="shared" si="2"/>
        <v>0</v>
      </c>
    </row>
    <row r="148" spans="1:20">
      <c r="A148" s="80" t="s">
        <v>958</v>
      </c>
      <c r="B148" s="69" t="s">
        <v>721</v>
      </c>
      <c r="D148" s="10" t="s">
        <v>3911</v>
      </c>
      <c r="E148" s="10" t="s">
        <v>166</v>
      </c>
      <c r="F148" s="10" t="s">
        <v>224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 t="s">
        <v>157</v>
      </c>
      <c r="T148" s="10" t="b">
        <f t="shared" si="2"/>
        <v>0</v>
      </c>
    </row>
    <row r="149" spans="1:20">
      <c r="A149" s="81" t="s">
        <v>959</v>
      </c>
      <c r="B149" s="70" t="s">
        <v>721</v>
      </c>
      <c r="D149" s="1" t="s">
        <v>192</v>
      </c>
      <c r="E149" s="1" t="s">
        <v>193</v>
      </c>
      <c r="F149" s="1" t="s">
        <v>1103</v>
      </c>
      <c r="G149" s="1">
        <f>IF(Classe=D149,level,0)</f>
        <v>0</v>
      </c>
      <c r="H149" s="1">
        <f>IF(Classe2=D149,levelc2,0)</f>
        <v>0</v>
      </c>
      <c r="I149" s="1">
        <f>IF(Classe3=D149,levelc3,0)</f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 t="s">
        <v>192</v>
      </c>
      <c r="T149" s="1" t="b">
        <f t="shared" si="2"/>
        <v>0</v>
      </c>
    </row>
    <row r="150" spans="1:20">
      <c r="A150" s="80" t="s">
        <v>960</v>
      </c>
      <c r="B150" s="69" t="s">
        <v>721</v>
      </c>
      <c r="D150" s="10" t="s">
        <v>64</v>
      </c>
      <c r="E150" s="10" t="s">
        <v>167</v>
      </c>
      <c r="F150" s="10" t="s">
        <v>1103</v>
      </c>
      <c r="G150" s="10">
        <f>IF(Classe=D150,level,0)</f>
        <v>0</v>
      </c>
      <c r="H150" s="10">
        <f>IF(Classe2=D150,levelc2,0)</f>
        <v>0</v>
      </c>
      <c r="I150" s="10">
        <f>IF(Classe3=D150,levelc3,0)</f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 t="s">
        <v>191</v>
      </c>
      <c r="T150" s="10" t="b">
        <f t="shared" si="2"/>
        <v>0</v>
      </c>
    </row>
    <row r="151" spans="1:20">
      <c r="A151" s="81" t="s">
        <v>961</v>
      </c>
      <c r="B151" s="70" t="s">
        <v>721</v>
      </c>
      <c r="D151" s="1" t="s">
        <v>65</v>
      </c>
      <c r="E151" s="1" t="s">
        <v>167</v>
      </c>
      <c r="F151" s="1" t="s">
        <v>3438</v>
      </c>
      <c r="G151" s="1">
        <f>IF(Classe=D151,level,0)</f>
        <v>0</v>
      </c>
      <c r="H151" s="1">
        <f>IF(Classe2=D151,levelc2,0)</f>
        <v>0</v>
      </c>
      <c r="I151" s="1">
        <f>IF(Classe3=D151,levelc3,0)</f>
        <v>0</v>
      </c>
      <c r="J151" s="1">
        <f>VLOOKUP(MAX(G151:I151),Niv_sorts_barde,2,FALSE)</f>
        <v>0</v>
      </c>
      <c r="K151" s="1">
        <f>VLOOKUP(MAX(G151:I151),Niv_sorts_barde,3,FALSE)</f>
        <v>0</v>
      </c>
      <c r="L151" s="1">
        <f>VLOOKUP(MAX(G151:I151),Niv_sorts_barde,4,FALSE)</f>
        <v>0</v>
      </c>
      <c r="M151" s="1">
        <f>VLOOKUP(MAX(G151:I151),Niv_sorts_barde,5,FALSE)</f>
        <v>0</v>
      </c>
      <c r="N151" s="1">
        <f>VLOOKUP(MAX(G151:I151),Niv_sorts_barde,6,FALSE)</f>
        <v>0</v>
      </c>
      <c r="O151" s="1">
        <f>VLOOKUP(MAX(G151:I151),Niv_sorts_barde,7,FALSE)</f>
        <v>0</v>
      </c>
      <c r="P151" s="1">
        <v>0</v>
      </c>
      <c r="Q151" s="1">
        <v>0</v>
      </c>
      <c r="R151" s="1">
        <v>0</v>
      </c>
      <c r="S151" s="1" t="s">
        <v>191</v>
      </c>
      <c r="T151" s="1" t="b">
        <f t="shared" si="2"/>
        <v>0</v>
      </c>
    </row>
    <row r="152" spans="1:20">
      <c r="A152" s="80" t="s">
        <v>962</v>
      </c>
      <c r="B152" s="69" t="s">
        <v>721</v>
      </c>
      <c r="D152" s="10" t="s">
        <v>3910</v>
      </c>
      <c r="E152" s="10" t="s">
        <v>167</v>
      </c>
      <c r="F152" s="10" t="s">
        <v>1103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 t="s">
        <v>191</v>
      </c>
      <c r="T152" s="10" t="b">
        <f t="shared" si="2"/>
        <v>0</v>
      </c>
    </row>
    <row r="153" spans="1:20">
      <c r="A153" s="81" t="s">
        <v>963</v>
      </c>
      <c r="B153" s="70" t="s">
        <v>721</v>
      </c>
      <c r="D153" s="1" t="s">
        <v>158</v>
      </c>
      <c r="E153" s="1" t="s">
        <v>164</v>
      </c>
      <c r="F153" s="1" t="s">
        <v>1103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 t="s">
        <v>158</v>
      </c>
      <c r="T153" s="1" t="b">
        <f t="shared" si="2"/>
        <v>0</v>
      </c>
    </row>
    <row r="154" spans="1:20">
      <c r="A154" s="80" t="s">
        <v>721</v>
      </c>
      <c r="B154" s="69" t="s">
        <v>721</v>
      </c>
      <c r="D154" s="10">
        <v>0</v>
      </c>
      <c r="E154" s="10" t="s">
        <v>3261</v>
      </c>
      <c r="F154" s="10" t="s">
        <v>1103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 t="b">
        <f t="shared" si="2"/>
        <v>1</v>
      </c>
    </row>
    <row r="155" spans="1:20">
      <c r="A155" s="81" t="s">
        <v>964</v>
      </c>
      <c r="B155" s="70" t="s">
        <v>719</v>
      </c>
    </row>
    <row r="156" spans="1:20">
      <c r="A156" s="80" t="s">
        <v>965</v>
      </c>
      <c r="B156" s="69" t="s">
        <v>719</v>
      </c>
    </row>
    <row r="157" spans="1:20">
      <c r="A157" s="81" t="s">
        <v>966</v>
      </c>
      <c r="B157" s="70" t="s">
        <v>719</v>
      </c>
    </row>
    <row r="158" spans="1:20">
      <c r="A158" s="80" t="s">
        <v>967</v>
      </c>
      <c r="B158" s="69" t="s">
        <v>719</v>
      </c>
    </row>
    <row r="159" spans="1:20">
      <c r="A159" s="81" t="s">
        <v>968</v>
      </c>
      <c r="B159" s="70" t="s">
        <v>719</v>
      </c>
    </row>
    <row r="160" spans="1:20">
      <c r="A160" s="80" t="s">
        <v>969</v>
      </c>
      <c r="B160" s="69" t="s">
        <v>719</v>
      </c>
    </row>
    <row r="161" spans="1:9">
      <c r="A161" s="81" t="s">
        <v>970</v>
      </c>
      <c r="B161" s="70" t="s">
        <v>719</v>
      </c>
      <c r="H161">
        <f>VLOOKUP(Classe,Class_mod,16,FALSE)</f>
        <v>0</v>
      </c>
      <c r="I161" t="b">
        <f>IF(H161="Combattant",TRUE,FALSE)</f>
        <v>0</v>
      </c>
    </row>
    <row r="162" spans="1:9">
      <c r="A162" s="80" t="s">
        <v>971</v>
      </c>
      <c r="B162" s="69" t="s">
        <v>719</v>
      </c>
      <c r="H162">
        <f>VLOOKUP(Classe2,Class_mod,16,FALSE)</f>
        <v>0</v>
      </c>
      <c r="I162" t="b">
        <f>IF(H162="Combattant",TRUE,FALSE)</f>
        <v>0</v>
      </c>
    </row>
    <row r="163" spans="1:9">
      <c r="A163" s="81" t="s">
        <v>972</v>
      </c>
      <c r="B163" s="70" t="s">
        <v>719</v>
      </c>
      <c r="H163">
        <f>VLOOKUP(Classe3,Class_mod,16,FALSE)</f>
        <v>0</v>
      </c>
      <c r="I163" t="b">
        <f>IF(H163="Combattant",TRUE,FALSE)</f>
        <v>0</v>
      </c>
    </row>
    <row r="164" spans="1:9">
      <c r="A164" s="80" t="s">
        <v>973</v>
      </c>
      <c r="B164" s="69" t="s">
        <v>719</v>
      </c>
      <c r="H164" t="s">
        <v>3884</v>
      </c>
      <c r="I164" t="b">
        <f>IF(OR(I161=TRUE,I162=TRUE,I163=TRUE),TRUE,FALSE)</f>
        <v>0</v>
      </c>
    </row>
    <row r="165" spans="1:9">
      <c r="A165" s="81" t="s">
        <v>974</v>
      </c>
      <c r="B165" s="70" t="s">
        <v>719</v>
      </c>
    </row>
    <row r="166" spans="1:9">
      <c r="A166" s="80" t="s">
        <v>975</v>
      </c>
      <c r="B166" s="69" t="s">
        <v>719</v>
      </c>
    </row>
    <row r="167" spans="1:9">
      <c r="A167" s="81" t="s">
        <v>976</v>
      </c>
      <c r="B167" s="70" t="s">
        <v>719</v>
      </c>
    </row>
    <row r="168" spans="1:9">
      <c r="A168" s="80" t="s">
        <v>977</v>
      </c>
      <c r="B168" s="69" t="s">
        <v>719</v>
      </c>
    </row>
    <row r="169" spans="1:9">
      <c r="A169" s="81" t="s">
        <v>719</v>
      </c>
      <c r="B169" s="70" t="s">
        <v>719</v>
      </c>
    </row>
    <row r="170" spans="1:9">
      <c r="A170" s="80" t="s">
        <v>978</v>
      </c>
      <c r="B170" s="69" t="s">
        <v>722</v>
      </c>
    </row>
    <row r="171" spans="1:9">
      <c r="A171" s="81" t="s">
        <v>979</v>
      </c>
      <c r="B171" s="70" t="s">
        <v>722</v>
      </c>
    </row>
    <row r="172" spans="1:9">
      <c r="A172" s="80" t="s">
        <v>980</v>
      </c>
      <c r="B172" s="69" t="s">
        <v>722</v>
      </c>
    </row>
    <row r="173" spans="1:9">
      <c r="A173" s="81" t="s">
        <v>981</v>
      </c>
      <c r="B173" s="70" t="s">
        <v>722</v>
      </c>
    </row>
    <row r="174" spans="1:9">
      <c r="A174" s="80" t="s">
        <v>982</v>
      </c>
      <c r="B174" s="69" t="s">
        <v>722</v>
      </c>
    </row>
    <row r="175" spans="1:9">
      <c r="A175" s="81" t="s">
        <v>983</v>
      </c>
      <c r="B175" s="70" t="s">
        <v>722</v>
      </c>
    </row>
    <row r="176" spans="1:9">
      <c r="A176" s="80" t="s">
        <v>984</v>
      </c>
      <c r="B176" s="69" t="s">
        <v>722</v>
      </c>
    </row>
    <row r="177" spans="1:2">
      <c r="A177" s="81" t="s">
        <v>985</v>
      </c>
      <c r="B177" s="70" t="s">
        <v>722</v>
      </c>
    </row>
    <row r="178" spans="1:2">
      <c r="A178" s="80" t="s">
        <v>722</v>
      </c>
      <c r="B178" s="69" t="s">
        <v>722</v>
      </c>
    </row>
    <row r="179" spans="1:2">
      <c r="A179" s="81" t="s">
        <v>723</v>
      </c>
      <c r="B179" s="70" t="s">
        <v>723</v>
      </c>
    </row>
    <row r="180" spans="1:2">
      <c r="A180" s="80" t="str">
        <f>"19"</f>
        <v>19</v>
      </c>
      <c r="B180" s="80" t="str">
        <f>"19"</f>
        <v>19</v>
      </c>
    </row>
    <row r="181" spans="1:2">
      <c r="A181" s="81" t="str">
        <f>"20"</f>
        <v>20</v>
      </c>
      <c r="B181" s="81" t="str">
        <f>"20"</f>
        <v>20</v>
      </c>
    </row>
    <row r="182" spans="1:2">
      <c r="A182" s="80" t="str">
        <f>"21"</f>
        <v>21</v>
      </c>
      <c r="B182" s="80" t="str">
        <f>"21"</f>
        <v>21</v>
      </c>
    </row>
    <row r="183" spans="1:2">
      <c r="A183" s="81" t="str">
        <f>"22"</f>
        <v>22</v>
      </c>
      <c r="B183" s="81" t="str">
        <f>"22"</f>
        <v>22</v>
      </c>
    </row>
    <row r="184" spans="1:2">
      <c r="A184" s="80" t="str">
        <f>"23"</f>
        <v>23</v>
      </c>
      <c r="B184" s="80" t="str">
        <f>"23"</f>
        <v>23</v>
      </c>
    </row>
    <row r="185" spans="1:2">
      <c r="A185" s="81" t="str">
        <f>"24"</f>
        <v>24</v>
      </c>
      <c r="B185" s="81" t="str">
        <f>"24"</f>
        <v>24</v>
      </c>
    </row>
    <row r="186" spans="1:2">
      <c r="A186" s="80" t="str">
        <f>"25"</f>
        <v>25</v>
      </c>
      <c r="B186" s="80" t="str">
        <f>"25"</f>
        <v>25</v>
      </c>
    </row>
  </sheetData>
  <mergeCells count="16">
    <mergeCell ref="T28:X28"/>
    <mergeCell ref="A61:B61"/>
    <mergeCell ref="X61:AB61"/>
    <mergeCell ref="E96:G96"/>
    <mergeCell ref="L1:O1"/>
    <mergeCell ref="A1:G1"/>
    <mergeCell ref="N28:S28"/>
    <mergeCell ref="H1:K1"/>
    <mergeCell ref="A28:M28"/>
    <mergeCell ref="AD61:AG61"/>
    <mergeCell ref="D61:K61"/>
    <mergeCell ref="O61:V61"/>
    <mergeCell ref="O90:X90"/>
    <mergeCell ref="D139:T139"/>
    <mergeCell ref="F130:H130"/>
    <mergeCell ref="O114:U1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116"/>
  <sheetViews>
    <sheetView topLeftCell="A3" zoomScale="85" zoomScaleNormal="85" workbookViewId="0">
      <selection activeCell="R18" sqref="R18"/>
    </sheetView>
  </sheetViews>
  <sheetFormatPr defaultRowHeight="15"/>
  <cols>
    <col min="7" max="7" width="10.5703125" bestFit="1" customWidth="1"/>
  </cols>
  <sheetData>
    <row r="1" spans="1:24">
      <c r="A1" s="410" t="s">
        <v>94</v>
      </c>
      <c r="B1" s="410"/>
      <c r="C1" s="410"/>
      <c r="D1" s="410"/>
      <c r="E1" s="410"/>
      <c r="F1" s="410"/>
      <c r="G1" t="b">
        <f>IF(Classe="Niveau 0",TRUE,FALSE)</f>
        <v>0</v>
      </c>
      <c r="H1" t="b">
        <f>IF(level&gt;0,TRUE,FALSE)</f>
        <v>0</v>
      </c>
      <c r="I1" t="b">
        <f>IF(level&lt;20,TRUE,FALSE)</f>
        <v>1</v>
      </c>
      <c r="J1" t="b">
        <f>IF(AND(G1=TRUE,H1=TRUE),TRUE,FALSE)</f>
        <v>0</v>
      </c>
      <c r="K1" t="b">
        <f>IF(AND(G1=TRUE,H1=FALSE),TRUE,IF(AND(G1=FALSE,H1=TRUE),TRUE,IF(AND(G1=FALSE,H1=FALSE),FALSE,IF(I1=TRUE,TRUE,FALSE))))</f>
        <v>0</v>
      </c>
    </row>
    <row r="2" spans="1:24">
      <c r="A2" s="1">
        <v>1</v>
      </c>
      <c r="B2" s="1">
        <v>10</v>
      </c>
      <c r="C2" s="1">
        <v>14</v>
      </c>
      <c r="D2" s="1">
        <v>13</v>
      </c>
      <c r="E2" s="1">
        <v>16</v>
      </c>
      <c r="F2" s="1">
        <v>15</v>
      </c>
    </row>
    <row r="3" spans="1:24">
      <c r="A3" s="10">
        <v>2</v>
      </c>
      <c r="B3" s="10">
        <v>10</v>
      </c>
      <c r="C3" s="10">
        <v>14</v>
      </c>
      <c r="D3" s="10">
        <v>13</v>
      </c>
      <c r="E3" s="10">
        <v>16</v>
      </c>
      <c r="F3" s="10">
        <v>15</v>
      </c>
    </row>
    <row r="4" spans="1:24">
      <c r="A4" s="1">
        <v>3</v>
      </c>
      <c r="B4" s="1">
        <v>10</v>
      </c>
      <c r="C4" s="1">
        <v>14</v>
      </c>
      <c r="D4" s="1">
        <v>13</v>
      </c>
      <c r="E4" s="1">
        <v>16</v>
      </c>
      <c r="F4" s="1">
        <v>15</v>
      </c>
      <c r="H4" t="s">
        <v>98</v>
      </c>
      <c r="J4">
        <f>IF(Race="Nain",VLOOKUP('Feuille 1'!E12,ST_bon_nains,2,FALSE),0)</f>
        <v>0</v>
      </c>
    </row>
    <row r="5" spans="1:24">
      <c r="A5" s="10">
        <v>4</v>
      </c>
      <c r="B5" s="10">
        <v>9</v>
      </c>
      <c r="C5" s="10">
        <v>13</v>
      </c>
      <c r="D5" s="10">
        <v>12</v>
      </c>
      <c r="E5" s="10">
        <v>15</v>
      </c>
      <c r="F5" s="10">
        <v>14</v>
      </c>
      <c r="G5" t="s">
        <v>136</v>
      </c>
      <c r="H5" s="378" t="s">
        <v>48</v>
      </c>
      <c r="I5" s="378"/>
      <c r="J5" s="15" t="s">
        <v>99</v>
      </c>
      <c r="K5" s="15" t="s">
        <v>100</v>
      </c>
      <c r="L5" s="27" t="s">
        <v>192</v>
      </c>
      <c r="N5" s="2" t="s">
        <v>138</v>
      </c>
    </row>
    <row r="6" spans="1:24">
      <c r="A6" s="1">
        <v>5</v>
      </c>
      <c r="B6" s="1">
        <v>9</v>
      </c>
      <c r="C6" s="1">
        <v>13</v>
      </c>
      <c r="D6" s="1">
        <v>12</v>
      </c>
      <c r="E6" s="1">
        <v>15</v>
      </c>
      <c r="F6" s="1">
        <v>14</v>
      </c>
      <c r="H6" s="3" t="s">
        <v>49</v>
      </c>
      <c r="I6" s="2">
        <f ca="1">MIN(I15,I21,K15)</f>
        <v>20</v>
      </c>
      <c r="J6" s="15">
        <f>J4</f>
        <v>0</v>
      </c>
      <c r="K6" s="15">
        <f>IF(Classe="Paladin",2,0)</f>
        <v>0</v>
      </c>
      <c r="L6" s="28">
        <v>0</v>
      </c>
      <c r="N6" s="3">
        <f ca="1">IF(SUM(J6:L6)=0,I6,I6&amp;" "&amp;"("&amp;I6-SUM(J6:L6)&amp;")")</f>
        <v>20</v>
      </c>
    </row>
    <row r="7" spans="1:24">
      <c r="A7" s="10">
        <v>6</v>
      </c>
      <c r="B7" s="10">
        <v>9</v>
      </c>
      <c r="C7" s="10">
        <v>13</v>
      </c>
      <c r="D7" s="10">
        <v>12</v>
      </c>
      <c r="E7" s="10">
        <v>15</v>
      </c>
      <c r="F7" s="10">
        <v>14</v>
      </c>
      <c r="H7" s="3" t="s">
        <v>50</v>
      </c>
      <c r="I7" s="2">
        <f ca="1">MIN(I16,I22,K16)</f>
        <v>20</v>
      </c>
      <c r="J7" s="15">
        <f>J4</f>
        <v>0</v>
      </c>
      <c r="K7" s="15">
        <f>IF(Classe="Paladin",2,0)</f>
        <v>0</v>
      </c>
      <c r="L7" s="28">
        <v>0</v>
      </c>
      <c r="N7" s="82">
        <f ca="1">IF(SUM(J7:L7)=0,I7,I7&amp;" "&amp;"("&amp;I7-SUM(J7:L7)&amp;")")</f>
        <v>20</v>
      </c>
    </row>
    <row r="8" spans="1:24">
      <c r="A8" s="1">
        <v>7</v>
      </c>
      <c r="B8" s="1">
        <v>7</v>
      </c>
      <c r="C8" s="1">
        <v>11</v>
      </c>
      <c r="D8" s="1">
        <v>10</v>
      </c>
      <c r="E8" s="1">
        <v>13</v>
      </c>
      <c r="F8" s="1">
        <v>12</v>
      </c>
      <c r="H8" s="3" t="s">
        <v>51</v>
      </c>
      <c r="I8" s="2">
        <f ca="1">MIN(I17,I23,K17)</f>
        <v>20</v>
      </c>
      <c r="J8" s="15">
        <v>0</v>
      </c>
      <c r="K8" s="15">
        <f>IF(Classe="Paladin",2,0)</f>
        <v>0</v>
      </c>
      <c r="L8" s="28">
        <v>0</v>
      </c>
      <c r="N8" s="82">
        <f ca="1">IF(SUM(J8:L8)=0,I8,I8&amp;" "&amp;"("&amp;I8-SUM(J8:L8)&amp;")")</f>
        <v>20</v>
      </c>
    </row>
    <row r="9" spans="1:24">
      <c r="A9" s="10">
        <v>8</v>
      </c>
      <c r="B9" s="10">
        <v>7</v>
      </c>
      <c r="C9" s="10">
        <v>11</v>
      </c>
      <c r="D9" s="10">
        <v>10</v>
      </c>
      <c r="E9" s="10">
        <v>13</v>
      </c>
      <c r="F9" s="10">
        <v>12</v>
      </c>
      <c r="H9" s="3" t="s">
        <v>52</v>
      </c>
      <c r="I9" s="2">
        <f ca="1">MIN(I18,I24,K18)</f>
        <v>20</v>
      </c>
      <c r="J9" s="15">
        <v>0</v>
      </c>
      <c r="K9" s="15">
        <f>IF(Classe="Paladin",2,0)</f>
        <v>0</v>
      </c>
      <c r="L9" s="28">
        <v>0</v>
      </c>
      <c r="N9" s="82">
        <f ca="1">IF(SUM(J9:L9)=0,I9,I9&amp;" "&amp;"("&amp;I9-SUM(J9:L9)&amp;")")</f>
        <v>20</v>
      </c>
    </row>
    <row r="10" spans="1:24">
      <c r="A10" s="1">
        <v>9</v>
      </c>
      <c r="B10" s="1">
        <v>7</v>
      </c>
      <c r="C10" s="1">
        <v>11</v>
      </c>
      <c r="D10" s="1">
        <v>10</v>
      </c>
      <c r="E10" s="1">
        <v>13</v>
      </c>
      <c r="F10" s="1">
        <v>12</v>
      </c>
      <c r="H10" s="3" t="s">
        <v>53</v>
      </c>
      <c r="I10" s="2">
        <f ca="1">MIN(I19,I25,K19)</f>
        <v>20</v>
      </c>
      <c r="J10" s="15">
        <f>J4</f>
        <v>0</v>
      </c>
      <c r="K10" s="15">
        <f>IF(Classe="Paladin",2,0)</f>
        <v>0</v>
      </c>
      <c r="L10" s="28">
        <f>IF(OR(Classe="Psioniste",Classe2="Psioniste",Classe3="Psioniste"),2,0)</f>
        <v>0</v>
      </c>
      <c r="N10" s="82">
        <f ca="1">IF(SUM(J10:L10)=0,I10,I10&amp;" "&amp;"("&amp;I10-SUM(J10:L10)&amp;")")</f>
        <v>20</v>
      </c>
      <c r="X10" t="s">
        <v>3989</v>
      </c>
    </row>
    <row r="11" spans="1:24">
      <c r="A11" s="10">
        <v>10</v>
      </c>
      <c r="B11" s="10">
        <v>6</v>
      </c>
      <c r="C11" s="10">
        <v>10</v>
      </c>
      <c r="D11" s="10">
        <v>9</v>
      </c>
      <c r="E11" s="10">
        <v>12</v>
      </c>
      <c r="F11" s="10">
        <v>11</v>
      </c>
      <c r="G11" t="s">
        <v>137</v>
      </c>
      <c r="H11" s="25"/>
      <c r="I11" s="25"/>
      <c r="J11" s="24"/>
      <c r="W11">
        <v>1</v>
      </c>
      <c r="X11" t="s">
        <v>187</v>
      </c>
    </row>
    <row r="12" spans="1:24">
      <c r="A12" s="1">
        <v>11</v>
      </c>
      <c r="B12" s="1">
        <v>6</v>
      </c>
      <c r="C12" s="1">
        <v>10</v>
      </c>
      <c r="D12" s="1">
        <v>9</v>
      </c>
      <c r="E12" s="1">
        <v>12</v>
      </c>
      <c r="F12" s="1">
        <v>11</v>
      </c>
      <c r="H12" t="str">
        <f>VLOOKUP(Classe,Class_mod,2,FALSE)</f>
        <v>ST_Rien</v>
      </c>
      <c r="I12" t="str">
        <f>VLOOKUP(Classe2,Class_mod,2,FALSE)</f>
        <v>ST_Rien</v>
      </c>
      <c r="J12" t="str">
        <f>VLOOKUP(Classe3,Class_mod,2,FALSE)</f>
        <v>ST_Rien</v>
      </c>
      <c r="W12">
        <v>2</v>
      </c>
      <c r="X12" t="s">
        <v>3990</v>
      </c>
    </row>
    <row r="13" spans="1:24">
      <c r="A13" s="10">
        <v>12</v>
      </c>
      <c r="B13" s="10">
        <v>6</v>
      </c>
      <c r="C13" s="10">
        <v>10</v>
      </c>
      <c r="D13" s="10">
        <v>9</v>
      </c>
      <c r="E13" s="10">
        <v>12</v>
      </c>
      <c r="F13" s="10">
        <v>11</v>
      </c>
      <c r="W13">
        <v>3</v>
      </c>
      <c r="X13" t="s">
        <v>3990</v>
      </c>
    </row>
    <row r="14" spans="1:24">
      <c r="A14" s="1">
        <v>13</v>
      </c>
      <c r="B14" s="1">
        <v>5</v>
      </c>
      <c r="C14" s="1">
        <v>9</v>
      </c>
      <c r="D14" s="1">
        <v>8</v>
      </c>
      <c r="E14" s="1">
        <v>11</v>
      </c>
      <c r="F14" s="1">
        <v>10</v>
      </c>
      <c r="H14" s="414" t="s">
        <v>48</v>
      </c>
      <c r="I14" s="415"/>
      <c r="J14" s="414" t="s">
        <v>48</v>
      </c>
      <c r="K14" s="415"/>
      <c r="Q14" t="s">
        <v>254</v>
      </c>
      <c r="W14">
        <v>4</v>
      </c>
      <c r="X14" t="s">
        <v>3990</v>
      </c>
    </row>
    <row r="15" spans="1:24">
      <c r="A15" s="10">
        <v>14</v>
      </c>
      <c r="B15" s="10">
        <v>5</v>
      </c>
      <c r="C15" s="10">
        <v>9</v>
      </c>
      <c r="D15" s="10">
        <v>8</v>
      </c>
      <c r="E15" s="10">
        <v>11</v>
      </c>
      <c r="F15" s="10">
        <v>10</v>
      </c>
      <c r="H15" s="172" t="s">
        <v>49</v>
      </c>
      <c r="I15" s="2">
        <f ca="1">IF(OR(level&lt;=0,level&gt;20),20,VLOOKUP(level,INDIRECT(VLOOKUP(Classe,Class_mod,2,FALSE)),2,FALSE))</f>
        <v>20</v>
      </c>
      <c r="J15" s="172" t="s">
        <v>49</v>
      </c>
      <c r="K15" s="2" t="str">
        <f ca="1">IF(OR(levelc3&lt;=0,levelc3&gt;20),"",VLOOKUP(levelc3,INDIRECT(VLOOKUP(Classe3,Class_mod,2,FALSE)),2,FALSE))</f>
        <v/>
      </c>
      <c r="Q15" t="s">
        <v>94</v>
      </c>
      <c r="R15" t="b">
        <f>IF(OR(Classe="Clerc",Classe2="Clerc",Classe3="Clerc",Classe="Paladin",Classe2="Paladin",Classe3="Paladin",Classe="Rôdeur",Classe2="Rôdeur",Classe3="Rôdeur",Classe="Druide",Classe2="Druide",Classe3="Druide"),TRUE,FALSE)</f>
        <v>0</v>
      </c>
      <c r="T15" t="str">
        <f>TRIM(CONCATENATE(S16,IF(S18&gt;1,"/",""),S17))</f>
        <v/>
      </c>
      <c r="W15">
        <v>5</v>
      </c>
      <c r="X15" t="s">
        <v>187</v>
      </c>
    </row>
    <row r="16" spans="1:24">
      <c r="A16" s="1">
        <v>15</v>
      </c>
      <c r="B16" s="1">
        <v>5</v>
      </c>
      <c r="C16" s="1">
        <v>9</v>
      </c>
      <c r="D16" s="1">
        <v>8</v>
      </c>
      <c r="E16" s="1">
        <v>11</v>
      </c>
      <c r="F16" s="1">
        <v>10</v>
      </c>
      <c r="H16" s="172" t="s">
        <v>50</v>
      </c>
      <c r="I16" s="2">
        <f ca="1">IF(OR(level&lt;=0,level&gt;20),20,VLOOKUP(level,INDIRECT(VLOOKUP(Classe,Class_mod,2,FALSE)),3,FALSE))</f>
        <v>20</v>
      </c>
      <c r="J16" s="172" t="s">
        <v>50</v>
      </c>
      <c r="K16" s="2" t="str">
        <f ca="1">IF(OR(levelc3&lt;=0,levelc3&gt;20),"",VLOOKUP(levelc3,INDIRECT(VLOOKUP(Classe3,Class_mod,2,FALSE)),3,FALSE))</f>
        <v/>
      </c>
      <c r="Q16" t="s">
        <v>57</v>
      </c>
      <c r="R16" t="b">
        <f>IF(OR(Classe="Mage",Classe2="Mage",Classe3="Mage",Classe="Barde",Classe2="Barde",Classe3="Barde"),TRUE,FALSE)</f>
        <v>0</v>
      </c>
      <c r="S16" t="str">
        <f>IF(OR(R15=TRUE,R16=TRUE),"Niveau","")</f>
        <v/>
      </c>
      <c r="W16">
        <v>6</v>
      </c>
      <c r="X16" t="s">
        <v>187</v>
      </c>
    </row>
    <row r="17" spans="1:24">
      <c r="A17" s="10">
        <v>16</v>
      </c>
      <c r="B17" s="10">
        <v>4</v>
      </c>
      <c r="C17" s="10">
        <v>8</v>
      </c>
      <c r="D17" s="10">
        <v>7</v>
      </c>
      <c r="E17" s="10">
        <v>10</v>
      </c>
      <c r="F17" s="10">
        <v>9</v>
      </c>
      <c r="H17" s="172" t="s">
        <v>51</v>
      </c>
      <c r="I17" s="2">
        <f ca="1">IF(OR(level&lt;=0,level&gt;20),20,VLOOKUP(level,INDIRECT(VLOOKUP(Classe,Class_mod,2,FALSE)),4,FALSE))</f>
        <v>20</v>
      </c>
      <c r="J17" s="172" t="s">
        <v>51</v>
      </c>
      <c r="K17" s="2" t="str">
        <f ca="1">IF(OR(levelc3&lt;=0,levelc3&gt;20),"",VLOOKUP(levelc3,INDIRECT(VLOOKUP(Classe3,Class_mod,2,FALSE)),4,FALSE))</f>
        <v/>
      </c>
      <c r="Q17" t="s">
        <v>192</v>
      </c>
      <c r="R17" t="b">
        <f>IF(OR(Classe="Psioniste",Classe2="Psioniste",Classe3="Psioniste",),TRUE,FALSE)</f>
        <v>0</v>
      </c>
      <c r="S17" t="str">
        <f>IF(R17=TRUE,"Score+Coût","")</f>
        <v/>
      </c>
      <c r="W17">
        <v>7</v>
      </c>
      <c r="X17" t="s">
        <v>1130</v>
      </c>
    </row>
    <row r="18" spans="1:24">
      <c r="A18" s="1">
        <v>17</v>
      </c>
      <c r="B18" s="1">
        <v>4</v>
      </c>
      <c r="C18" s="1">
        <v>8</v>
      </c>
      <c r="D18" s="1">
        <v>7</v>
      </c>
      <c r="E18" s="1">
        <v>10</v>
      </c>
      <c r="F18" s="1">
        <v>9</v>
      </c>
      <c r="H18" s="172" t="s">
        <v>52</v>
      </c>
      <c r="I18" s="2">
        <f ca="1">IF(OR(level&lt;=0,level&gt;20),20,VLOOKUP(level,INDIRECT(VLOOKUP(Classe,Class_mod,2,FALSE)),5,FALSE))</f>
        <v>20</v>
      </c>
      <c r="J18" s="172" t="s">
        <v>52</v>
      </c>
      <c r="K18" s="2" t="str">
        <f ca="1">IF(OR(levelc3&lt;=0,levelc3&gt;20),"",VLOOKUP(levelc3,INDIRECT(VLOOKUP(Classe3,Class_mod,2,FALSE)),5,FALSE))</f>
        <v/>
      </c>
      <c r="Q18" t="s">
        <v>993</v>
      </c>
      <c r="R18">
        <f>IF(AND(R15=TRUE,R16=TRUE,R17=TRUE),1,IF(AND(R15=TRUE,R16=TRUE),2,IF(AND(R16=TRUE,R17=TRUE),3,IF(AND(R15=TRUE,R17=TRUE),4,IF(R15=TRUE,5,IF(R16=TRUE,6,IF(R17=TRUE,7,0)))))))</f>
        <v>0</v>
      </c>
      <c r="S18">
        <f>2-COUNTBLANK(S16:S17)</f>
        <v>0</v>
      </c>
      <c r="W18">
        <v>8</v>
      </c>
      <c r="X18" t="s">
        <v>3990</v>
      </c>
    </row>
    <row r="19" spans="1:24">
      <c r="A19" s="10">
        <v>18</v>
      </c>
      <c r="B19" s="10">
        <v>4</v>
      </c>
      <c r="C19" s="10">
        <v>8</v>
      </c>
      <c r="D19" s="10">
        <v>7</v>
      </c>
      <c r="E19" s="10">
        <v>10</v>
      </c>
      <c r="F19" s="10">
        <v>9</v>
      </c>
      <c r="H19" s="172" t="s">
        <v>53</v>
      </c>
      <c r="I19" s="2">
        <f ca="1">IF(OR(level&lt;=0,level&gt;20),20,VLOOKUP(level,INDIRECT(VLOOKUP(Classe,Class_mod,2,FALSE)),6,FALSE))</f>
        <v>20</v>
      </c>
      <c r="J19" s="172" t="s">
        <v>53</v>
      </c>
      <c r="K19" s="2" t="str">
        <f ca="1">IF(OR(levelc3&lt;=0,levelc3&gt;20),"",VLOOKUP(levelc3,INDIRECT(VLOOKUP(Classe3,Class_mod,2,FALSE)),6,FALSE))</f>
        <v/>
      </c>
    </row>
    <row r="20" spans="1:24">
      <c r="A20" s="1">
        <v>19</v>
      </c>
      <c r="B20" s="1">
        <v>2</v>
      </c>
      <c r="C20" s="1">
        <v>6</v>
      </c>
      <c r="D20" s="1">
        <v>5</v>
      </c>
      <c r="E20" s="1">
        <v>8</v>
      </c>
      <c r="F20" s="1">
        <v>7</v>
      </c>
      <c r="H20" s="414" t="s">
        <v>48</v>
      </c>
      <c r="I20" s="415"/>
      <c r="Q20" t="s">
        <v>3981</v>
      </c>
      <c r="R20" t="s">
        <v>3982</v>
      </c>
      <c r="S20" t="s">
        <v>3983</v>
      </c>
      <c r="T20" t="s">
        <v>3984</v>
      </c>
      <c r="U20" t="s">
        <v>3985</v>
      </c>
      <c r="V20" t="s">
        <v>3986</v>
      </c>
      <c r="W20" t="s">
        <v>3987</v>
      </c>
      <c r="X20" t="s">
        <v>3988</v>
      </c>
    </row>
    <row r="21" spans="1:24">
      <c r="A21" s="10">
        <v>20</v>
      </c>
      <c r="B21" s="10">
        <v>2</v>
      </c>
      <c r="C21" s="10">
        <v>6</v>
      </c>
      <c r="D21" s="10">
        <v>5</v>
      </c>
      <c r="E21" s="10">
        <v>8</v>
      </c>
      <c r="F21" s="10">
        <v>7</v>
      </c>
      <c r="H21" s="172" t="s">
        <v>49</v>
      </c>
      <c r="I21" s="2" t="str">
        <f ca="1">IF(OR(levelc2&lt;=0,levelc2&gt;20),"",VLOOKUP(levelc2,INDIRECT(VLOOKUP(Classe2,Class_mod,2,FALSE)),2,FALSE))</f>
        <v/>
      </c>
      <c r="Q21" t="b">
        <f>IF(AND($R15=TRUE,$R16=TRUE,$R17=FALSE),TRUE,FALSE)</f>
        <v>0</v>
      </c>
      <c r="R21" t="b">
        <f>IF(AND($R15=TRUE,$R17=TRUE,$R16=FALSE),TRUE,FALSE)</f>
        <v>0</v>
      </c>
      <c r="S21" t="b">
        <f>IF(AND($R16=TRUE,$R17=TRUE,$R15=FALSE),TRUE,FALSE)</f>
        <v>0</v>
      </c>
      <c r="T21" t="b">
        <f>IF(AND($R16=TRUE,$R17=TRUE,$R15=TRUE),TRUE,FALSE)</f>
        <v>0</v>
      </c>
      <c r="U21" t="b">
        <f>IF(AND($R16=TRUE,$R17=FALSE,$R15=FALSE),TRUE,FALSE)</f>
        <v>0</v>
      </c>
      <c r="V21" t="b">
        <f>IF(AND($R16=FALSE,$R17=FALSE,$R15=TRUE),TRUE,FALSE)</f>
        <v>0</v>
      </c>
      <c r="W21" t="b">
        <f>IF(AND($R16=FALSE,$R17=TRUE,$R15=FALSE),TRUE,FALSE)</f>
        <v>0</v>
      </c>
      <c r="X21" t="b">
        <f>IF(AND($R16=FALSE,$R17=FALSE,$R15=FALSE),TRUE,FALSE)</f>
        <v>1</v>
      </c>
    </row>
    <row r="22" spans="1:24">
      <c r="A22" s="1">
        <v>21</v>
      </c>
      <c r="B22" s="1">
        <v>2</v>
      </c>
      <c r="C22" s="1">
        <v>6</v>
      </c>
      <c r="D22" s="1">
        <v>5</v>
      </c>
      <c r="E22" s="1">
        <v>8</v>
      </c>
      <c r="F22" s="1">
        <v>7</v>
      </c>
      <c r="H22" s="172" t="s">
        <v>50</v>
      </c>
      <c r="I22" s="2" t="str">
        <f ca="1">IF(OR(levelc2&lt;=0,levelc2&gt;20),"",VLOOKUP(levelc2,INDIRECT(VLOOKUP(Classe2,Class_mod,2,FALSE)),3,FALSE))</f>
        <v/>
      </c>
      <c r="Q22">
        <v>1</v>
      </c>
      <c r="R22">
        <v>2</v>
      </c>
      <c r="S22">
        <v>3</v>
      </c>
      <c r="T22">
        <v>4</v>
      </c>
      <c r="U22">
        <v>5</v>
      </c>
      <c r="V22">
        <v>6</v>
      </c>
      <c r="W22">
        <v>7</v>
      </c>
      <c r="X22">
        <v>8</v>
      </c>
    </row>
    <row r="23" spans="1:24">
      <c r="A23" s="410" t="s">
        <v>95</v>
      </c>
      <c r="B23" s="410"/>
      <c r="C23" s="410"/>
      <c r="D23" s="410"/>
      <c r="E23" s="410"/>
      <c r="F23" s="410"/>
      <c r="H23" s="172" t="s">
        <v>51</v>
      </c>
      <c r="I23" s="2" t="str">
        <f ca="1">IF(OR(levelc2&lt;=0,levelc2&gt;20),"",VLOOKUP(levelc2,INDIRECT(VLOOKUP(Classe2,Class_mod,2,FALSE)),4,FALSE))</f>
        <v/>
      </c>
    </row>
    <row r="24" spans="1:24">
      <c r="A24" s="1">
        <v>1</v>
      </c>
      <c r="B24" s="1">
        <v>13</v>
      </c>
      <c r="C24" s="1">
        <v>14</v>
      </c>
      <c r="D24" s="1">
        <v>12</v>
      </c>
      <c r="E24" s="1">
        <v>16</v>
      </c>
      <c r="F24" s="1">
        <v>15</v>
      </c>
      <c r="H24" s="172" t="s">
        <v>52</v>
      </c>
      <c r="I24" s="2" t="str">
        <f ca="1">IF(OR(levelc2&lt;=0,levelc2&gt;20),"",VLOOKUP(levelc2,INDIRECT(VLOOKUP(Classe2,Class_mod,2,FALSE)),5,FALSE))</f>
        <v/>
      </c>
    </row>
    <row r="25" spans="1:24">
      <c r="A25" s="10">
        <v>2</v>
      </c>
      <c r="B25" s="10">
        <v>13</v>
      </c>
      <c r="C25" s="10">
        <v>14</v>
      </c>
      <c r="D25" s="10">
        <v>12</v>
      </c>
      <c r="E25" s="10">
        <v>16</v>
      </c>
      <c r="F25" s="10">
        <v>15</v>
      </c>
      <c r="H25" s="172" t="s">
        <v>53</v>
      </c>
      <c r="I25" s="2" t="str">
        <f ca="1">IF(OR(levelc2&lt;=0,levelc2&gt;20),"",VLOOKUP(levelc2,INDIRECT(VLOOKUP(Classe2,Class_mod,2,FALSE)),6,FALSE))</f>
        <v/>
      </c>
      <c r="Q25" s="411" t="s">
        <v>860</v>
      </c>
      <c r="R25" s="411"/>
      <c r="S25" s="411"/>
    </row>
    <row r="26" spans="1:24">
      <c r="A26" s="1">
        <v>3</v>
      </c>
      <c r="B26" s="1">
        <v>13</v>
      </c>
      <c r="C26" s="1">
        <v>14</v>
      </c>
      <c r="D26" s="1">
        <v>12</v>
      </c>
      <c r="E26" s="1">
        <v>16</v>
      </c>
      <c r="F26" s="1">
        <v>15</v>
      </c>
      <c r="Q26" s="15">
        <f>IF(Classe="Clerc",level,IF(Classe="Paladin",IF(level&lt;1,0,level-2),0))</f>
        <v>0</v>
      </c>
      <c r="R26" s="15">
        <f>IF(Classe2="Clerc",levelc2,IF(Classe2="Paladin",IF(levelc2&lt;1,0,levelc2-2),0))</f>
        <v>0</v>
      </c>
      <c r="S26" s="15">
        <f>IF(Classe3="Clerc",levelc3,IF(Classe3="Paladin",IF(levelc3&lt;1,0,levelc3-2),0))</f>
        <v>0</v>
      </c>
    </row>
    <row r="27" spans="1:24">
      <c r="A27" s="10">
        <v>4</v>
      </c>
      <c r="B27" s="10">
        <v>13</v>
      </c>
      <c r="C27" s="10">
        <v>14</v>
      </c>
      <c r="D27" s="10">
        <v>12</v>
      </c>
      <c r="E27" s="10">
        <v>16</v>
      </c>
      <c r="F27" s="10">
        <v>15</v>
      </c>
      <c r="R27" s="15">
        <f>IF(MAX(Q26:S26)+3&gt;17,17,MAX(Q26:S26)+3)</f>
        <v>3</v>
      </c>
    </row>
    <row r="28" spans="1:24">
      <c r="A28" s="1">
        <v>5</v>
      </c>
      <c r="B28" s="1">
        <v>12</v>
      </c>
      <c r="C28" s="1">
        <v>12</v>
      </c>
      <c r="D28" s="1">
        <v>11</v>
      </c>
      <c r="E28" s="1">
        <v>15</v>
      </c>
      <c r="F28" s="1">
        <v>13</v>
      </c>
    </row>
    <row r="29" spans="1:24">
      <c r="A29" s="10">
        <v>6</v>
      </c>
      <c r="B29" s="10">
        <v>12</v>
      </c>
      <c r="C29" s="10">
        <v>12</v>
      </c>
      <c r="D29" s="10">
        <v>11</v>
      </c>
      <c r="E29" s="10">
        <v>15</v>
      </c>
      <c r="F29" s="10">
        <v>13</v>
      </c>
      <c r="H29" s="338" t="s">
        <v>858</v>
      </c>
      <c r="I29" s="417"/>
      <c r="J29" s="417"/>
      <c r="K29" s="417"/>
      <c r="L29" s="417"/>
      <c r="M29" s="417"/>
      <c r="N29" s="417"/>
      <c r="O29" s="417"/>
      <c r="P29" s="417"/>
      <c r="Q29" s="417"/>
      <c r="R29" s="417"/>
      <c r="S29" s="417"/>
      <c r="T29" s="417"/>
      <c r="U29" s="417"/>
      <c r="V29" s="417"/>
      <c r="W29" s="417"/>
      <c r="X29" s="417"/>
    </row>
    <row r="30" spans="1:24">
      <c r="A30" s="1">
        <v>7</v>
      </c>
      <c r="B30" s="1">
        <v>12</v>
      </c>
      <c r="C30" s="1">
        <v>12</v>
      </c>
      <c r="D30" s="1">
        <v>11</v>
      </c>
      <c r="E30" s="1">
        <v>15</v>
      </c>
      <c r="F30" s="1">
        <v>13</v>
      </c>
      <c r="H30" s="253" t="s">
        <v>859</v>
      </c>
      <c r="I30" s="253"/>
      <c r="J30" s="36">
        <v>0</v>
      </c>
      <c r="K30" s="36">
        <v>1</v>
      </c>
      <c r="L30" s="36">
        <v>2</v>
      </c>
      <c r="M30" s="36">
        <v>3</v>
      </c>
      <c r="N30" s="36">
        <v>4</v>
      </c>
      <c r="O30" s="36">
        <v>5</v>
      </c>
      <c r="P30" s="36">
        <v>6</v>
      </c>
      <c r="Q30" s="36">
        <v>7</v>
      </c>
      <c r="R30" s="36">
        <v>8</v>
      </c>
      <c r="S30" s="36">
        <v>9</v>
      </c>
      <c r="T30" s="36">
        <v>10</v>
      </c>
      <c r="U30" s="36">
        <v>11</v>
      </c>
      <c r="V30" s="36">
        <v>12</v>
      </c>
      <c r="W30" s="36">
        <v>13</v>
      </c>
      <c r="X30" s="36">
        <v>14</v>
      </c>
    </row>
    <row r="31" spans="1:24">
      <c r="A31" s="10">
        <v>8</v>
      </c>
      <c r="B31" s="10">
        <v>12</v>
      </c>
      <c r="C31" s="10">
        <v>12</v>
      </c>
      <c r="D31" s="10">
        <v>11</v>
      </c>
      <c r="E31" s="10">
        <v>15</v>
      </c>
      <c r="F31" s="10">
        <v>13</v>
      </c>
      <c r="H31" s="252" t="s">
        <v>258</v>
      </c>
      <c r="I31" s="252"/>
      <c r="J31" s="68" t="s">
        <v>0</v>
      </c>
      <c r="K31" s="68">
        <f>IF(Campagne="Ravenloft",13,10)</f>
        <v>10</v>
      </c>
      <c r="L31" s="28">
        <f>IF(Campagne="Ravenloft",10,7)</f>
        <v>7</v>
      </c>
      <c r="M31" s="28">
        <f>IF(Campagne="Ravenloft",7,4)</f>
        <v>4</v>
      </c>
      <c r="N31" s="28" t="str">
        <f>IF(Campagne="Ravenloft",4,"R")</f>
        <v>R</v>
      </c>
      <c r="O31" s="28" t="str">
        <f>IF(Campagne="Ravenloft",1,"R")</f>
        <v>R</v>
      </c>
      <c r="P31" s="28" t="str">
        <f t="shared" ref="P31:X31" si="0">IF(Campagne="Ravenloft",1,"D")</f>
        <v>D</v>
      </c>
      <c r="Q31" s="28" t="str">
        <f t="shared" si="0"/>
        <v>D</v>
      </c>
      <c r="R31" s="28" t="str">
        <f t="shared" si="0"/>
        <v>D</v>
      </c>
      <c r="S31" s="28" t="str">
        <f t="shared" si="0"/>
        <v>D</v>
      </c>
      <c r="T31" s="28" t="str">
        <f t="shared" si="0"/>
        <v>D</v>
      </c>
      <c r="U31" s="28" t="str">
        <f t="shared" si="0"/>
        <v>D</v>
      </c>
      <c r="V31" s="28" t="str">
        <f t="shared" si="0"/>
        <v>D</v>
      </c>
      <c r="W31" s="28" t="str">
        <f t="shared" si="0"/>
        <v>D</v>
      </c>
      <c r="X31" s="28" t="str">
        <f t="shared" si="0"/>
        <v>D</v>
      </c>
    </row>
    <row r="32" spans="1:24">
      <c r="A32" s="1">
        <v>9</v>
      </c>
      <c r="B32" s="1">
        <v>11</v>
      </c>
      <c r="C32" s="1">
        <v>10</v>
      </c>
      <c r="D32" s="1">
        <v>10</v>
      </c>
      <c r="E32" s="1">
        <v>14</v>
      </c>
      <c r="F32" s="1">
        <v>11</v>
      </c>
      <c r="H32" s="252" t="s">
        <v>259</v>
      </c>
      <c r="I32" s="252"/>
      <c r="J32" s="68" t="s">
        <v>0</v>
      </c>
      <c r="K32" s="68">
        <f>IF(Campagne="Ravenloft",16,13)</f>
        <v>13</v>
      </c>
      <c r="L32" s="79">
        <f>IF(Campagne="Ravenloft",13,10)</f>
        <v>10</v>
      </c>
      <c r="M32" s="28">
        <f>IF(Campagne="Ravenloft",10,7)</f>
        <v>7</v>
      </c>
      <c r="N32" s="28">
        <f>IF(Campagne="Ravenloft",7,4)</f>
        <v>4</v>
      </c>
      <c r="O32" s="28" t="str">
        <f>IF(Campagne="Ravenloft",4,"R")</f>
        <v>R</v>
      </c>
      <c r="P32" s="28" t="str">
        <f>IF(Campagne="Ravenloft",1,"R")</f>
        <v>R</v>
      </c>
      <c r="Q32" s="28" t="str">
        <f t="shared" ref="Q32:X32" si="1">IF(Campagne="Ravenloft",1,"D")</f>
        <v>D</v>
      </c>
      <c r="R32" s="28" t="str">
        <f t="shared" si="1"/>
        <v>D</v>
      </c>
      <c r="S32" s="28" t="str">
        <f t="shared" si="1"/>
        <v>D</v>
      </c>
      <c r="T32" s="28" t="str">
        <f t="shared" si="1"/>
        <v>D</v>
      </c>
      <c r="U32" s="28" t="str">
        <f t="shared" si="1"/>
        <v>D</v>
      </c>
      <c r="V32" s="28" t="str">
        <f t="shared" si="1"/>
        <v>D</v>
      </c>
      <c r="W32" s="28" t="str">
        <f t="shared" si="1"/>
        <v>D</v>
      </c>
      <c r="X32" s="28" t="str">
        <f t="shared" si="1"/>
        <v>D</v>
      </c>
    </row>
    <row r="33" spans="1:24">
      <c r="A33" s="10">
        <v>10</v>
      </c>
      <c r="B33" s="10">
        <v>11</v>
      </c>
      <c r="C33" s="10">
        <v>10</v>
      </c>
      <c r="D33" s="10">
        <v>10</v>
      </c>
      <c r="E33" s="10">
        <v>14</v>
      </c>
      <c r="F33" s="10">
        <v>11</v>
      </c>
      <c r="H33" s="252" t="s">
        <v>260</v>
      </c>
      <c r="I33" s="252"/>
      <c r="J33" s="68" t="s">
        <v>0</v>
      </c>
      <c r="K33" s="68">
        <f>IF(Campagne="Ravenloft",19,16)</f>
        <v>16</v>
      </c>
      <c r="L33" s="79">
        <f>IF(Campagne="Ravenloft",16,13)</f>
        <v>13</v>
      </c>
      <c r="M33" s="79">
        <f>IF(Campagne="Ravenloft",13,10)</f>
        <v>10</v>
      </c>
      <c r="N33" s="28">
        <f>IF(Campagne="Ravenloft",10,7)</f>
        <v>7</v>
      </c>
      <c r="O33" s="28">
        <f>IF(Campagne="Ravenloft",7,4)</f>
        <v>4</v>
      </c>
      <c r="P33" s="28" t="str">
        <f>IF(Campagne="Ravenloft",4,"R")</f>
        <v>R</v>
      </c>
      <c r="Q33" s="28" t="str">
        <f>IF(Campagne="Ravenloft",1,"R")</f>
        <v>R</v>
      </c>
      <c r="R33" s="28" t="str">
        <f t="shared" ref="R33:X33" si="2">IF(Campagne="Ravenloft",1,"D")</f>
        <v>D</v>
      </c>
      <c r="S33" s="28" t="str">
        <f t="shared" si="2"/>
        <v>D</v>
      </c>
      <c r="T33" s="28" t="str">
        <f t="shared" si="2"/>
        <v>D</v>
      </c>
      <c r="U33" s="28" t="str">
        <f t="shared" si="2"/>
        <v>D</v>
      </c>
      <c r="V33" s="28" t="str">
        <f t="shared" si="2"/>
        <v>D</v>
      </c>
      <c r="W33" s="28" t="str">
        <f t="shared" si="2"/>
        <v>D</v>
      </c>
      <c r="X33" s="28" t="str">
        <f t="shared" si="2"/>
        <v>D</v>
      </c>
    </row>
    <row r="34" spans="1:24">
      <c r="A34" s="1">
        <v>11</v>
      </c>
      <c r="B34" s="1">
        <v>11</v>
      </c>
      <c r="C34" s="1">
        <v>10</v>
      </c>
      <c r="D34" s="1">
        <v>10</v>
      </c>
      <c r="E34" s="1">
        <v>14</v>
      </c>
      <c r="F34" s="1">
        <v>11</v>
      </c>
      <c r="H34" s="252" t="s">
        <v>261</v>
      </c>
      <c r="I34" s="252"/>
      <c r="J34" s="68" t="s">
        <v>0</v>
      </c>
      <c r="K34" s="68">
        <f>IF(Campagne="Ravenloft",20,19)</f>
        <v>19</v>
      </c>
      <c r="L34" s="79">
        <f>IF(Campagne="Ravenloft",19,16)</f>
        <v>16</v>
      </c>
      <c r="M34" s="79">
        <f>IF(Campagne="Ravenloft",16,13)</f>
        <v>13</v>
      </c>
      <c r="N34" s="79">
        <f>IF(Campagne="Ravenloft",13,10)</f>
        <v>10</v>
      </c>
      <c r="O34" s="28">
        <f>IF(Campagne="Ravenloft",10,7)</f>
        <v>7</v>
      </c>
      <c r="P34" s="28">
        <f>IF(Campagne="Ravenloft",7,4)</f>
        <v>4</v>
      </c>
      <c r="Q34" s="28" t="str">
        <f>IF(Campagne="Ravenloft",4,"R")</f>
        <v>R</v>
      </c>
      <c r="R34" s="28" t="str">
        <f>IF(Campagne="Ravenloft",1,"R")</f>
        <v>R</v>
      </c>
      <c r="S34" s="28" t="str">
        <f t="shared" ref="S34:X34" si="3">IF(Campagne="Ravenloft",1,"D")</f>
        <v>D</v>
      </c>
      <c r="T34" s="28" t="str">
        <f t="shared" si="3"/>
        <v>D</v>
      </c>
      <c r="U34" s="28" t="str">
        <f t="shared" si="3"/>
        <v>D</v>
      </c>
      <c r="V34" s="28" t="str">
        <f t="shared" si="3"/>
        <v>D</v>
      </c>
      <c r="W34" s="28" t="str">
        <f t="shared" si="3"/>
        <v>D</v>
      </c>
      <c r="X34" s="28" t="str">
        <f t="shared" si="3"/>
        <v>D</v>
      </c>
    </row>
    <row r="35" spans="1:24">
      <c r="A35" s="10">
        <v>12</v>
      </c>
      <c r="B35" s="10">
        <v>11</v>
      </c>
      <c r="C35" s="10">
        <v>10</v>
      </c>
      <c r="D35" s="10">
        <v>10</v>
      </c>
      <c r="E35" s="10">
        <v>14</v>
      </c>
      <c r="F35" s="10">
        <v>11</v>
      </c>
      <c r="H35" s="252" t="s">
        <v>262</v>
      </c>
      <c r="I35" s="252"/>
      <c r="J35" s="68" t="s">
        <v>0</v>
      </c>
      <c r="K35" s="68">
        <f>IF(Campagne="Ravenloft","-",20)</f>
        <v>20</v>
      </c>
      <c r="L35" s="79">
        <f>IF(Campagne="Ravenloft",20,19)</f>
        <v>19</v>
      </c>
      <c r="M35" s="79">
        <f>IF(Campagne="Ravenloft",19,16)</f>
        <v>16</v>
      </c>
      <c r="N35" s="79">
        <f>IF(Campagne="Ravenloft",16,13)</f>
        <v>13</v>
      </c>
      <c r="O35" s="79">
        <f>IF(Campagne="Ravenloft",13,10)</f>
        <v>10</v>
      </c>
      <c r="P35" s="28">
        <f>IF(Campagne="Ravenloft",10,7)</f>
        <v>7</v>
      </c>
      <c r="Q35" s="28">
        <f>IF(Campagne="Ravenloft",7,4)</f>
        <v>4</v>
      </c>
      <c r="R35" s="28" t="str">
        <f>IF(Campagne="Ravenloft",4,"R")</f>
        <v>R</v>
      </c>
      <c r="S35" s="28" t="str">
        <f>IF(Campagne="Ravenloft",1,"R")</f>
        <v>R</v>
      </c>
      <c r="T35" s="28" t="str">
        <f>IF(Campagne="Ravenloft",1,"D")</f>
        <v>D</v>
      </c>
      <c r="U35" s="28" t="str">
        <f>IF(Campagne="Ravenloft",1,"D")</f>
        <v>D</v>
      </c>
      <c r="V35" s="28" t="str">
        <f>IF(Campagne="Ravenloft",1,"D")</f>
        <v>D</v>
      </c>
      <c r="W35" s="28" t="str">
        <f>IF(Campagne="Ravenloft",1,"D")</f>
        <v>D</v>
      </c>
      <c r="X35" s="28" t="str">
        <f>IF(Campagne="Ravenloft",1,"D")</f>
        <v>D</v>
      </c>
    </row>
    <row r="36" spans="1:24">
      <c r="A36" s="1">
        <v>13</v>
      </c>
      <c r="B36" s="1">
        <v>10</v>
      </c>
      <c r="C36" s="1">
        <v>8</v>
      </c>
      <c r="D36" s="1">
        <v>9</v>
      </c>
      <c r="E36" s="1">
        <v>13</v>
      </c>
      <c r="F36" s="1">
        <v>9</v>
      </c>
      <c r="H36" s="252" t="s">
        <v>263</v>
      </c>
      <c r="I36" s="252"/>
      <c r="J36" s="68" t="s">
        <v>0</v>
      </c>
      <c r="K36" s="68" t="s">
        <v>0</v>
      </c>
      <c r="L36" s="79">
        <f>IF(Campagne="Ravenloft","-",20)</f>
        <v>20</v>
      </c>
      <c r="M36" s="79">
        <f>IF(Campagne="Ravenloft",20,19)</f>
        <v>19</v>
      </c>
      <c r="N36" s="79">
        <f>IF(Campagne="Ravenloft",19,16)</f>
        <v>16</v>
      </c>
      <c r="O36" s="79">
        <f>IF(Campagne="Ravenloft",16,13)</f>
        <v>13</v>
      </c>
      <c r="P36" s="79">
        <f>IF(Campagne="Ravenloft",13,10)</f>
        <v>10</v>
      </c>
      <c r="Q36" s="28">
        <f>IF(Campagne="Ravenloft",10,7)</f>
        <v>7</v>
      </c>
      <c r="R36" s="28">
        <f>IF(Campagne="Ravenloft",7,4)</f>
        <v>4</v>
      </c>
      <c r="S36" s="28" t="str">
        <f>IF(Campagne="Ravenloft",4,"R")</f>
        <v>R</v>
      </c>
      <c r="T36" s="28" t="str">
        <f>IF(Campagne="Ravenloft",1,"R")</f>
        <v>R</v>
      </c>
      <c r="U36" s="28" t="str">
        <f>IF(Campagne="Ravenloft",1,"R")</f>
        <v>R</v>
      </c>
      <c r="V36" s="28" t="str">
        <f>IF(Campagne="Ravenloft",1,"D")</f>
        <v>D</v>
      </c>
      <c r="W36" s="28" t="str">
        <f>IF(Campagne="Ravenloft",1,"D")</f>
        <v>D</v>
      </c>
      <c r="X36" s="28" t="str">
        <f>IF(Campagne="Ravenloft",1,"D")</f>
        <v>D</v>
      </c>
    </row>
    <row r="37" spans="1:24">
      <c r="A37" s="10">
        <v>14</v>
      </c>
      <c r="B37" s="10">
        <v>10</v>
      </c>
      <c r="C37" s="10">
        <v>8</v>
      </c>
      <c r="D37" s="10">
        <v>9</v>
      </c>
      <c r="E37" s="10">
        <v>13</v>
      </c>
      <c r="F37" s="10">
        <v>9</v>
      </c>
      <c r="H37" s="252" t="s">
        <v>264</v>
      </c>
      <c r="I37" s="252"/>
      <c r="J37" s="68" t="s">
        <v>0</v>
      </c>
      <c r="K37" s="68" t="s">
        <v>0</v>
      </c>
      <c r="L37" s="68" t="s">
        <v>0</v>
      </c>
      <c r="M37" s="79">
        <f>IF(Campagne="Ravenloft","-",20)</f>
        <v>20</v>
      </c>
      <c r="N37" s="79">
        <f>IF(Campagne="Ravenloft",20,19)</f>
        <v>19</v>
      </c>
      <c r="O37" s="79">
        <f>IF(Campagne="Ravenloft",19,16)</f>
        <v>16</v>
      </c>
      <c r="P37" s="79">
        <f>IF(Campagne="Ravenloft",16,13)</f>
        <v>13</v>
      </c>
      <c r="Q37" s="79">
        <f>IF(Campagne="Ravenloft",13,10)</f>
        <v>10</v>
      </c>
      <c r="R37" s="28">
        <f>IF(Campagne="Ravenloft",10,7)</f>
        <v>7</v>
      </c>
      <c r="S37" s="28">
        <f>IF(Campagne="Ravenloft",7,4)</f>
        <v>4</v>
      </c>
      <c r="T37" s="28" t="str">
        <f>IF(Campagne="Ravenloft",4,"R")</f>
        <v>R</v>
      </c>
      <c r="U37" s="28" t="str">
        <f>IF(Campagne="Ravenloft",4,"R")</f>
        <v>R</v>
      </c>
      <c r="V37" s="28" t="str">
        <f>IF(Campagne="Ravenloft",1,"R")</f>
        <v>R</v>
      </c>
      <c r="W37" s="28" t="str">
        <f>IF(Campagne="Ravenloft",1,"R")</f>
        <v>R</v>
      </c>
      <c r="X37" s="28" t="str">
        <f>IF(Campagne="Ravenloft",1,"D")</f>
        <v>D</v>
      </c>
    </row>
    <row r="38" spans="1:24">
      <c r="A38" s="1">
        <v>15</v>
      </c>
      <c r="B38" s="1">
        <v>10</v>
      </c>
      <c r="C38" s="1">
        <v>8</v>
      </c>
      <c r="D38" s="1">
        <v>9</v>
      </c>
      <c r="E38" s="1">
        <v>13</v>
      </c>
      <c r="F38" s="1">
        <v>9</v>
      </c>
      <c r="H38" s="252" t="s">
        <v>265</v>
      </c>
      <c r="I38" s="252"/>
      <c r="J38" s="68" t="s">
        <v>0</v>
      </c>
      <c r="K38" s="68" t="s">
        <v>0</v>
      </c>
      <c r="L38" s="68" t="s">
        <v>0</v>
      </c>
      <c r="M38" s="68" t="s">
        <v>0</v>
      </c>
      <c r="N38" s="79">
        <f>IF(Campagne="Ravenloft","-",20)</f>
        <v>20</v>
      </c>
      <c r="O38" s="79">
        <f>IF(Campagne="Ravenloft",20,19)</f>
        <v>19</v>
      </c>
      <c r="P38" s="79">
        <f>IF(Campagne="Ravenloft",19,16)</f>
        <v>16</v>
      </c>
      <c r="Q38" s="79">
        <f>IF(Campagne="Ravenloft",16,13)</f>
        <v>13</v>
      </c>
      <c r="R38" s="79">
        <f>IF(Campagne="Ravenloft",13,10)</f>
        <v>10</v>
      </c>
      <c r="S38" s="28">
        <f>IF(Campagne="Ravenloft",10,7)</f>
        <v>7</v>
      </c>
      <c r="T38" s="28">
        <f>IF(Campagne="Ravenloft",7,4)</f>
        <v>4</v>
      </c>
      <c r="U38" s="28">
        <f>IF(Campagne="Ravenloft",7,4)</f>
        <v>4</v>
      </c>
      <c r="V38" s="28" t="str">
        <f>IF(Campagne="Ravenloft",4,"R")</f>
        <v>R</v>
      </c>
      <c r="W38" s="28" t="str">
        <f>IF(Campagne="Ravenloft",4,"R")</f>
        <v>R</v>
      </c>
      <c r="X38" s="28" t="str">
        <f>IF(Campagne="Ravenloft",1,"R")</f>
        <v>R</v>
      </c>
    </row>
    <row r="39" spans="1:24">
      <c r="A39" s="10">
        <v>16</v>
      </c>
      <c r="B39" s="10">
        <v>10</v>
      </c>
      <c r="C39" s="10">
        <v>8</v>
      </c>
      <c r="D39" s="10">
        <v>9</v>
      </c>
      <c r="E39" s="10">
        <v>13</v>
      </c>
      <c r="F39" s="10">
        <v>9</v>
      </c>
      <c r="H39" s="252" t="s">
        <v>266</v>
      </c>
      <c r="I39" s="252"/>
      <c r="J39" s="68" t="s">
        <v>0</v>
      </c>
      <c r="K39" s="68" t="s">
        <v>0</v>
      </c>
      <c r="L39" s="68" t="s">
        <v>0</v>
      </c>
      <c r="M39" s="68" t="s">
        <v>0</v>
      </c>
      <c r="N39" s="68" t="s">
        <v>0</v>
      </c>
      <c r="O39" s="79">
        <f>IF(Campagne="Ravenloft","-",20)</f>
        <v>20</v>
      </c>
      <c r="P39" s="79">
        <f>IF(Campagne="Ravenloft",20,19)</f>
        <v>19</v>
      </c>
      <c r="Q39" s="79">
        <f>IF(Campagne="Ravenloft",19,16)</f>
        <v>16</v>
      </c>
      <c r="R39" s="79">
        <f>IF(Campagne="Ravenloft",16,13)</f>
        <v>13</v>
      </c>
      <c r="S39" s="79">
        <f>IF(Campagne="Ravenloft",13,10)</f>
        <v>10</v>
      </c>
      <c r="T39" s="28">
        <f>IF(Campagne="Ravenloft",10,7)</f>
        <v>7</v>
      </c>
      <c r="U39" s="28">
        <f>IF(Campagne="Ravenloft",10,7)</f>
        <v>7</v>
      </c>
      <c r="V39" s="28">
        <f>IF(Campagne="Ravenloft",7,4)</f>
        <v>4</v>
      </c>
      <c r="W39" s="28">
        <f>IF(Campagne="Ravenloft",7,4)</f>
        <v>4</v>
      </c>
      <c r="X39" s="28" t="str">
        <f>IF(Campagne="Ravenloft",4,"R")</f>
        <v>R</v>
      </c>
    </row>
    <row r="40" spans="1:24">
      <c r="A40" s="1">
        <v>17</v>
      </c>
      <c r="B40" s="1">
        <v>9</v>
      </c>
      <c r="C40" s="1">
        <v>6</v>
      </c>
      <c r="D40" s="1">
        <v>7</v>
      </c>
      <c r="E40" s="1">
        <v>12</v>
      </c>
      <c r="F40" s="1">
        <v>7</v>
      </c>
      <c r="H40" s="252" t="s">
        <v>267</v>
      </c>
      <c r="I40" s="252"/>
      <c r="J40" s="68" t="s">
        <v>0</v>
      </c>
      <c r="K40" s="68" t="s">
        <v>0</v>
      </c>
      <c r="L40" s="68" t="s">
        <v>0</v>
      </c>
      <c r="M40" s="68" t="s">
        <v>0</v>
      </c>
      <c r="N40" s="68" t="s">
        <v>0</v>
      </c>
      <c r="O40" s="68" t="s">
        <v>0</v>
      </c>
      <c r="P40" s="79">
        <f>IF(Campagne="Ravenloft","-",20)</f>
        <v>20</v>
      </c>
      <c r="Q40" s="79">
        <f>IF(Campagne="Ravenloft",20,19)</f>
        <v>19</v>
      </c>
      <c r="R40" s="79">
        <f>IF(Campagne="Ravenloft",19,16)</f>
        <v>16</v>
      </c>
      <c r="S40" s="79">
        <f>IF(Campagne="Ravenloft",16,13)</f>
        <v>13</v>
      </c>
      <c r="T40" s="79">
        <f>IF(Campagne="Ravenloft",13,10)</f>
        <v>10</v>
      </c>
      <c r="U40" s="79">
        <f>IF(Campagne="Ravenloft",13,10)</f>
        <v>10</v>
      </c>
      <c r="V40" s="28">
        <f>IF(Campagne="Ravenloft",10,7)</f>
        <v>7</v>
      </c>
      <c r="W40" s="28">
        <f>IF(Campagne="Ravenloft",10,7)</f>
        <v>7</v>
      </c>
      <c r="X40" s="28">
        <f>IF(Campagne="Ravenloft",7,4)</f>
        <v>4</v>
      </c>
    </row>
    <row r="41" spans="1:24">
      <c r="A41" s="10">
        <v>18</v>
      </c>
      <c r="B41" s="10">
        <v>9</v>
      </c>
      <c r="C41" s="10">
        <v>6</v>
      </c>
      <c r="D41" s="10">
        <v>7</v>
      </c>
      <c r="E41" s="10">
        <v>12</v>
      </c>
      <c r="F41" s="10">
        <v>7</v>
      </c>
      <c r="H41" s="252" t="s">
        <v>268</v>
      </c>
      <c r="I41" s="252"/>
      <c r="J41" s="68" t="s">
        <v>0</v>
      </c>
      <c r="K41" s="68" t="s">
        <v>0</v>
      </c>
      <c r="L41" s="68" t="s">
        <v>0</v>
      </c>
      <c r="M41" s="68" t="s">
        <v>0</v>
      </c>
      <c r="N41" s="68" t="s">
        <v>0</v>
      </c>
      <c r="O41" s="68" t="s">
        <v>0</v>
      </c>
      <c r="P41" s="68" t="s">
        <v>0</v>
      </c>
      <c r="Q41" s="79">
        <f>IF(Campagne="Ravenloft","-",20)</f>
        <v>20</v>
      </c>
      <c r="R41" s="79">
        <f>IF(Campagne="Ravenloft",20,19)</f>
        <v>19</v>
      </c>
      <c r="S41" s="79">
        <f>IF(Campagne="Ravenloft",19,16)</f>
        <v>16</v>
      </c>
      <c r="T41" s="79">
        <f>IF(Campagne="Ravenloft",16,13)</f>
        <v>13</v>
      </c>
      <c r="U41" s="79">
        <f>IF(Campagne="Ravenloft",16,13)</f>
        <v>13</v>
      </c>
      <c r="V41" s="79">
        <f>IF(Campagne="Ravenloft",13,10)</f>
        <v>10</v>
      </c>
      <c r="W41" s="79">
        <f>IF(Campagne="Ravenloft",13,10)</f>
        <v>10</v>
      </c>
      <c r="X41" s="28">
        <f>IF(Campagne="Ravenloft",10,7)</f>
        <v>7</v>
      </c>
    </row>
    <row r="42" spans="1:24">
      <c r="A42" s="1">
        <v>19</v>
      </c>
      <c r="B42" s="1">
        <v>9</v>
      </c>
      <c r="C42" s="1">
        <v>6</v>
      </c>
      <c r="D42" s="1">
        <v>7</v>
      </c>
      <c r="E42" s="1">
        <v>12</v>
      </c>
      <c r="F42" s="1">
        <v>7</v>
      </c>
      <c r="H42" s="252" t="s">
        <v>269</v>
      </c>
      <c r="I42" s="252"/>
      <c r="J42" s="68" t="s">
        <v>0</v>
      </c>
      <c r="K42" s="68" t="s">
        <v>0</v>
      </c>
      <c r="L42" s="68" t="s">
        <v>0</v>
      </c>
      <c r="M42" s="68" t="s">
        <v>0</v>
      </c>
      <c r="N42" s="68" t="s">
        <v>0</v>
      </c>
      <c r="O42" s="68" t="s">
        <v>0</v>
      </c>
      <c r="P42" s="68" t="s">
        <v>0</v>
      </c>
      <c r="Q42" s="68" t="s">
        <v>0</v>
      </c>
      <c r="R42" s="79">
        <f>IF(Campagne="Ravenloft","-",20)</f>
        <v>20</v>
      </c>
      <c r="S42" s="79">
        <f>IF(Campagne="Ravenloft",20,19)</f>
        <v>19</v>
      </c>
      <c r="T42" s="79">
        <f>IF(Campagne="Ravenloft",19,16)</f>
        <v>16</v>
      </c>
      <c r="U42" s="79">
        <f>IF(Campagne="Ravenloft",19,16)</f>
        <v>16</v>
      </c>
      <c r="V42" s="79">
        <f>IF(Campagne="Ravenloft",16,13)</f>
        <v>13</v>
      </c>
      <c r="W42" s="79">
        <f>IF(Campagne="Ravenloft",16,13)</f>
        <v>13</v>
      </c>
      <c r="X42" s="79">
        <f>IF(Campagne="Ravenloft",13,10)</f>
        <v>10</v>
      </c>
    </row>
    <row r="43" spans="1:24">
      <c r="A43" s="10">
        <v>20</v>
      </c>
      <c r="B43" s="10">
        <v>9</v>
      </c>
      <c r="C43" s="10">
        <v>6</v>
      </c>
      <c r="D43" s="10">
        <v>7</v>
      </c>
      <c r="E43" s="10">
        <v>12</v>
      </c>
      <c r="F43" s="10">
        <v>7</v>
      </c>
      <c r="H43" s="252" t="s">
        <v>270</v>
      </c>
      <c r="I43" s="252"/>
      <c r="J43" s="68" t="s">
        <v>0</v>
      </c>
      <c r="K43" s="68" t="s">
        <v>0</v>
      </c>
      <c r="L43" s="68" t="s">
        <v>0</v>
      </c>
      <c r="M43" s="68" t="s">
        <v>0</v>
      </c>
      <c r="N43" s="68" t="s">
        <v>0</v>
      </c>
      <c r="O43" s="68" t="s">
        <v>0</v>
      </c>
      <c r="P43" s="68" t="s">
        <v>0</v>
      </c>
      <c r="Q43" s="68" t="s">
        <v>0</v>
      </c>
      <c r="R43" s="68" t="s">
        <v>0</v>
      </c>
      <c r="S43" s="79">
        <f>IF(Campagne="Ravenloft","-",20)</f>
        <v>20</v>
      </c>
      <c r="T43" s="79">
        <f>IF(Campagne="Ravenloft",20,19)</f>
        <v>19</v>
      </c>
      <c r="U43" s="79">
        <f>IF(Campagne="Ravenloft",20,19)</f>
        <v>19</v>
      </c>
      <c r="V43" s="79">
        <f>IF(Campagne="Ravenloft",19,16)</f>
        <v>16</v>
      </c>
      <c r="W43" s="79">
        <f>IF(Campagne="Ravenloft",19,16)</f>
        <v>16</v>
      </c>
      <c r="X43" s="79">
        <f>IF(Campagne="Ravenloft",16,13)</f>
        <v>13</v>
      </c>
    </row>
    <row r="44" spans="1:24">
      <c r="A44" s="1">
        <v>21</v>
      </c>
      <c r="B44" s="1">
        <v>8</v>
      </c>
      <c r="C44" s="1">
        <v>4</v>
      </c>
      <c r="D44" s="1">
        <v>7</v>
      </c>
      <c r="E44" s="1">
        <v>11</v>
      </c>
      <c r="F44" s="1">
        <v>5</v>
      </c>
    </row>
    <row r="45" spans="1:24">
      <c r="A45" s="410" t="s">
        <v>96</v>
      </c>
      <c r="B45" s="410"/>
      <c r="C45" s="410"/>
      <c r="D45" s="410"/>
      <c r="E45" s="410"/>
      <c r="F45" s="410"/>
      <c r="G45" s="413" t="s">
        <v>192</v>
      </c>
      <c r="H45" s="413"/>
      <c r="I45" s="413"/>
      <c r="J45" s="413"/>
      <c r="K45" s="413"/>
      <c r="L45" s="413"/>
    </row>
    <row r="46" spans="1:24">
      <c r="A46" s="10">
        <v>0</v>
      </c>
      <c r="B46" s="10">
        <v>16</v>
      </c>
      <c r="C46" s="10">
        <v>18</v>
      </c>
      <c r="D46" s="10">
        <v>17</v>
      </c>
      <c r="E46" s="10">
        <v>20</v>
      </c>
      <c r="F46" s="10">
        <v>19</v>
      </c>
      <c r="G46" s="22">
        <v>1</v>
      </c>
      <c r="H46" s="22">
        <v>13</v>
      </c>
      <c r="I46" s="22">
        <v>15</v>
      </c>
      <c r="J46" s="22">
        <v>10</v>
      </c>
      <c r="K46" s="22">
        <v>16</v>
      </c>
      <c r="L46" s="22">
        <v>15</v>
      </c>
    </row>
    <row r="47" spans="1:24">
      <c r="A47" s="1">
        <v>1</v>
      </c>
      <c r="B47" s="1">
        <v>14</v>
      </c>
      <c r="C47" s="1">
        <v>16</v>
      </c>
      <c r="D47" s="1">
        <v>15</v>
      </c>
      <c r="E47" s="1">
        <v>17</v>
      </c>
      <c r="F47" s="1">
        <v>17</v>
      </c>
      <c r="G47" s="23">
        <v>2</v>
      </c>
      <c r="H47" s="23">
        <v>13</v>
      </c>
      <c r="I47" s="23">
        <v>15</v>
      </c>
      <c r="J47" s="23">
        <v>10</v>
      </c>
      <c r="K47" s="23">
        <v>16</v>
      </c>
      <c r="L47" s="23">
        <v>15</v>
      </c>
    </row>
    <row r="48" spans="1:24">
      <c r="A48" s="10">
        <v>2</v>
      </c>
      <c r="B48" s="10">
        <v>14</v>
      </c>
      <c r="C48" s="10">
        <v>16</v>
      </c>
      <c r="D48" s="10">
        <v>15</v>
      </c>
      <c r="E48" s="10">
        <v>17</v>
      </c>
      <c r="F48" s="10">
        <v>17</v>
      </c>
      <c r="G48" s="22">
        <v>3</v>
      </c>
      <c r="H48" s="22">
        <v>13</v>
      </c>
      <c r="I48" s="22">
        <v>15</v>
      </c>
      <c r="J48" s="22">
        <v>10</v>
      </c>
      <c r="K48" s="22">
        <v>16</v>
      </c>
      <c r="L48" s="22">
        <v>15</v>
      </c>
    </row>
    <row r="49" spans="1:12">
      <c r="A49" s="1">
        <v>3</v>
      </c>
      <c r="B49" s="1">
        <v>13</v>
      </c>
      <c r="C49" s="1">
        <v>15</v>
      </c>
      <c r="D49" s="1">
        <v>14</v>
      </c>
      <c r="E49" s="1">
        <v>16</v>
      </c>
      <c r="F49" s="1">
        <v>16</v>
      </c>
      <c r="G49" s="23">
        <v>4</v>
      </c>
      <c r="H49" s="23">
        <v>13</v>
      </c>
      <c r="I49" s="23">
        <v>15</v>
      </c>
      <c r="J49" s="23">
        <v>10</v>
      </c>
      <c r="K49" s="23">
        <v>16</v>
      </c>
      <c r="L49" s="23">
        <v>15</v>
      </c>
    </row>
    <row r="50" spans="1:12">
      <c r="A50" s="10">
        <v>4</v>
      </c>
      <c r="B50" s="10">
        <v>13</v>
      </c>
      <c r="C50" s="10">
        <v>15</v>
      </c>
      <c r="D50" s="10">
        <v>14</v>
      </c>
      <c r="E50" s="10">
        <v>16</v>
      </c>
      <c r="F50" s="10">
        <v>16</v>
      </c>
      <c r="G50" s="22">
        <v>5</v>
      </c>
      <c r="H50" s="22">
        <v>12</v>
      </c>
      <c r="I50" s="22">
        <v>13</v>
      </c>
      <c r="J50" s="22">
        <v>9</v>
      </c>
      <c r="K50" s="22">
        <v>15</v>
      </c>
      <c r="L50" s="22">
        <v>14</v>
      </c>
    </row>
    <row r="51" spans="1:12">
      <c r="A51" s="1">
        <v>5</v>
      </c>
      <c r="B51" s="1">
        <v>11</v>
      </c>
      <c r="C51" s="1">
        <v>13</v>
      </c>
      <c r="D51" s="1">
        <v>12</v>
      </c>
      <c r="E51" s="1">
        <v>13</v>
      </c>
      <c r="F51" s="1">
        <v>14</v>
      </c>
      <c r="G51" s="23">
        <v>6</v>
      </c>
      <c r="H51" s="23">
        <v>12</v>
      </c>
      <c r="I51" s="23">
        <v>13</v>
      </c>
      <c r="J51" s="23">
        <v>9</v>
      </c>
      <c r="K51" s="23">
        <v>15</v>
      </c>
      <c r="L51" s="23">
        <v>14</v>
      </c>
    </row>
    <row r="52" spans="1:12">
      <c r="A52" s="10">
        <v>6</v>
      </c>
      <c r="B52" s="10">
        <v>11</v>
      </c>
      <c r="C52" s="10">
        <v>13</v>
      </c>
      <c r="D52" s="10">
        <v>12</v>
      </c>
      <c r="E52" s="10">
        <v>13</v>
      </c>
      <c r="F52" s="10">
        <v>14</v>
      </c>
      <c r="G52" s="22">
        <v>7</v>
      </c>
      <c r="H52" s="22">
        <v>12</v>
      </c>
      <c r="I52" s="22">
        <v>13</v>
      </c>
      <c r="J52" s="22">
        <v>9</v>
      </c>
      <c r="K52" s="22">
        <v>15</v>
      </c>
      <c r="L52" s="22">
        <v>14</v>
      </c>
    </row>
    <row r="53" spans="1:12">
      <c r="A53" s="1">
        <v>7</v>
      </c>
      <c r="B53" s="1">
        <v>10</v>
      </c>
      <c r="C53" s="1">
        <v>12</v>
      </c>
      <c r="D53" s="1">
        <v>11</v>
      </c>
      <c r="E53" s="1">
        <v>12</v>
      </c>
      <c r="F53" s="1">
        <v>13</v>
      </c>
      <c r="G53" s="23">
        <v>8</v>
      </c>
      <c r="H53" s="23">
        <v>12</v>
      </c>
      <c r="I53" s="23">
        <v>13</v>
      </c>
      <c r="J53" s="23">
        <v>9</v>
      </c>
      <c r="K53" s="23">
        <v>15</v>
      </c>
      <c r="L53" s="23">
        <v>14</v>
      </c>
    </row>
    <row r="54" spans="1:12">
      <c r="A54" s="10">
        <v>8</v>
      </c>
      <c r="B54" s="10">
        <v>10</v>
      </c>
      <c r="C54" s="10">
        <v>12</v>
      </c>
      <c r="D54" s="10">
        <v>11</v>
      </c>
      <c r="E54" s="10">
        <v>12</v>
      </c>
      <c r="F54" s="10">
        <v>13</v>
      </c>
      <c r="G54" s="22">
        <v>9</v>
      </c>
      <c r="H54" s="22">
        <v>11</v>
      </c>
      <c r="I54" s="22">
        <v>11</v>
      </c>
      <c r="J54" s="22">
        <v>8</v>
      </c>
      <c r="K54" s="22">
        <v>13</v>
      </c>
      <c r="L54" s="22">
        <v>12</v>
      </c>
    </row>
    <row r="55" spans="1:12">
      <c r="A55" s="1">
        <v>9</v>
      </c>
      <c r="B55" s="1">
        <v>8</v>
      </c>
      <c r="C55" s="1">
        <v>10</v>
      </c>
      <c r="D55" s="1">
        <v>9</v>
      </c>
      <c r="E55" s="1">
        <v>9</v>
      </c>
      <c r="F55" s="1">
        <v>11</v>
      </c>
      <c r="G55" s="23">
        <v>10</v>
      </c>
      <c r="H55" s="23">
        <v>11</v>
      </c>
      <c r="I55" s="23">
        <v>11</v>
      </c>
      <c r="J55" s="23">
        <v>8</v>
      </c>
      <c r="K55" s="23">
        <v>13</v>
      </c>
      <c r="L55" s="23">
        <v>12</v>
      </c>
    </row>
    <row r="56" spans="1:12">
      <c r="A56" s="10">
        <v>10</v>
      </c>
      <c r="B56" s="10">
        <v>8</v>
      </c>
      <c r="C56" s="10">
        <v>10</v>
      </c>
      <c r="D56" s="10">
        <v>9</v>
      </c>
      <c r="E56" s="10">
        <v>9</v>
      </c>
      <c r="F56" s="10">
        <v>11</v>
      </c>
      <c r="G56" s="22">
        <v>11</v>
      </c>
      <c r="H56" s="22">
        <v>11</v>
      </c>
      <c r="I56" s="22">
        <v>11</v>
      </c>
      <c r="J56" s="22">
        <v>8</v>
      </c>
      <c r="K56" s="22">
        <v>13</v>
      </c>
      <c r="L56" s="22">
        <v>12</v>
      </c>
    </row>
    <row r="57" spans="1:12">
      <c r="A57" s="1">
        <v>11</v>
      </c>
      <c r="B57" s="1">
        <v>7</v>
      </c>
      <c r="C57" s="1">
        <v>9</v>
      </c>
      <c r="D57" s="1">
        <v>8</v>
      </c>
      <c r="E57" s="1">
        <v>8</v>
      </c>
      <c r="F57" s="1">
        <v>10</v>
      </c>
      <c r="G57" s="23">
        <v>12</v>
      </c>
      <c r="H57" s="23">
        <v>11</v>
      </c>
      <c r="I57" s="23">
        <v>11</v>
      </c>
      <c r="J57" s="23">
        <v>8</v>
      </c>
      <c r="K57" s="23">
        <v>13</v>
      </c>
      <c r="L57" s="23">
        <v>12</v>
      </c>
    </row>
    <row r="58" spans="1:12">
      <c r="A58" s="10">
        <v>12</v>
      </c>
      <c r="B58" s="10">
        <v>7</v>
      </c>
      <c r="C58" s="10">
        <v>9</v>
      </c>
      <c r="D58" s="10">
        <v>8</v>
      </c>
      <c r="E58" s="10">
        <v>8</v>
      </c>
      <c r="F58" s="10">
        <v>10</v>
      </c>
      <c r="G58" s="22">
        <v>13</v>
      </c>
      <c r="H58" s="22">
        <v>10</v>
      </c>
      <c r="I58" s="22">
        <v>9</v>
      </c>
      <c r="J58" s="22">
        <v>7</v>
      </c>
      <c r="K58" s="22">
        <v>12</v>
      </c>
      <c r="L58" s="22">
        <v>11</v>
      </c>
    </row>
    <row r="59" spans="1:12">
      <c r="A59" s="1">
        <v>13</v>
      </c>
      <c r="B59" s="1">
        <v>5</v>
      </c>
      <c r="C59" s="1">
        <v>7</v>
      </c>
      <c r="D59" s="1">
        <v>6</v>
      </c>
      <c r="E59" s="1">
        <v>5</v>
      </c>
      <c r="F59" s="1">
        <v>8</v>
      </c>
      <c r="G59" s="23">
        <v>14</v>
      </c>
      <c r="H59" s="23">
        <v>10</v>
      </c>
      <c r="I59" s="23">
        <v>9</v>
      </c>
      <c r="J59" s="23">
        <v>7</v>
      </c>
      <c r="K59" s="23">
        <v>12</v>
      </c>
      <c r="L59" s="23">
        <v>11</v>
      </c>
    </row>
    <row r="60" spans="1:12">
      <c r="A60" s="10">
        <v>14</v>
      </c>
      <c r="B60" s="10">
        <v>5</v>
      </c>
      <c r="C60" s="10">
        <v>7</v>
      </c>
      <c r="D60" s="10">
        <v>6</v>
      </c>
      <c r="E60" s="10">
        <v>5</v>
      </c>
      <c r="F60" s="10">
        <v>8</v>
      </c>
      <c r="G60" s="22">
        <v>15</v>
      </c>
      <c r="H60" s="22">
        <v>10</v>
      </c>
      <c r="I60" s="22">
        <v>9</v>
      </c>
      <c r="J60" s="22">
        <v>7</v>
      </c>
      <c r="K60" s="22">
        <v>12</v>
      </c>
      <c r="L60" s="22">
        <v>11</v>
      </c>
    </row>
    <row r="61" spans="1:12">
      <c r="A61" s="1">
        <v>15</v>
      </c>
      <c r="B61" s="1">
        <v>4</v>
      </c>
      <c r="C61" s="1">
        <v>6</v>
      </c>
      <c r="D61" s="1">
        <v>5</v>
      </c>
      <c r="E61" s="1">
        <v>4</v>
      </c>
      <c r="F61" s="1">
        <v>7</v>
      </c>
      <c r="G61" s="23">
        <v>16</v>
      </c>
      <c r="H61" s="23">
        <v>10</v>
      </c>
      <c r="I61" s="23">
        <v>9</v>
      </c>
      <c r="J61" s="23">
        <v>7</v>
      </c>
      <c r="K61" s="23">
        <v>12</v>
      </c>
      <c r="L61" s="23">
        <v>11</v>
      </c>
    </row>
    <row r="62" spans="1:12">
      <c r="A62" s="10">
        <v>16</v>
      </c>
      <c r="B62" s="10">
        <v>4</v>
      </c>
      <c r="C62" s="10">
        <v>6</v>
      </c>
      <c r="D62" s="10">
        <v>5</v>
      </c>
      <c r="E62" s="10">
        <v>4</v>
      </c>
      <c r="F62" s="10">
        <v>7</v>
      </c>
      <c r="G62" s="22">
        <v>17</v>
      </c>
      <c r="H62" s="22">
        <v>9</v>
      </c>
      <c r="I62" s="22">
        <v>7</v>
      </c>
      <c r="J62" s="22">
        <v>6</v>
      </c>
      <c r="K62" s="22">
        <v>11</v>
      </c>
      <c r="L62" s="22">
        <v>9</v>
      </c>
    </row>
    <row r="63" spans="1:12">
      <c r="A63" s="1">
        <v>17</v>
      </c>
      <c r="B63" s="1">
        <v>3</v>
      </c>
      <c r="C63" s="1">
        <v>5</v>
      </c>
      <c r="D63" s="1">
        <v>4</v>
      </c>
      <c r="E63" s="1">
        <v>4</v>
      </c>
      <c r="F63" s="1">
        <v>6</v>
      </c>
      <c r="G63" s="23">
        <v>18</v>
      </c>
      <c r="H63" s="23">
        <v>9</v>
      </c>
      <c r="I63" s="23">
        <v>7</v>
      </c>
      <c r="J63" s="23">
        <v>6</v>
      </c>
      <c r="K63" s="23">
        <v>11</v>
      </c>
      <c r="L63" s="23">
        <v>9</v>
      </c>
    </row>
    <row r="64" spans="1:12">
      <c r="A64" s="10">
        <v>18</v>
      </c>
      <c r="B64" s="10">
        <v>3</v>
      </c>
      <c r="C64" s="10">
        <v>5</v>
      </c>
      <c r="D64" s="10">
        <v>4</v>
      </c>
      <c r="E64" s="10">
        <v>4</v>
      </c>
      <c r="F64" s="10">
        <v>6</v>
      </c>
      <c r="G64" s="22">
        <v>19</v>
      </c>
      <c r="H64" s="22">
        <v>9</v>
      </c>
      <c r="I64" s="22">
        <v>7</v>
      </c>
      <c r="J64" s="22">
        <v>6</v>
      </c>
      <c r="K64" s="22">
        <v>11</v>
      </c>
      <c r="L64" s="22">
        <v>9</v>
      </c>
    </row>
    <row r="65" spans="1:13">
      <c r="A65" s="1">
        <v>19</v>
      </c>
      <c r="B65" s="1">
        <v>3</v>
      </c>
      <c r="C65" s="1">
        <v>5</v>
      </c>
      <c r="D65" s="1">
        <v>4</v>
      </c>
      <c r="E65" s="1">
        <v>4</v>
      </c>
      <c r="F65" s="1">
        <v>6</v>
      </c>
      <c r="G65" s="23">
        <v>20</v>
      </c>
      <c r="H65" s="23">
        <v>9</v>
      </c>
      <c r="I65" s="23">
        <v>7</v>
      </c>
      <c r="J65" s="23">
        <v>6</v>
      </c>
      <c r="K65" s="23">
        <v>11</v>
      </c>
      <c r="L65" s="23">
        <v>9</v>
      </c>
    </row>
    <row r="66" spans="1:13">
      <c r="A66" s="10">
        <v>20</v>
      </c>
      <c r="B66" s="10">
        <v>3</v>
      </c>
      <c r="C66" s="10">
        <v>5</v>
      </c>
      <c r="D66" s="10">
        <v>4</v>
      </c>
      <c r="E66" s="10">
        <v>4</v>
      </c>
      <c r="F66" s="10">
        <v>6</v>
      </c>
      <c r="G66" s="22">
        <v>21</v>
      </c>
      <c r="H66" s="22">
        <v>8</v>
      </c>
      <c r="I66" s="22">
        <v>5</v>
      </c>
      <c r="J66" s="22">
        <v>5</v>
      </c>
      <c r="K66" s="22">
        <v>9</v>
      </c>
      <c r="L66" s="22">
        <v>7</v>
      </c>
    </row>
    <row r="67" spans="1:13">
      <c r="A67" s="1">
        <v>21</v>
      </c>
      <c r="B67" s="1">
        <v>3</v>
      </c>
      <c r="C67" s="1">
        <v>5</v>
      </c>
      <c r="D67" s="1">
        <v>4</v>
      </c>
      <c r="E67" s="1">
        <v>4</v>
      </c>
      <c r="F67" s="1">
        <v>6</v>
      </c>
    </row>
    <row r="68" spans="1:13">
      <c r="A68" s="410" t="s">
        <v>97</v>
      </c>
      <c r="B68" s="410"/>
      <c r="C68" s="410"/>
      <c r="D68" s="410"/>
      <c r="E68" s="410"/>
      <c r="F68" s="410"/>
      <c r="H68" s="410">
        <v>0</v>
      </c>
      <c r="I68" s="410"/>
      <c r="J68" s="410"/>
      <c r="K68" s="410"/>
      <c r="L68" s="410"/>
      <c r="M68" s="410"/>
    </row>
    <row r="69" spans="1:13">
      <c r="A69" s="1">
        <v>1</v>
      </c>
      <c r="B69" s="1">
        <v>14</v>
      </c>
      <c r="C69" s="1">
        <v>11</v>
      </c>
      <c r="D69" s="1">
        <v>13</v>
      </c>
      <c r="E69" s="1">
        <v>15</v>
      </c>
      <c r="F69" s="1">
        <v>12</v>
      </c>
      <c r="H69" s="1">
        <v>1</v>
      </c>
      <c r="I69" s="1">
        <v>20</v>
      </c>
      <c r="J69" s="1">
        <v>20</v>
      </c>
      <c r="K69" s="1">
        <v>20</v>
      </c>
      <c r="L69" s="1">
        <v>20</v>
      </c>
      <c r="M69" s="1">
        <v>20</v>
      </c>
    </row>
    <row r="70" spans="1:13">
      <c r="A70" s="10">
        <v>2</v>
      </c>
      <c r="B70" s="10">
        <v>14</v>
      </c>
      <c r="C70" s="10">
        <v>11</v>
      </c>
      <c r="D70" s="10">
        <v>13</v>
      </c>
      <c r="E70" s="10">
        <v>15</v>
      </c>
      <c r="F70" s="10">
        <v>12</v>
      </c>
      <c r="H70" s="10">
        <v>2</v>
      </c>
      <c r="I70" s="10">
        <v>20</v>
      </c>
      <c r="J70" s="10">
        <v>20</v>
      </c>
      <c r="K70" s="10">
        <v>20</v>
      </c>
      <c r="L70" s="10">
        <v>20</v>
      </c>
      <c r="M70" s="10">
        <v>20</v>
      </c>
    </row>
    <row r="71" spans="1:13">
      <c r="A71" s="1">
        <v>3</v>
      </c>
      <c r="B71" s="1">
        <v>14</v>
      </c>
      <c r="C71" s="1">
        <v>11</v>
      </c>
      <c r="D71" s="1">
        <v>13</v>
      </c>
      <c r="E71" s="1">
        <v>15</v>
      </c>
      <c r="F71" s="1">
        <v>12</v>
      </c>
      <c r="H71" s="1">
        <v>3</v>
      </c>
      <c r="I71" s="1">
        <v>20</v>
      </c>
      <c r="J71" s="1">
        <v>20</v>
      </c>
      <c r="K71" s="1">
        <v>20</v>
      </c>
      <c r="L71" s="1">
        <v>20</v>
      </c>
      <c r="M71" s="1">
        <v>20</v>
      </c>
    </row>
    <row r="72" spans="1:13">
      <c r="A72" s="10">
        <v>4</v>
      </c>
      <c r="B72" s="10">
        <v>14</v>
      </c>
      <c r="C72" s="10">
        <v>11</v>
      </c>
      <c r="D72" s="10">
        <v>13</v>
      </c>
      <c r="E72" s="10">
        <v>15</v>
      </c>
      <c r="F72" s="10">
        <v>12</v>
      </c>
      <c r="H72" s="10">
        <v>4</v>
      </c>
      <c r="I72" s="10">
        <v>20</v>
      </c>
      <c r="J72" s="10">
        <v>20</v>
      </c>
      <c r="K72" s="10">
        <v>20</v>
      </c>
      <c r="L72" s="10">
        <v>20</v>
      </c>
      <c r="M72" s="10">
        <v>20</v>
      </c>
    </row>
    <row r="73" spans="1:13">
      <c r="A73" s="1">
        <v>5</v>
      </c>
      <c r="B73" s="1">
        <v>14</v>
      </c>
      <c r="C73" s="1">
        <v>11</v>
      </c>
      <c r="D73" s="1">
        <v>13</v>
      </c>
      <c r="E73" s="1">
        <v>15</v>
      </c>
      <c r="F73" s="1">
        <v>12</v>
      </c>
      <c r="H73" s="1">
        <v>5</v>
      </c>
      <c r="I73" s="1">
        <v>20</v>
      </c>
      <c r="J73" s="1">
        <v>20</v>
      </c>
      <c r="K73" s="1">
        <v>20</v>
      </c>
      <c r="L73" s="1">
        <v>20</v>
      </c>
      <c r="M73" s="1">
        <v>20</v>
      </c>
    </row>
    <row r="74" spans="1:13">
      <c r="A74" s="10">
        <v>6</v>
      </c>
      <c r="B74" s="10">
        <v>13</v>
      </c>
      <c r="C74" s="10">
        <v>9</v>
      </c>
      <c r="D74" s="10">
        <v>11</v>
      </c>
      <c r="E74" s="10">
        <v>13</v>
      </c>
      <c r="F74" s="10">
        <v>10</v>
      </c>
      <c r="H74" s="10">
        <v>6</v>
      </c>
      <c r="I74" s="10">
        <v>20</v>
      </c>
      <c r="J74" s="10">
        <v>20</v>
      </c>
      <c r="K74" s="10">
        <v>20</v>
      </c>
      <c r="L74" s="10">
        <v>20</v>
      </c>
      <c r="M74" s="10">
        <v>20</v>
      </c>
    </row>
    <row r="75" spans="1:13">
      <c r="A75" s="1">
        <v>7</v>
      </c>
      <c r="B75" s="1">
        <v>13</v>
      </c>
      <c r="C75" s="1">
        <v>9</v>
      </c>
      <c r="D75" s="1">
        <v>11</v>
      </c>
      <c r="E75" s="1">
        <v>13</v>
      </c>
      <c r="F75" s="1">
        <v>10</v>
      </c>
      <c r="H75" s="1">
        <v>7</v>
      </c>
      <c r="I75" s="1">
        <v>20</v>
      </c>
      <c r="J75" s="1">
        <v>20</v>
      </c>
      <c r="K75" s="1">
        <v>20</v>
      </c>
      <c r="L75" s="1">
        <v>20</v>
      </c>
      <c r="M75" s="1">
        <v>20</v>
      </c>
    </row>
    <row r="76" spans="1:13">
      <c r="A76" s="10">
        <v>8</v>
      </c>
      <c r="B76" s="10">
        <v>13</v>
      </c>
      <c r="C76" s="10">
        <v>9</v>
      </c>
      <c r="D76" s="10">
        <v>11</v>
      </c>
      <c r="E76" s="10">
        <v>13</v>
      </c>
      <c r="F76" s="10">
        <v>10</v>
      </c>
      <c r="H76" s="10">
        <v>8</v>
      </c>
      <c r="I76" s="10">
        <v>20</v>
      </c>
      <c r="J76" s="10">
        <v>20</v>
      </c>
      <c r="K76" s="10">
        <v>20</v>
      </c>
      <c r="L76" s="10">
        <v>20</v>
      </c>
      <c r="M76" s="10">
        <v>20</v>
      </c>
    </row>
    <row r="77" spans="1:13">
      <c r="A77" s="1">
        <v>9</v>
      </c>
      <c r="B77" s="1">
        <v>13</v>
      </c>
      <c r="C77" s="1">
        <v>9</v>
      </c>
      <c r="D77" s="1">
        <v>11</v>
      </c>
      <c r="E77" s="1">
        <v>13</v>
      </c>
      <c r="F77" s="1">
        <v>10</v>
      </c>
      <c r="H77" s="1">
        <v>9</v>
      </c>
      <c r="I77" s="1">
        <v>20</v>
      </c>
      <c r="J77" s="1">
        <v>20</v>
      </c>
      <c r="K77" s="1">
        <v>20</v>
      </c>
      <c r="L77" s="1">
        <v>20</v>
      </c>
      <c r="M77" s="1">
        <v>20</v>
      </c>
    </row>
    <row r="78" spans="1:13">
      <c r="A78" s="10">
        <v>10</v>
      </c>
      <c r="B78" s="10">
        <v>13</v>
      </c>
      <c r="C78" s="10">
        <v>9</v>
      </c>
      <c r="D78" s="10">
        <v>11</v>
      </c>
      <c r="E78" s="10">
        <v>13</v>
      </c>
      <c r="F78" s="10">
        <v>10</v>
      </c>
      <c r="H78" s="10">
        <v>10</v>
      </c>
      <c r="I78" s="10">
        <v>20</v>
      </c>
      <c r="J78" s="10">
        <v>20</v>
      </c>
      <c r="K78" s="10">
        <v>20</v>
      </c>
      <c r="L78" s="10">
        <v>20</v>
      </c>
      <c r="M78" s="10">
        <v>20</v>
      </c>
    </row>
    <row r="79" spans="1:13">
      <c r="A79" s="1">
        <v>11</v>
      </c>
      <c r="B79" s="1">
        <v>11</v>
      </c>
      <c r="C79" s="1">
        <v>7</v>
      </c>
      <c r="D79" s="1">
        <v>9</v>
      </c>
      <c r="E79" s="1">
        <v>11</v>
      </c>
      <c r="F79" s="1">
        <v>8</v>
      </c>
      <c r="H79" s="1">
        <v>11</v>
      </c>
      <c r="I79" s="1">
        <v>20</v>
      </c>
      <c r="J79" s="1">
        <v>20</v>
      </c>
      <c r="K79" s="1">
        <v>20</v>
      </c>
      <c r="L79" s="1">
        <v>20</v>
      </c>
      <c r="M79" s="1">
        <v>20</v>
      </c>
    </row>
    <row r="80" spans="1:13">
      <c r="A80" s="10">
        <v>12</v>
      </c>
      <c r="B80" s="10">
        <v>11</v>
      </c>
      <c r="C80" s="10">
        <v>7</v>
      </c>
      <c r="D80" s="10">
        <v>9</v>
      </c>
      <c r="E80" s="10">
        <v>11</v>
      </c>
      <c r="F80" s="10">
        <v>8</v>
      </c>
      <c r="H80" s="10">
        <v>12</v>
      </c>
      <c r="I80" s="10">
        <v>20</v>
      </c>
      <c r="J80" s="10">
        <v>20</v>
      </c>
      <c r="K80" s="10">
        <v>20</v>
      </c>
      <c r="L80" s="10">
        <v>20</v>
      </c>
      <c r="M80" s="10">
        <v>20</v>
      </c>
    </row>
    <row r="81" spans="1:25">
      <c r="A81" s="1">
        <v>13</v>
      </c>
      <c r="B81" s="1">
        <v>11</v>
      </c>
      <c r="C81" s="1">
        <v>7</v>
      </c>
      <c r="D81" s="1">
        <v>9</v>
      </c>
      <c r="E81" s="1">
        <v>11</v>
      </c>
      <c r="F81" s="1">
        <v>8</v>
      </c>
      <c r="H81" s="1">
        <v>13</v>
      </c>
      <c r="I81" s="1">
        <v>20</v>
      </c>
      <c r="J81" s="1">
        <v>20</v>
      </c>
      <c r="K81" s="1">
        <v>20</v>
      </c>
      <c r="L81" s="1">
        <v>20</v>
      </c>
      <c r="M81" s="1">
        <v>20</v>
      </c>
    </row>
    <row r="82" spans="1:25">
      <c r="A82" s="10">
        <v>14</v>
      </c>
      <c r="B82" s="10">
        <v>11</v>
      </c>
      <c r="C82" s="10">
        <v>7</v>
      </c>
      <c r="D82" s="10">
        <v>9</v>
      </c>
      <c r="E82" s="10">
        <v>11</v>
      </c>
      <c r="F82" s="10">
        <v>8</v>
      </c>
      <c r="H82" s="10">
        <v>14</v>
      </c>
      <c r="I82" s="10">
        <v>20</v>
      </c>
      <c r="J82" s="10">
        <v>20</v>
      </c>
      <c r="K82" s="10">
        <v>20</v>
      </c>
      <c r="L82" s="10">
        <v>20</v>
      </c>
      <c r="M82" s="10">
        <v>20</v>
      </c>
    </row>
    <row r="83" spans="1:25">
      <c r="A83" s="1">
        <v>15</v>
      </c>
      <c r="B83" s="1">
        <v>11</v>
      </c>
      <c r="C83" s="1">
        <v>7</v>
      </c>
      <c r="D83" s="1">
        <v>9</v>
      </c>
      <c r="E83" s="1">
        <v>11</v>
      </c>
      <c r="F83" s="1">
        <v>8</v>
      </c>
      <c r="H83" s="1">
        <v>15</v>
      </c>
      <c r="I83" s="1">
        <v>20</v>
      </c>
      <c r="J83" s="1">
        <v>20</v>
      </c>
      <c r="K83" s="1">
        <v>20</v>
      </c>
      <c r="L83" s="1">
        <v>20</v>
      </c>
      <c r="M83" s="1">
        <v>20</v>
      </c>
    </row>
    <row r="84" spans="1:25">
      <c r="A84" s="10">
        <v>16</v>
      </c>
      <c r="B84" s="10">
        <v>10</v>
      </c>
      <c r="C84" s="10">
        <v>5</v>
      </c>
      <c r="D84" s="10">
        <v>7</v>
      </c>
      <c r="E84" s="10">
        <v>9</v>
      </c>
      <c r="F84" s="10">
        <v>6</v>
      </c>
      <c r="H84" s="10">
        <v>16</v>
      </c>
      <c r="I84" s="10">
        <v>20</v>
      </c>
      <c r="J84" s="10">
        <v>20</v>
      </c>
      <c r="K84" s="10">
        <v>20</v>
      </c>
      <c r="L84" s="10">
        <v>20</v>
      </c>
      <c r="M84" s="10">
        <v>20</v>
      </c>
    </row>
    <row r="85" spans="1:25">
      <c r="A85" s="1">
        <v>17</v>
      </c>
      <c r="B85" s="1">
        <v>10</v>
      </c>
      <c r="C85" s="1">
        <v>5</v>
      </c>
      <c r="D85" s="1">
        <v>7</v>
      </c>
      <c r="E85" s="1">
        <v>9</v>
      </c>
      <c r="F85" s="1">
        <v>6</v>
      </c>
      <c r="H85" s="1">
        <v>17</v>
      </c>
      <c r="I85" s="1">
        <v>20</v>
      </c>
      <c r="J85" s="1">
        <v>20</v>
      </c>
      <c r="K85" s="1">
        <v>20</v>
      </c>
      <c r="L85" s="1">
        <v>20</v>
      </c>
      <c r="M85" s="1">
        <v>20</v>
      </c>
    </row>
    <row r="86" spans="1:25">
      <c r="A86" s="10">
        <v>18</v>
      </c>
      <c r="B86" s="10">
        <v>10</v>
      </c>
      <c r="C86" s="10">
        <v>5</v>
      </c>
      <c r="D86" s="10">
        <v>7</v>
      </c>
      <c r="E86" s="10">
        <v>9</v>
      </c>
      <c r="F86" s="10">
        <v>6</v>
      </c>
      <c r="H86" s="10">
        <v>18</v>
      </c>
      <c r="I86" s="10">
        <v>20</v>
      </c>
      <c r="J86" s="10">
        <v>20</v>
      </c>
      <c r="K86" s="10">
        <v>20</v>
      </c>
      <c r="L86" s="10">
        <v>20</v>
      </c>
      <c r="M86" s="10">
        <v>20</v>
      </c>
    </row>
    <row r="87" spans="1:25">
      <c r="A87" s="1">
        <v>19</v>
      </c>
      <c r="B87" s="1">
        <v>10</v>
      </c>
      <c r="C87" s="1">
        <v>5</v>
      </c>
      <c r="D87" s="1">
        <v>7</v>
      </c>
      <c r="E87" s="1">
        <v>9</v>
      </c>
      <c r="F87" s="1">
        <v>6</v>
      </c>
      <c r="H87" s="1">
        <v>19</v>
      </c>
      <c r="I87" s="1">
        <v>20</v>
      </c>
      <c r="J87" s="1">
        <v>20</v>
      </c>
      <c r="K87" s="1">
        <v>20</v>
      </c>
      <c r="L87" s="1">
        <v>20</v>
      </c>
      <c r="M87" s="1">
        <v>20</v>
      </c>
    </row>
    <row r="88" spans="1:25">
      <c r="A88" s="10">
        <v>20</v>
      </c>
      <c r="B88" s="10">
        <v>10</v>
      </c>
      <c r="C88" s="10">
        <v>5</v>
      </c>
      <c r="D88" s="10">
        <v>7</v>
      </c>
      <c r="E88" s="10">
        <v>9</v>
      </c>
      <c r="F88" s="10">
        <v>6</v>
      </c>
      <c r="H88" s="10">
        <v>20</v>
      </c>
      <c r="I88" s="10">
        <v>20</v>
      </c>
      <c r="J88" s="10">
        <v>20</v>
      </c>
      <c r="K88" s="10">
        <v>20</v>
      </c>
      <c r="L88" s="10">
        <v>20</v>
      </c>
      <c r="M88" s="10">
        <v>20</v>
      </c>
    </row>
    <row r="89" spans="1:25">
      <c r="A89" s="1">
        <v>21</v>
      </c>
      <c r="B89" s="1">
        <v>8</v>
      </c>
      <c r="C89" s="1">
        <v>3</v>
      </c>
      <c r="D89" s="1">
        <v>5</v>
      </c>
      <c r="E89" s="1">
        <v>7</v>
      </c>
      <c r="F89" s="1">
        <v>4</v>
      </c>
      <c r="H89" s="1">
        <v>21</v>
      </c>
      <c r="I89" s="1">
        <v>20</v>
      </c>
      <c r="J89" s="1">
        <v>20</v>
      </c>
      <c r="K89" s="1">
        <v>20</v>
      </c>
      <c r="L89" s="1">
        <v>20</v>
      </c>
      <c r="M89" s="1">
        <v>20</v>
      </c>
    </row>
    <row r="90" spans="1:25">
      <c r="A90" s="416" t="s">
        <v>59</v>
      </c>
      <c r="B90" s="416"/>
    </row>
    <row r="91" spans="1:25">
      <c r="A91" s="14">
        <v>0</v>
      </c>
      <c r="B91" s="12">
        <v>0</v>
      </c>
    </row>
    <row r="92" spans="1:25">
      <c r="A92" s="13">
        <v>1</v>
      </c>
      <c r="B92" s="11">
        <v>0</v>
      </c>
    </row>
    <row r="93" spans="1:25">
      <c r="A93" s="14">
        <v>2</v>
      </c>
      <c r="B93" s="12">
        <v>0</v>
      </c>
    </row>
    <row r="94" spans="1:25">
      <c r="A94" s="13">
        <v>3</v>
      </c>
      <c r="B94" s="11">
        <v>0</v>
      </c>
      <c r="E94" s="253" t="s">
        <v>3522</v>
      </c>
      <c r="F94" s="253"/>
      <c r="G94" s="253"/>
      <c r="H94" s="253"/>
      <c r="I94" s="253"/>
      <c r="J94" s="253"/>
      <c r="K94" s="253"/>
      <c r="L94" s="253"/>
      <c r="M94" s="253"/>
      <c r="N94" s="253"/>
      <c r="O94" s="253"/>
      <c r="P94" s="253"/>
      <c r="Q94" s="253"/>
      <c r="R94" s="253"/>
      <c r="S94" s="253"/>
      <c r="T94" s="253"/>
      <c r="U94" s="253"/>
      <c r="V94" s="253"/>
      <c r="W94" s="253"/>
      <c r="X94" s="253"/>
      <c r="Y94" s="253"/>
    </row>
    <row r="95" spans="1:25">
      <c r="A95" s="14">
        <v>4</v>
      </c>
      <c r="B95" s="12">
        <v>1</v>
      </c>
      <c r="E95" s="36" t="s">
        <v>3535</v>
      </c>
      <c r="F95" s="36">
        <v>1</v>
      </c>
      <c r="G95" s="36">
        <v>2</v>
      </c>
      <c r="H95" s="36">
        <v>3</v>
      </c>
      <c r="I95" s="36">
        <v>4</v>
      </c>
      <c r="J95" s="36">
        <v>5</v>
      </c>
      <c r="K95" s="36">
        <v>6</v>
      </c>
      <c r="L95" s="36">
        <v>7</v>
      </c>
      <c r="M95" s="36">
        <v>8</v>
      </c>
      <c r="N95" s="36">
        <v>9</v>
      </c>
      <c r="O95" s="36">
        <v>10</v>
      </c>
      <c r="P95" s="36">
        <v>11</v>
      </c>
      <c r="Q95" s="36">
        <v>12</v>
      </c>
      <c r="R95" s="36">
        <v>13</v>
      </c>
      <c r="S95" s="36">
        <v>14</v>
      </c>
      <c r="T95" s="36">
        <v>15</v>
      </c>
      <c r="U95" s="36">
        <v>16</v>
      </c>
      <c r="V95" s="36">
        <v>17</v>
      </c>
      <c r="W95" s="36">
        <v>18</v>
      </c>
      <c r="X95" s="36">
        <v>19</v>
      </c>
      <c r="Y95" s="36">
        <v>20</v>
      </c>
    </row>
    <row r="96" spans="1:25">
      <c r="A96" s="13">
        <v>5</v>
      </c>
      <c r="B96" s="11">
        <v>1</v>
      </c>
      <c r="E96" s="183" t="s">
        <v>157</v>
      </c>
      <c r="F96" s="183">
        <v>20</v>
      </c>
      <c r="G96" s="183">
        <v>20</v>
      </c>
      <c r="H96" s="183">
        <v>20</v>
      </c>
      <c r="I96" s="183">
        <v>18</v>
      </c>
      <c r="J96" s="183">
        <v>18</v>
      </c>
      <c r="K96" s="183">
        <v>18</v>
      </c>
      <c r="L96" s="183">
        <v>16</v>
      </c>
      <c r="M96" s="183">
        <v>16</v>
      </c>
      <c r="N96" s="183">
        <v>16</v>
      </c>
      <c r="O96" s="183">
        <v>14</v>
      </c>
      <c r="P96" s="183">
        <v>14</v>
      </c>
      <c r="Q96" s="183">
        <v>14</v>
      </c>
      <c r="R96" s="183">
        <v>12</v>
      </c>
      <c r="S96" s="183">
        <v>12</v>
      </c>
      <c r="T96" s="183">
        <v>12</v>
      </c>
      <c r="U96" s="183">
        <v>10</v>
      </c>
      <c r="V96" s="183">
        <v>10</v>
      </c>
      <c r="W96" s="183">
        <v>10</v>
      </c>
      <c r="X96" s="183">
        <v>8</v>
      </c>
      <c r="Y96" s="183">
        <v>8</v>
      </c>
    </row>
    <row r="97" spans="1:25">
      <c r="A97" s="14">
        <v>6</v>
      </c>
      <c r="B97" s="12">
        <v>1</v>
      </c>
      <c r="E97" s="183" t="s">
        <v>191</v>
      </c>
      <c r="F97" s="183">
        <v>20</v>
      </c>
      <c r="G97" s="183">
        <v>20</v>
      </c>
      <c r="H97" s="183">
        <v>19</v>
      </c>
      <c r="I97" s="183">
        <v>19</v>
      </c>
      <c r="J97" s="183">
        <v>18</v>
      </c>
      <c r="K97" s="183">
        <v>18</v>
      </c>
      <c r="L97" s="183">
        <v>17</v>
      </c>
      <c r="M97" s="183">
        <v>17</v>
      </c>
      <c r="N97" s="183">
        <v>16</v>
      </c>
      <c r="O97" s="183">
        <v>16</v>
      </c>
      <c r="P97" s="183">
        <v>15</v>
      </c>
      <c r="Q97" s="183">
        <v>15</v>
      </c>
      <c r="R97" s="183">
        <v>14</v>
      </c>
      <c r="S97" s="183">
        <v>14</v>
      </c>
      <c r="T97" s="183">
        <v>13</v>
      </c>
      <c r="U97" s="183">
        <v>13</v>
      </c>
      <c r="V97" s="183">
        <v>12</v>
      </c>
      <c r="W97" s="183">
        <v>12</v>
      </c>
      <c r="X97" s="183">
        <v>11</v>
      </c>
      <c r="Y97" s="183">
        <v>11</v>
      </c>
    </row>
    <row r="98" spans="1:25">
      <c r="A98" s="13">
        <v>7</v>
      </c>
      <c r="B98" s="11">
        <v>2</v>
      </c>
      <c r="E98" s="183" t="s">
        <v>3534</v>
      </c>
      <c r="F98" s="183">
        <v>20</v>
      </c>
      <c r="G98" s="183">
        <v>19</v>
      </c>
      <c r="H98" s="183">
        <v>18</v>
      </c>
      <c r="I98" s="183">
        <v>17</v>
      </c>
      <c r="J98" s="183">
        <v>16</v>
      </c>
      <c r="K98" s="183">
        <v>15</v>
      </c>
      <c r="L98" s="183">
        <v>14</v>
      </c>
      <c r="M98" s="183">
        <v>13</v>
      </c>
      <c r="N98" s="183">
        <v>12</v>
      </c>
      <c r="O98" s="183">
        <v>11</v>
      </c>
      <c r="P98" s="183">
        <v>10</v>
      </c>
      <c r="Q98" s="183">
        <v>9</v>
      </c>
      <c r="R98" s="183">
        <v>8</v>
      </c>
      <c r="S98" s="183">
        <v>7</v>
      </c>
      <c r="T98" s="183">
        <v>6</v>
      </c>
      <c r="U98" s="183">
        <v>5</v>
      </c>
      <c r="V98" s="183">
        <v>4</v>
      </c>
      <c r="W98" s="183">
        <v>3</v>
      </c>
      <c r="X98" s="183">
        <v>2</v>
      </c>
      <c r="Y98" s="183">
        <v>1</v>
      </c>
    </row>
    <row r="99" spans="1:25">
      <c r="A99" s="14">
        <v>8</v>
      </c>
      <c r="B99" s="12">
        <v>2</v>
      </c>
      <c r="E99" s="183" t="s">
        <v>223</v>
      </c>
      <c r="F99" s="183">
        <v>20</v>
      </c>
      <c r="G99" s="183">
        <v>20</v>
      </c>
      <c r="H99" s="183">
        <v>20</v>
      </c>
      <c r="I99" s="183">
        <v>19</v>
      </c>
      <c r="J99" s="183">
        <v>19</v>
      </c>
      <c r="K99" s="183">
        <v>19</v>
      </c>
      <c r="L99" s="183">
        <v>18</v>
      </c>
      <c r="M99" s="183">
        <v>18</v>
      </c>
      <c r="N99" s="183">
        <v>18</v>
      </c>
      <c r="O99" s="183">
        <v>17</v>
      </c>
      <c r="P99" s="183">
        <v>17</v>
      </c>
      <c r="Q99" s="183">
        <v>17</v>
      </c>
      <c r="R99" s="183">
        <v>16</v>
      </c>
      <c r="S99" s="183">
        <v>16</v>
      </c>
      <c r="T99" s="183">
        <v>16</v>
      </c>
      <c r="U99" s="183">
        <v>15</v>
      </c>
      <c r="V99" s="183">
        <v>15</v>
      </c>
      <c r="W99" s="183">
        <v>15</v>
      </c>
      <c r="X99" s="183">
        <v>14</v>
      </c>
      <c r="Y99" s="183">
        <v>14</v>
      </c>
    </row>
    <row r="100" spans="1:25">
      <c r="A100" s="13">
        <v>9</v>
      </c>
      <c r="B100" s="11">
        <v>2</v>
      </c>
      <c r="E100" s="183" t="s">
        <v>192</v>
      </c>
      <c r="F100" s="183">
        <v>20</v>
      </c>
      <c r="G100" s="183">
        <v>20</v>
      </c>
      <c r="H100" s="183">
        <v>19</v>
      </c>
      <c r="I100" s="183">
        <v>19</v>
      </c>
      <c r="J100" s="183">
        <v>18</v>
      </c>
      <c r="K100" s="183">
        <v>18</v>
      </c>
      <c r="L100" s="183">
        <v>17</v>
      </c>
      <c r="M100" s="183">
        <v>17</v>
      </c>
      <c r="N100" s="183">
        <v>16</v>
      </c>
      <c r="O100" s="183">
        <v>16</v>
      </c>
      <c r="P100" s="183">
        <v>15</v>
      </c>
      <c r="Q100" s="183">
        <v>15</v>
      </c>
      <c r="R100" s="183">
        <v>14</v>
      </c>
      <c r="S100" s="183">
        <v>14</v>
      </c>
      <c r="T100" s="183">
        <v>13</v>
      </c>
      <c r="U100" s="183">
        <v>13</v>
      </c>
      <c r="V100" s="183">
        <v>12</v>
      </c>
      <c r="W100" s="183">
        <v>12</v>
      </c>
      <c r="X100" s="183">
        <v>11</v>
      </c>
      <c r="Y100" s="183">
        <v>11</v>
      </c>
    </row>
    <row r="101" spans="1:25">
      <c r="A101" s="14">
        <v>10</v>
      </c>
      <c r="B101" s="12">
        <v>2</v>
      </c>
      <c r="E101" s="183" t="s">
        <v>158</v>
      </c>
      <c r="F101" s="27">
        <v>20</v>
      </c>
      <c r="G101" s="27">
        <v>20</v>
      </c>
      <c r="H101" s="27">
        <v>20</v>
      </c>
      <c r="I101" s="27">
        <v>20</v>
      </c>
      <c r="J101" s="27">
        <v>20</v>
      </c>
      <c r="K101" s="27">
        <v>20</v>
      </c>
      <c r="L101" s="27">
        <v>20</v>
      </c>
      <c r="M101" s="27">
        <v>20</v>
      </c>
      <c r="N101" s="27">
        <v>20</v>
      </c>
      <c r="O101" s="27">
        <v>20</v>
      </c>
      <c r="P101" s="27">
        <v>20</v>
      </c>
      <c r="Q101" s="27">
        <v>20</v>
      </c>
      <c r="R101" s="27">
        <v>20</v>
      </c>
      <c r="S101" s="27">
        <v>20</v>
      </c>
      <c r="T101" s="27">
        <v>20</v>
      </c>
      <c r="U101" s="27">
        <v>20</v>
      </c>
      <c r="V101" s="27">
        <v>20</v>
      </c>
      <c r="W101" s="27">
        <v>20</v>
      </c>
      <c r="X101" s="27">
        <v>20</v>
      </c>
      <c r="Y101" s="27">
        <v>20</v>
      </c>
    </row>
    <row r="102" spans="1:25">
      <c r="A102" s="13">
        <v>11</v>
      </c>
      <c r="B102" s="11">
        <v>3</v>
      </c>
    </row>
    <row r="103" spans="1:25">
      <c r="A103" s="14">
        <v>12</v>
      </c>
      <c r="B103" s="12">
        <v>3</v>
      </c>
      <c r="J103">
        <f>VLOOKUP(Classe,Class_mod,16,FALSE)</f>
        <v>0</v>
      </c>
      <c r="K103">
        <f>VLOOKUP(Classe2,Class_mod,16,FALSE)</f>
        <v>0</v>
      </c>
      <c r="L103">
        <f>VLOOKUP(Classe3,Class_mod,16,FALSE)</f>
        <v>0</v>
      </c>
      <c r="M103" t="s">
        <v>3537</v>
      </c>
    </row>
    <row r="104" spans="1:25">
      <c r="A104" s="13">
        <v>13</v>
      </c>
      <c r="B104" s="11">
        <v>3</v>
      </c>
      <c r="I104" t="s">
        <v>3536</v>
      </c>
      <c r="J104">
        <f>IF(OR(level=0,J103=0),20,VLOOKUP(J103,Base_TAC0,level+1,FALSE))</f>
        <v>20</v>
      </c>
      <c r="K104">
        <f>IF(OR(levelc2=0,K103=0),20,VLOOKUP(K103,Base_TAC0,levelc2+1,FALSE))</f>
        <v>20</v>
      </c>
      <c r="L104">
        <f>IF(OR(levelc3=0,L103=0),20,VLOOKUP(L103,Base_TAC0,levelc3+1,FALSE))</f>
        <v>20</v>
      </c>
      <c r="M104">
        <f>MIN(J104:L104)</f>
        <v>20</v>
      </c>
    </row>
    <row r="105" spans="1:25">
      <c r="A105" s="14">
        <v>14</v>
      </c>
      <c r="B105" s="12">
        <v>4</v>
      </c>
    </row>
    <row r="106" spans="1:25">
      <c r="A106" s="13">
        <v>15</v>
      </c>
      <c r="B106" s="11">
        <v>4</v>
      </c>
    </row>
    <row r="107" spans="1:25">
      <c r="A107" s="14">
        <v>16</v>
      </c>
      <c r="B107" s="12">
        <v>4</v>
      </c>
    </row>
    <row r="108" spans="1:25">
      <c r="A108" s="13">
        <v>17</v>
      </c>
      <c r="B108" s="11">
        <v>4</v>
      </c>
    </row>
    <row r="109" spans="1:25">
      <c r="A109" s="14">
        <v>18</v>
      </c>
      <c r="B109" s="12">
        <v>5</v>
      </c>
    </row>
    <row r="110" spans="1:25">
      <c r="A110" s="13">
        <v>19</v>
      </c>
      <c r="B110" s="11">
        <v>5</v>
      </c>
    </row>
    <row r="111" spans="1:25">
      <c r="A111" s="14">
        <v>20</v>
      </c>
      <c r="B111" s="12">
        <v>5</v>
      </c>
    </row>
    <row r="112" spans="1:25">
      <c r="A112" s="13">
        <v>21</v>
      </c>
      <c r="B112" s="11">
        <v>6</v>
      </c>
    </row>
    <row r="113" spans="1:2">
      <c r="A113" s="14">
        <v>22</v>
      </c>
      <c r="B113" s="12">
        <v>6</v>
      </c>
    </row>
    <row r="114" spans="1:2">
      <c r="A114" s="13">
        <v>23</v>
      </c>
      <c r="B114" s="11">
        <v>6</v>
      </c>
    </row>
    <row r="115" spans="1:2">
      <c r="A115" s="14">
        <v>24</v>
      </c>
      <c r="B115" s="12">
        <v>6</v>
      </c>
    </row>
    <row r="116" spans="1:2">
      <c r="A116" s="13">
        <v>25</v>
      </c>
      <c r="B116" s="11">
        <v>6</v>
      </c>
    </row>
  </sheetData>
  <mergeCells count="28">
    <mergeCell ref="H68:M68"/>
    <mergeCell ref="J14:K14"/>
    <mergeCell ref="H20:I20"/>
    <mergeCell ref="E94:Y94"/>
    <mergeCell ref="Q25:S25"/>
    <mergeCell ref="H41:I41"/>
    <mergeCell ref="H42:I42"/>
    <mergeCell ref="H43:I43"/>
    <mergeCell ref="H30:I30"/>
    <mergeCell ref="H29:X29"/>
    <mergeCell ref="H39:I39"/>
    <mergeCell ref="H40:I40"/>
    <mergeCell ref="A90:B90"/>
    <mergeCell ref="A1:F1"/>
    <mergeCell ref="A23:F23"/>
    <mergeCell ref="A45:F45"/>
    <mergeCell ref="A68:F68"/>
    <mergeCell ref="H5:I5"/>
    <mergeCell ref="G45:L45"/>
    <mergeCell ref="H31:I31"/>
    <mergeCell ref="H32:I32"/>
    <mergeCell ref="H33:I33"/>
    <mergeCell ref="H34:I34"/>
    <mergeCell ref="H35:I35"/>
    <mergeCell ref="H36:I36"/>
    <mergeCell ref="H37:I37"/>
    <mergeCell ref="H38:I38"/>
    <mergeCell ref="H14:I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R137"/>
  <sheetViews>
    <sheetView zoomScale="85" zoomScaleNormal="85" workbookViewId="0">
      <selection activeCell="W20" sqref="A19:W20"/>
    </sheetView>
  </sheetViews>
  <sheetFormatPr defaultRowHeight="15"/>
  <cols>
    <col min="1" max="1" width="28.7109375" customWidth="1"/>
  </cols>
  <sheetData>
    <row r="1" spans="1:44">
      <c r="A1" t="s">
        <v>200</v>
      </c>
      <c r="B1" t="s">
        <v>2420</v>
      </c>
      <c r="C1" t="s">
        <v>2421</v>
      </c>
      <c r="D1" t="s">
        <v>2422</v>
      </c>
      <c r="F1" t="s">
        <v>3280</v>
      </c>
      <c r="G1" t="s">
        <v>3281</v>
      </c>
      <c r="H1" t="s">
        <v>2423</v>
      </c>
      <c r="M1" s="420" t="s">
        <v>184</v>
      </c>
      <c r="N1" s="420"/>
      <c r="O1" s="420"/>
      <c r="P1" s="420"/>
      <c r="Q1" s="420"/>
      <c r="R1" s="420"/>
      <c r="AE1" s="420" t="s">
        <v>3265</v>
      </c>
      <c r="AF1" s="420"/>
      <c r="AJ1" t="s">
        <v>3278</v>
      </c>
      <c r="AQ1" s="418" t="s">
        <v>3314</v>
      </c>
      <c r="AR1" s="418"/>
    </row>
    <row r="2" spans="1:44">
      <c r="A2" t="s">
        <v>101</v>
      </c>
      <c r="B2">
        <v>1</v>
      </c>
      <c r="C2" t="s">
        <v>194</v>
      </c>
      <c r="D2">
        <v>0</v>
      </c>
      <c r="E2" t="s">
        <v>222</v>
      </c>
      <c r="F2">
        <v>3</v>
      </c>
      <c r="G2">
        <v>7</v>
      </c>
      <c r="H2" t="s">
        <v>3273</v>
      </c>
      <c r="M2" s="420"/>
      <c r="N2" s="420" t="s">
        <v>185</v>
      </c>
      <c r="O2" s="420"/>
      <c r="P2" s="420"/>
      <c r="Q2" s="420" t="s">
        <v>186</v>
      </c>
      <c r="R2" s="420"/>
      <c r="V2" s="420" t="s">
        <v>3671</v>
      </c>
      <c r="W2" s="420"/>
      <c r="Z2" s="36" t="s">
        <v>3279</v>
      </c>
      <c r="AA2" s="36" t="s">
        <v>187</v>
      </c>
      <c r="AB2" s="36" t="s">
        <v>3672</v>
      </c>
      <c r="AE2" s="171">
        <v>0</v>
      </c>
      <c r="AF2" s="171">
        <v>-5</v>
      </c>
      <c r="AJ2" t="s">
        <v>3266</v>
      </c>
      <c r="AK2">
        <f>VLOOKUP(Score_END,Tab_comp_mod_score,2,FALSE)</f>
        <v>-5</v>
      </c>
      <c r="AL2" t="s">
        <v>3283</v>
      </c>
      <c r="AQ2" s="174" t="s">
        <v>728</v>
      </c>
      <c r="AR2" s="174" t="s">
        <v>227</v>
      </c>
    </row>
    <row r="3" spans="1:44">
      <c r="A3" t="s">
        <v>102</v>
      </c>
      <c r="B3">
        <v>1</v>
      </c>
      <c r="C3" t="s">
        <v>195</v>
      </c>
      <c r="D3">
        <v>-1</v>
      </c>
      <c r="E3" t="s">
        <v>222</v>
      </c>
      <c r="F3">
        <v>2</v>
      </c>
      <c r="G3">
        <v>8</v>
      </c>
      <c r="H3" t="str">
        <f>IF(VLOOKUP("Sag/Int",Tab_comp_ajust_2.5,2,FALSE)&gt;VLOOKUP("Int/Int",Tab_comp_ajust_2.5,2,FALSE),"Sag/Int","Int/Int")</f>
        <v>Int/Int</v>
      </c>
      <c r="M3" s="420"/>
      <c r="N3" s="26" t="s">
        <v>189</v>
      </c>
      <c r="O3" s="26" t="s">
        <v>188</v>
      </c>
      <c r="P3" s="26" t="s">
        <v>190</v>
      </c>
      <c r="Q3" s="26" t="s">
        <v>189</v>
      </c>
      <c r="R3" s="26" t="s">
        <v>188</v>
      </c>
      <c r="V3" s="210">
        <v>0</v>
      </c>
      <c r="W3" s="210">
        <v>0</v>
      </c>
      <c r="Z3" s="210">
        <f>'Feuille 1'!A83</f>
        <v>0</v>
      </c>
      <c r="AA3" s="210">
        <f>'Feuille 1'!L83</f>
        <v>0</v>
      </c>
      <c r="AB3" s="210">
        <f t="shared" ref="AB3:AB10" si="0">VLOOKUP(AA3,Comp_martiales_cost,2,FALSE)</f>
        <v>0</v>
      </c>
      <c r="AE3" s="171">
        <v>1</v>
      </c>
      <c r="AF3" s="171">
        <v>-5</v>
      </c>
      <c r="AJ3" t="s">
        <v>3267</v>
      </c>
      <c r="AK3">
        <f>VLOOKUP(Score_PUI,Tab_comp_mod_score,2,FALSE)</f>
        <v>-5</v>
      </c>
      <c r="AL3" t="s">
        <v>3284</v>
      </c>
      <c r="AQ3" s="176" t="s">
        <v>3315</v>
      </c>
      <c r="AR3" s="176" t="s">
        <v>3435</v>
      </c>
    </row>
    <row r="4" spans="1:44">
      <c r="A4" t="s">
        <v>103</v>
      </c>
      <c r="B4">
        <v>1</v>
      </c>
      <c r="C4" t="s">
        <v>194</v>
      </c>
      <c r="D4">
        <v>0</v>
      </c>
      <c r="E4" t="s">
        <v>222</v>
      </c>
      <c r="F4">
        <v>3</v>
      </c>
      <c r="G4" t="s">
        <v>168</v>
      </c>
      <c r="H4" t="s">
        <v>3274</v>
      </c>
      <c r="M4" s="15" t="s">
        <v>29</v>
      </c>
      <c r="N4" s="15">
        <v>4</v>
      </c>
      <c r="O4" s="15">
        <v>3</v>
      </c>
      <c r="P4" s="15">
        <v>-2</v>
      </c>
      <c r="Q4" s="15">
        <v>3</v>
      </c>
      <c r="R4" s="15">
        <v>3</v>
      </c>
      <c r="V4" s="210" t="s">
        <v>1795</v>
      </c>
      <c r="W4" s="210">
        <v>1</v>
      </c>
      <c r="Z4" s="210">
        <f>'Feuille 1'!A84</f>
        <v>0</v>
      </c>
      <c r="AA4" s="210">
        <f>'Feuille 1'!L84</f>
        <v>0</v>
      </c>
      <c r="AB4" s="210">
        <f t="shared" si="0"/>
        <v>0</v>
      </c>
      <c r="AE4" s="171">
        <v>2</v>
      </c>
      <c r="AF4" s="171">
        <v>-5</v>
      </c>
      <c r="AJ4" t="s">
        <v>3268</v>
      </c>
      <c r="AK4">
        <f>VLOOKUP(Score_PRE,Tab_comp_mod_score,2,FALSE)</f>
        <v>-5</v>
      </c>
      <c r="AL4" t="s">
        <v>3285</v>
      </c>
      <c r="AQ4" s="175" t="s">
        <v>3316</v>
      </c>
      <c r="AR4" s="175" t="s">
        <v>3435</v>
      </c>
    </row>
    <row r="5" spans="1:44">
      <c r="A5" t="s">
        <v>104</v>
      </c>
      <c r="B5">
        <v>1</v>
      </c>
      <c r="C5" t="s">
        <v>196</v>
      </c>
      <c r="D5">
        <v>0</v>
      </c>
      <c r="E5" t="s">
        <v>222</v>
      </c>
      <c r="F5">
        <v>2</v>
      </c>
      <c r="G5">
        <v>5</v>
      </c>
      <c r="H5" t="s">
        <v>3277</v>
      </c>
      <c r="M5" s="15" t="s">
        <v>57</v>
      </c>
      <c r="N5" s="15">
        <v>1</v>
      </c>
      <c r="O5" s="15">
        <v>6</v>
      </c>
      <c r="P5" s="15">
        <v>-5</v>
      </c>
      <c r="Q5" s="15">
        <v>4</v>
      </c>
      <c r="R5" s="15">
        <v>3</v>
      </c>
      <c r="V5" s="210" t="s">
        <v>3667</v>
      </c>
      <c r="W5" s="210">
        <v>1</v>
      </c>
      <c r="Z5" s="210">
        <f>'Feuille 1'!A85</f>
        <v>0</v>
      </c>
      <c r="AA5" s="210">
        <f>'Feuille 1'!L85</f>
        <v>0</v>
      </c>
      <c r="AB5" s="210">
        <f t="shared" si="0"/>
        <v>0</v>
      </c>
      <c r="AE5" s="171">
        <v>3</v>
      </c>
      <c r="AF5" s="171">
        <v>-5</v>
      </c>
      <c r="AJ5" t="s">
        <v>3269</v>
      </c>
      <c r="AK5">
        <f>VLOOKUP(Score_EQU,Tab_comp_mod_score,2,FALSE)</f>
        <v>-5</v>
      </c>
      <c r="AL5" t="s">
        <v>3286</v>
      </c>
      <c r="AQ5" s="176" t="s">
        <v>3317</v>
      </c>
      <c r="AR5" s="176" t="s">
        <v>3435</v>
      </c>
    </row>
    <row r="6" spans="1:44">
      <c r="A6" t="s">
        <v>105</v>
      </c>
      <c r="B6">
        <v>1</v>
      </c>
      <c r="C6" t="s">
        <v>197</v>
      </c>
      <c r="D6">
        <v>0</v>
      </c>
      <c r="E6" t="s">
        <v>222</v>
      </c>
      <c r="F6">
        <v>3</v>
      </c>
      <c r="G6">
        <v>7</v>
      </c>
      <c r="H6" t="str">
        <f>IF(VLOOKUP("For/End",Tab_comp_ajust_2.5,2,FALSE)&gt;VLOOKUP("Int/Éru",Tab_comp_ajust_2.5,2,FALSE),"For/End","Int/Éru")</f>
        <v>Int/Éru</v>
      </c>
      <c r="M6" s="15" t="s">
        <v>157</v>
      </c>
      <c r="N6" s="15">
        <v>2</v>
      </c>
      <c r="O6" s="15">
        <v>4</v>
      </c>
      <c r="P6" s="15">
        <v>-3</v>
      </c>
      <c r="Q6" s="15">
        <v>4</v>
      </c>
      <c r="R6" s="15">
        <v>3</v>
      </c>
      <c r="V6" s="210" t="s">
        <v>3668</v>
      </c>
      <c r="W6" s="210">
        <v>2</v>
      </c>
      <c r="Z6" s="210">
        <f>'Feuille 1'!A86</f>
        <v>0</v>
      </c>
      <c r="AA6" s="210">
        <f>'Feuille 1'!L86</f>
        <v>0</v>
      </c>
      <c r="AB6" s="210">
        <f t="shared" si="0"/>
        <v>0</v>
      </c>
      <c r="AE6" s="171">
        <v>4</v>
      </c>
      <c r="AF6" s="171">
        <v>-4</v>
      </c>
      <c r="AJ6" t="s">
        <v>3270</v>
      </c>
      <c r="AK6">
        <f>VLOOKUP(Score_RES,Tab_comp_mod_score,2,FALSE)</f>
        <v>-5</v>
      </c>
      <c r="AL6" t="s">
        <v>3287</v>
      </c>
      <c r="AQ6" s="175" t="s">
        <v>3318</v>
      </c>
      <c r="AR6" s="175" t="s">
        <v>3435</v>
      </c>
    </row>
    <row r="7" spans="1:44">
      <c r="A7" t="s">
        <v>106</v>
      </c>
      <c r="B7">
        <v>1</v>
      </c>
      <c r="C7" t="s">
        <v>198</v>
      </c>
      <c r="D7">
        <v>0</v>
      </c>
      <c r="E7" t="s">
        <v>222</v>
      </c>
      <c r="F7">
        <v>3</v>
      </c>
      <c r="G7">
        <v>7</v>
      </c>
      <c r="H7" t="str">
        <f>IF(VLOOKUP("Dex/Pré",Tab_comp_ajust_2.5,2,FALSE)&gt;VLOOKUP("Int/Éru",Tab_comp_ajust_2.5,2,FALSE),"Dex/Pré","Int/Éru")</f>
        <v>Int/Éru</v>
      </c>
      <c r="M7" s="15" t="s">
        <v>191</v>
      </c>
      <c r="N7" s="15">
        <v>2</v>
      </c>
      <c r="O7" s="15">
        <v>4</v>
      </c>
      <c r="P7" s="15">
        <v>-3</v>
      </c>
      <c r="Q7" s="15">
        <v>3</v>
      </c>
      <c r="R7" s="15">
        <v>4</v>
      </c>
      <c r="V7" s="210" t="s">
        <v>3532</v>
      </c>
      <c r="W7" s="210">
        <v>2</v>
      </c>
      <c r="Z7" s="210">
        <f>'Feuille 1'!N83</f>
        <v>0</v>
      </c>
      <c r="AA7" s="210">
        <f>'Feuille 1'!Y83</f>
        <v>0</v>
      </c>
      <c r="AB7" s="210">
        <f t="shared" si="0"/>
        <v>0</v>
      </c>
      <c r="AE7" s="171">
        <v>5</v>
      </c>
      <c r="AF7" s="171">
        <v>-3</v>
      </c>
      <c r="AJ7" t="s">
        <v>3271</v>
      </c>
      <c r="AK7">
        <f>VLOOKUP(Score_VIG,Tab_comp_mod_score,2,FALSE)</f>
        <v>-5</v>
      </c>
      <c r="AL7" t="s">
        <v>3288</v>
      </c>
      <c r="AQ7" s="176" t="s">
        <v>3319</v>
      </c>
      <c r="AR7" s="176" t="s">
        <v>3435</v>
      </c>
    </row>
    <row r="8" spans="1:44">
      <c r="A8" t="s">
        <v>107</v>
      </c>
      <c r="B8">
        <v>1</v>
      </c>
      <c r="C8" t="s">
        <v>198</v>
      </c>
      <c r="D8">
        <v>-1</v>
      </c>
      <c r="E8" t="s">
        <v>222</v>
      </c>
      <c r="F8">
        <v>3</v>
      </c>
      <c r="G8">
        <v>7</v>
      </c>
      <c r="H8" t="str">
        <f>IF(VLOOKUP("Dex/Pré",Tab_comp_ajust_2.5,2,FALSE)&gt;VLOOKUP("Int/Int",Tab_comp_ajust_2.5,2,FALSE),"Dex/Pré","Int/Int")</f>
        <v>Int/Int</v>
      </c>
      <c r="M8" s="15" t="s">
        <v>192</v>
      </c>
      <c r="N8" s="15">
        <v>2</v>
      </c>
      <c r="O8" s="15">
        <v>5</v>
      </c>
      <c r="P8" s="15">
        <v>-4</v>
      </c>
      <c r="Q8" s="15">
        <v>3</v>
      </c>
      <c r="R8" s="15">
        <v>3</v>
      </c>
      <c r="V8" s="210" t="s">
        <v>3669</v>
      </c>
      <c r="W8" s="210">
        <v>3</v>
      </c>
      <c r="Z8" s="210">
        <f>'Feuille 1'!N84</f>
        <v>0</v>
      </c>
      <c r="AA8" s="210">
        <f>'Feuille 1'!Y84</f>
        <v>0</v>
      </c>
      <c r="AB8" s="210">
        <f t="shared" si="0"/>
        <v>0</v>
      </c>
      <c r="AE8" s="171">
        <v>6</v>
      </c>
      <c r="AF8" s="171">
        <v>-2</v>
      </c>
      <c r="AJ8" t="s">
        <v>3272</v>
      </c>
      <c r="AK8">
        <f>VLOOKUP(Score_INTct,Tab_comp_mod_score,2,FALSE)</f>
        <v>-5</v>
      </c>
      <c r="AL8" t="s">
        <v>3289</v>
      </c>
      <c r="AQ8" s="175" t="s">
        <v>3320</v>
      </c>
      <c r="AR8" s="175" t="s">
        <v>3435</v>
      </c>
    </row>
    <row r="9" spans="1:44">
      <c r="A9" t="s">
        <v>108</v>
      </c>
      <c r="B9">
        <v>1</v>
      </c>
      <c r="C9" t="s">
        <v>194</v>
      </c>
      <c r="D9">
        <v>0</v>
      </c>
      <c r="E9" t="s">
        <v>222</v>
      </c>
      <c r="F9">
        <v>3</v>
      </c>
      <c r="G9">
        <v>7</v>
      </c>
      <c r="H9" t="s">
        <v>3272</v>
      </c>
      <c r="M9" s="15">
        <v>0</v>
      </c>
      <c r="N9" s="27">
        <v>0</v>
      </c>
      <c r="O9" s="27">
        <v>50</v>
      </c>
      <c r="P9" s="27">
        <v>-6</v>
      </c>
      <c r="Q9" s="27">
        <v>0</v>
      </c>
      <c r="R9" s="15">
        <v>50</v>
      </c>
      <c r="V9" s="210" t="s">
        <v>3670</v>
      </c>
      <c r="W9" s="210">
        <v>4</v>
      </c>
      <c r="Z9" s="210">
        <f>'Feuille 1'!N85</f>
        <v>0</v>
      </c>
      <c r="AA9" s="210">
        <f>'Feuille 1'!Y85</f>
        <v>0</v>
      </c>
      <c r="AB9" s="210">
        <f t="shared" si="0"/>
        <v>0</v>
      </c>
      <c r="AE9" s="171">
        <v>7</v>
      </c>
      <c r="AF9" s="171">
        <v>-1</v>
      </c>
      <c r="AJ9" t="s">
        <v>3273</v>
      </c>
      <c r="AK9">
        <f>VLOOKUP(Score_ERU,Tab_comp_mod_score,2,FALSE)</f>
        <v>-5</v>
      </c>
      <c r="AL9" t="s">
        <v>3290</v>
      </c>
      <c r="AQ9" s="176" t="s">
        <v>3321</v>
      </c>
      <c r="AR9" s="176" t="s">
        <v>3435</v>
      </c>
    </row>
    <row r="10" spans="1:44">
      <c r="A10" t="s">
        <v>109</v>
      </c>
      <c r="B10">
        <v>1</v>
      </c>
      <c r="C10" t="s">
        <v>198</v>
      </c>
      <c r="D10">
        <v>0</v>
      </c>
      <c r="E10" t="s">
        <v>222</v>
      </c>
      <c r="F10">
        <v>2</v>
      </c>
      <c r="G10">
        <v>6</v>
      </c>
      <c r="H10" t="str">
        <f>IF(VLOOKUP("Dex/Équ",Tab_comp_ajust_2.5,2,FALSE)&gt;VLOOKUP("Cha/Cha",Tab_comp_ajust_2.5,2,FALSE),"Dex/Équ","Cha/Cha")</f>
        <v>Cha/Cha</v>
      </c>
      <c r="N10">
        <f>MAX(VLOOKUP(N11,Tab_compétences,2,FALSE),VLOOKUP(O11,Tab_compétences,2,FALSE),VLOOKUP(P11,Tab_compétences,2,FALSE))</f>
        <v>0</v>
      </c>
      <c r="O10">
        <f>MIN(VLOOKUP(N11,Tab_compétences,3,FALSE),VLOOKUP(O11,Tab_compétences,3,FALSE),VLOOKUP(P11,Tab_compétences,3,FALSE))</f>
        <v>50</v>
      </c>
      <c r="P10" t="str">
        <f>IF(MAX(VLOOKUP(N11,Tab_compétences,4,FALSE),VLOOKUP(O11,Tab_compétences,4,FALSE),VLOOKUP(P11,Tab_compétences,4,FALSE))=-6,"",MAX(VLOOKUP(N11,Tab_compétences,4,FALSE),VLOOKUP(O11,Tab_compétences,4,FALSE),VLOOKUP(P11,Tab_compétences,4,FALSE)))</f>
        <v/>
      </c>
      <c r="Q10">
        <f>MAX(VLOOKUP(N11,Tab_compétences,5,FALSE),VLOOKUP(O11,Tab_compétences,5,FALSE),VLOOKUP(P11,Tab_compétences,5,FALSE))</f>
        <v>0</v>
      </c>
      <c r="R10">
        <f>MIN(VLOOKUP(N11,Tab_compétences,6,FALSE),VLOOKUP(O11,Tab_compétences,6,FALSE),VLOOKUP(P11,Tab_compétences,6,FALSE))</f>
        <v>50</v>
      </c>
      <c r="Z10" s="210">
        <f>'Feuille 1'!N86</f>
        <v>0</v>
      </c>
      <c r="AA10" s="210">
        <f>'Feuille 1'!Y86</f>
        <v>0</v>
      </c>
      <c r="AB10" s="210">
        <f t="shared" si="0"/>
        <v>0</v>
      </c>
      <c r="AE10" s="171">
        <v>8</v>
      </c>
      <c r="AF10" s="171">
        <v>0</v>
      </c>
      <c r="AJ10" t="s">
        <v>3274</v>
      </c>
      <c r="AK10">
        <f>VLOOKUP(Score_VOL,Tab_comp_mod_score,2,FALSE)</f>
        <v>-5</v>
      </c>
      <c r="AL10" t="s">
        <v>3291</v>
      </c>
      <c r="AQ10" s="175" t="s">
        <v>3322</v>
      </c>
      <c r="AR10" s="175" t="s">
        <v>3435</v>
      </c>
    </row>
    <row r="11" spans="1:44">
      <c r="A11" s="162" t="s">
        <v>110</v>
      </c>
      <c r="B11" s="162">
        <v>1</v>
      </c>
      <c r="C11" s="162" t="s">
        <v>195</v>
      </c>
      <c r="D11" s="162">
        <v>0</v>
      </c>
      <c r="E11" s="162" t="s">
        <v>222</v>
      </c>
      <c r="F11" s="162"/>
      <c r="G11" s="162"/>
      <c r="H11" s="162"/>
      <c r="N11">
        <f>IF('Saving Throws'!H12="ST_Mages","Mage",IF('Saving Throws'!H12="ST_Roub","Roublard",IF('Saving Throws'!H12="ST_Pretres","Prêtre",IF('Saving Throws'!H12="ST_Psi","Psioniste",IF('Saving Throws'!H12="ST_War","Guerrier",0)))))</f>
        <v>0</v>
      </c>
      <c r="O11">
        <f>IF('Saving Throws'!I12="ST_Mages","Mage",IF('Saving Throws'!I12="ST_Roub","Roublard",IF('Saving Throws'!I12="ST_Pretres","Prêtre",IF('Saving Throws'!I12="ST_Psi","Psioniste",IF('Saving Throws'!I12="ST_War","Guerrier",0)))))</f>
        <v>0</v>
      </c>
      <c r="P11">
        <f>IF('Saving Throws'!J12="ST_Mages","Mage",IF('Saving Throws'!J12="ST_Roub","Roublard",IF('Saving Throws'!J12="ST_Pretres","Prêtre",IF('Saving Throws'!J12="ST_Psi","Psioniste",IF('Saving Throws'!J12="ST_War","Guerrier",0)))))</f>
        <v>0</v>
      </c>
      <c r="AB11" s="213">
        <f>SUM(AB3:AB10)</f>
        <v>0</v>
      </c>
      <c r="AE11" s="171">
        <v>9</v>
      </c>
      <c r="AF11" s="171">
        <v>0</v>
      </c>
      <c r="AJ11" s="170" t="s">
        <v>3275</v>
      </c>
      <c r="AK11">
        <f>VLOOKUP(Score_INTtion,Tab_comp_mod_score,2,FALSE)</f>
        <v>-5</v>
      </c>
      <c r="AL11" t="s">
        <v>3292</v>
      </c>
      <c r="AQ11" s="176" t="s">
        <v>3323</v>
      </c>
      <c r="AR11" s="176" t="s">
        <v>3435</v>
      </c>
    </row>
    <row r="12" spans="1:44">
      <c r="A12" s="31" t="s">
        <v>111</v>
      </c>
      <c r="B12" s="31">
        <v>1</v>
      </c>
      <c r="C12" s="31" t="s">
        <v>195</v>
      </c>
      <c r="D12" s="31">
        <v>-1</v>
      </c>
      <c r="E12" s="31" t="s">
        <v>222</v>
      </c>
      <c r="F12" s="31">
        <v>4</v>
      </c>
      <c r="G12" s="31">
        <v>5</v>
      </c>
      <c r="H12" s="31" t="str">
        <f>IF(VLOOKUP("Sag/Vol",Tab_comp_ajust_2.5,2,FALSE)&gt;VLOOKUP("Cha/Mag",Tab_comp_ajust_2.5,2,FALSE),"Sag/Vol","Cha/Mag")</f>
        <v>Cha/Mag</v>
      </c>
      <c r="M12" s="31"/>
      <c r="AE12" s="171">
        <v>10</v>
      </c>
      <c r="AF12" s="171">
        <v>0</v>
      </c>
      <c r="AJ12" t="s">
        <v>3276</v>
      </c>
      <c r="AK12">
        <f>VLOOKUP(Score_CHAr,Tab_comp_mod_score,2,FALSE)</f>
        <v>-5</v>
      </c>
      <c r="AL12" t="s">
        <v>3293</v>
      </c>
      <c r="AQ12" s="175" t="s">
        <v>3324</v>
      </c>
      <c r="AR12" s="175" t="s">
        <v>3435</v>
      </c>
    </row>
    <row r="13" spans="1:44">
      <c r="A13" s="31" t="s">
        <v>112</v>
      </c>
      <c r="B13" s="31">
        <v>1</v>
      </c>
      <c r="C13" s="31" t="s">
        <v>195</v>
      </c>
      <c r="D13" s="31">
        <v>3</v>
      </c>
      <c r="E13" s="31" t="s">
        <v>222</v>
      </c>
      <c r="F13" s="31">
        <v>2</v>
      </c>
      <c r="G13" s="31">
        <v>8</v>
      </c>
      <c r="H13" s="31" t="str">
        <f>IF(VLOOKUP("Sag/Vol",Tab_comp_ajust_2.5,2,FALSE)&gt;VLOOKUP("Dex/Équ",Tab_comp_ajust_2.5,2,FALSE),"Sag/Vol","Dex/Équ")</f>
        <v>Dex/Équ</v>
      </c>
      <c r="M13" s="31"/>
      <c r="AE13" s="171">
        <v>11</v>
      </c>
      <c r="AF13" s="171">
        <v>0</v>
      </c>
      <c r="AJ13" t="s">
        <v>3277</v>
      </c>
      <c r="AK13">
        <f>VLOOKUP(Score_MAG,Tab_comp_mod_score,2,FALSE)</f>
        <v>-5</v>
      </c>
      <c r="AL13" t="s">
        <v>3294</v>
      </c>
      <c r="AQ13" s="176" t="s">
        <v>3325</v>
      </c>
      <c r="AR13" s="176" t="s">
        <v>3435</v>
      </c>
    </row>
    <row r="14" spans="1:44">
      <c r="A14" s="31" t="s">
        <v>113</v>
      </c>
      <c r="B14" s="31">
        <v>2</v>
      </c>
      <c r="C14" s="31" t="s">
        <v>195</v>
      </c>
      <c r="D14" s="31">
        <v>-2</v>
      </c>
      <c r="E14" s="31" t="s">
        <v>222</v>
      </c>
      <c r="F14" s="31">
        <v>4</v>
      </c>
      <c r="G14" s="31">
        <v>5</v>
      </c>
      <c r="H14" s="31" t="str">
        <f>IF(VLOOKUP("Sag/Vol",Tab_comp_ajust_2.5,2,FALSE)&gt;VLOOKUP("Dex/Équ",Tab_comp_ajust_2.5,2,FALSE),"Sag/Vol","Dex/Équ")</f>
        <v>Dex/Équ</v>
      </c>
      <c r="R14" s="31"/>
      <c r="AE14" s="171">
        <v>12</v>
      </c>
      <c r="AF14" s="171">
        <v>0</v>
      </c>
      <c r="AQ14" s="175" t="s">
        <v>3326</v>
      </c>
      <c r="AR14" s="175" t="s">
        <v>3435</v>
      </c>
    </row>
    <row r="15" spans="1:44">
      <c r="A15" s="31" t="s">
        <v>114</v>
      </c>
      <c r="B15" s="31">
        <v>1</v>
      </c>
      <c r="C15" s="31" t="s">
        <v>196</v>
      </c>
      <c r="D15" s="31">
        <v>0</v>
      </c>
      <c r="E15" s="31" t="s">
        <v>222</v>
      </c>
      <c r="F15" s="31">
        <v>2</v>
      </c>
      <c r="G15" s="31">
        <v>8</v>
      </c>
      <c r="H15" s="31" t="str">
        <f>IF(VLOOKUP("Sag/Int",Tab_comp_ajust_2.5,2,FALSE)&gt;VLOOKUP("Cha/Cha",Tab_comp_ajust_2.5,2,FALSE),"Sag/Int","Cha/Cha")</f>
        <v>Cha/Cha</v>
      </c>
      <c r="R15" t="s">
        <v>222</v>
      </c>
      <c r="S15" t="s">
        <v>29</v>
      </c>
      <c r="T15" t="s">
        <v>191</v>
      </c>
      <c r="U15" t="s">
        <v>223</v>
      </c>
      <c r="V15" t="s">
        <v>224</v>
      </c>
      <c r="W15" t="s">
        <v>225</v>
      </c>
      <c r="X15" t="s">
        <v>228</v>
      </c>
      <c r="AE15" s="171">
        <v>13</v>
      </c>
      <c r="AF15" s="171">
        <v>0</v>
      </c>
      <c r="AQ15" s="176" t="s">
        <v>3327</v>
      </c>
      <c r="AR15" s="176" t="s">
        <v>3435</v>
      </c>
    </row>
    <row r="16" spans="1:44">
      <c r="A16" s="31" t="s">
        <v>3296</v>
      </c>
      <c r="B16" s="31">
        <v>1</v>
      </c>
      <c r="C16" s="31" t="s">
        <v>198</v>
      </c>
      <c r="D16" s="31">
        <v>1</v>
      </c>
      <c r="E16" s="31" t="s">
        <v>222</v>
      </c>
      <c r="F16" s="31">
        <v>3</v>
      </c>
      <c r="G16" s="31">
        <v>8</v>
      </c>
      <c r="H16" s="31" t="str">
        <f>IF(VLOOKUP("Dex/Équ",Tab_comp_ajust_2.5,2,FALSE)&gt;VLOOKUP("Sag/Int",Tab_comp_ajust_2.5,2,FALSE),"Dex/Équ","Sag/Int")</f>
        <v>Sag/Int</v>
      </c>
      <c r="Q16" t="s">
        <v>226</v>
      </c>
      <c r="R16" t="b">
        <v>1</v>
      </c>
      <c r="S16" t="b">
        <f>IF(OR(Classe="Guerrier",Classe="Paladin",Classe="Rôdeur",Classe="Druide",Classe="Barde"),TRUE,FALSE)</f>
        <v>0</v>
      </c>
      <c r="T16" t="b">
        <f>IF(OR(Classe="Voleur",Classe="Barde"),TRUE,FALSE)</f>
        <v>0</v>
      </c>
      <c r="U16" t="b">
        <f>IF(OR(Classe="Rôdeur",Classe="Mage",Classe="Barde"),TRUE,FALSE)</f>
        <v>0</v>
      </c>
      <c r="V16" t="b">
        <f>IF(OR(Classe="Paladin",Classe="Clerc",Classe="Druide"),TRUE,FALSE)</f>
        <v>0</v>
      </c>
      <c r="W16" t="b">
        <f>IF(OR(Classe="Psioniste"),TRUE,FALSE)</f>
        <v>0</v>
      </c>
      <c r="X16" t="b">
        <v>0</v>
      </c>
      <c r="AE16" s="171">
        <v>14</v>
      </c>
      <c r="AF16" s="171">
        <v>1</v>
      </c>
      <c r="AQ16" s="175" t="s">
        <v>3328</v>
      </c>
      <c r="AR16" s="175" t="s">
        <v>3435</v>
      </c>
    </row>
    <row r="17" spans="1:44">
      <c r="A17" s="31" t="s">
        <v>3295</v>
      </c>
      <c r="B17" s="31">
        <v>1</v>
      </c>
      <c r="C17" s="31" t="s">
        <v>197</v>
      </c>
      <c r="D17" s="31">
        <v>0</v>
      </c>
      <c r="E17" s="31" t="s">
        <v>222</v>
      </c>
      <c r="F17" s="31">
        <v>4</v>
      </c>
      <c r="G17" s="31">
        <v>6</v>
      </c>
      <c r="H17" s="31" t="str">
        <f>IF(VLOOKUP("For/Pui",Tab_comp_ajust_2.5,2,FALSE)&gt;VLOOKUP("Int/Éru",Tab_comp_ajust_2.5,2,FALSE),"For/Pui","Int/Éru")</f>
        <v>Int/Éru</v>
      </c>
      <c r="Q17" t="s">
        <v>161</v>
      </c>
      <c r="R17" t="b">
        <v>1</v>
      </c>
      <c r="S17" t="b">
        <f>IF(OR(Classe2="Guerrier",Classe2="Paladin",Classe2="Rôdeur",Classe2="Druide",Classe2="Barde"),TRUE,FALSE)</f>
        <v>0</v>
      </c>
      <c r="T17" t="b">
        <f>IF(OR(Classe2="Voleur",Classe2="Barde"),TRUE,FALSE)</f>
        <v>0</v>
      </c>
      <c r="U17" t="b">
        <f>IF(OR(Classe2="Rôdeur",Classe2="Mage",Classe2="Barde"),TRUE,FALSE)</f>
        <v>0</v>
      </c>
      <c r="V17" t="b">
        <f>IF(OR(Classe2="Paladin",Classe2="Clerc",Classe2="Druide"),TRUE,FALSE)</f>
        <v>0</v>
      </c>
      <c r="W17" t="b">
        <f>IF(OR(Classe2="Psioniste"),TRUE,FALSE)</f>
        <v>0</v>
      </c>
      <c r="X17" t="b">
        <v>0</v>
      </c>
      <c r="AE17" s="171">
        <v>15</v>
      </c>
      <c r="AF17" s="171">
        <v>2</v>
      </c>
      <c r="AQ17" s="176" t="s">
        <v>3329</v>
      </c>
      <c r="AR17" s="176" t="s">
        <v>3435</v>
      </c>
    </row>
    <row r="18" spans="1:44">
      <c r="A18" t="s">
        <v>115</v>
      </c>
      <c r="B18">
        <v>1</v>
      </c>
      <c r="C18" t="s">
        <v>194</v>
      </c>
      <c r="D18">
        <v>0</v>
      </c>
      <c r="E18" t="s">
        <v>222</v>
      </c>
      <c r="F18">
        <v>2</v>
      </c>
      <c r="G18">
        <v>8</v>
      </c>
      <c r="H18" t="s">
        <v>3273</v>
      </c>
      <c r="Q18" t="s">
        <v>163</v>
      </c>
      <c r="R18" t="b">
        <v>1</v>
      </c>
      <c r="S18" t="b">
        <f>IF(OR(Classe3="Guerrier",Classe3="Paladin",Classe3="Rôdeur",Classe3="Druide",Classe3="Barde"),TRUE,FALSE)</f>
        <v>0</v>
      </c>
      <c r="T18" t="b">
        <f>IF(OR(Classe3="Voleur",Classe3="Barde"),TRUE,FALSE)</f>
        <v>0</v>
      </c>
      <c r="U18" t="b">
        <f>IF(OR(Classe3="Rôdeur",Classe3="Mage",Classe3="Barde"),TRUE,FALSE)</f>
        <v>0</v>
      </c>
      <c r="V18" t="b">
        <f>IF(OR(Classe3="Paladin",Classe3="Clerc",Classe3="Druide"),TRUE,FALSE)</f>
        <v>0</v>
      </c>
      <c r="W18" t="b">
        <f>IF(OR(Classe3="Psioniste"),TRUE,FALSE)</f>
        <v>0</v>
      </c>
      <c r="X18" t="b">
        <v>0</v>
      </c>
      <c r="AE18" s="171">
        <v>16</v>
      </c>
      <c r="AF18" s="171">
        <v>3</v>
      </c>
      <c r="AQ18" s="175" t="s">
        <v>3330</v>
      </c>
      <c r="AR18" s="175" t="s">
        <v>3435</v>
      </c>
    </row>
    <row r="19" spans="1:44">
      <c r="A19" s="31" t="s">
        <v>116</v>
      </c>
      <c r="B19" s="31">
        <v>1</v>
      </c>
      <c r="C19" s="31" t="s">
        <v>194</v>
      </c>
      <c r="D19" s="31">
        <v>0</v>
      </c>
      <c r="E19" s="31" t="s">
        <v>222</v>
      </c>
      <c r="F19" s="31">
        <v>2</v>
      </c>
      <c r="G19" s="31">
        <v>9</v>
      </c>
      <c r="H19" s="31" t="s">
        <v>3273</v>
      </c>
      <c r="Y19" s="67"/>
      <c r="Z19" s="67"/>
      <c r="AA19" s="67"/>
      <c r="AB19" s="67"/>
      <c r="AE19" s="171">
        <v>17</v>
      </c>
      <c r="AF19" s="171">
        <v>4</v>
      </c>
      <c r="AQ19" s="176" t="s">
        <v>3331</v>
      </c>
      <c r="AR19" s="176" t="s">
        <v>3435</v>
      </c>
    </row>
    <row r="20" spans="1:44">
      <c r="A20" s="31" t="s">
        <v>117</v>
      </c>
      <c r="B20" s="31">
        <v>1</v>
      </c>
      <c r="C20" s="31" t="s">
        <v>197</v>
      </c>
      <c r="D20" s="31">
        <v>-2</v>
      </c>
      <c r="E20" s="31" t="s">
        <v>222</v>
      </c>
      <c r="F20" s="31">
        <v>4</v>
      </c>
      <c r="G20" s="31">
        <v>5</v>
      </c>
      <c r="H20" s="31" t="str">
        <f>IF(VLOOKUP("For/End",Tab_comp_ajust_2.5,2,FALSE)&gt;VLOOKUP("Sag/Int",Tab_comp_ajust_2.5,2,FALSE),"For/End","Sag/Int")</f>
        <v>Sag/Int</v>
      </c>
      <c r="Y20" s="67"/>
      <c r="Z20" s="67"/>
      <c r="AA20" s="67"/>
      <c r="AB20" s="67"/>
      <c r="AE20" s="171">
        <v>18</v>
      </c>
      <c r="AF20" s="171">
        <v>5</v>
      </c>
      <c r="AQ20" s="175" t="s">
        <v>3332</v>
      </c>
      <c r="AR20" s="175" t="s">
        <v>3435</v>
      </c>
    </row>
    <row r="21" spans="1:44">
      <c r="A21" s="31" t="s">
        <v>118</v>
      </c>
      <c r="B21" s="31">
        <v>1</v>
      </c>
      <c r="C21" s="31" t="s">
        <v>195</v>
      </c>
      <c r="D21" s="31">
        <v>-1</v>
      </c>
      <c r="E21" s="31" t="s">
        <v>222</v>
      </c>
      <c r="F21" s="31">
        <v>3</v>
      </c>
      <c r="G21" s="31">
        <v>7</v>
      </c>
      <c r="H21" s="31" t="s">
        <v>3274</v>
      </c>
      <c r="M21" s="252" t="s">
        <v>205</v>
      </c>
      <c r="N21" s="252"/>
      <c r="O21" s="252"/>
      <c r="P21" s="2" t="s">
        <v>227</v>
      </c>
      <c r="Q21" s="17" t="s">
        <v>221</v>
      </c>
      <c r="R21" s="17" t="s">
        <v>220</v>
      </c>
      <c r="S21" s="169" t="s">
        <v>3264</v>
      </c>
      <c r="T21" s="252" t="s">
        <v>205</v>
      </c>
      <c r="U21" s="252"/>
      <c r="V21" s="252"/>
      <c r="W21" s="2" t="s">
        <v>227</v>
      </c>
      <c r="X21" s="17" t="s">
        <v>221</v>
      </c>
      <c r="Y21" s="17" t="s">
        <v>220</v>
      </c>
      <c r="Z21" s="169" t="s">
        <v>3264</v>
      </c>
      <c r="AE21" s="171">
        <v>19</v>
      </c>
      <c r="AF21" s="171">
        <v>5</v>
      </c>
      <c r="AQ21" s="176" t="s">
        <v>3333</v>
      </c>
      <c r="AR21" s="176" t="s">
        <v>3435</v>
      </c>
    </row>
    <row r="22" spans="1:44">
      <c r="A22" s="31" t="s">
        <v>119</v>
      </c>
      <c r="B22" s="31">
        <v>1</v>
      </c>
      <c r="C22" s="31" t="s">
        <v>194</v>
      </c>
      <c r="D22" s="31">
        <v>0</v>
      </c>
      <c r="E22" s="31" t="s">
        <v>222</v>
      </c>
      <c r="F22" s="31">
        <v>3</v>
      </c>
      <c r="G22" s="31">
        <v>7</v>
      </c>
      <c r="H22" s="31" t="str">
        <f>IF(VLOOKUP("Dex/Pré",Tab_comp_ajust_2.5,2,FALSE)&gt;VLOOKUP("Int/Éru",Tab_comp_ajust_2.5,2,FALSE),"Dex/Pré","Int/Éru")</f>
        <v>Int/Éru</v>
      </c>
      <c r="M22" s="252">
        <f>'Feuille 1'!A68</f>
        <v>0</v>
      </c>
      <c r="N22" s="252"/>
      <c r="O22" s="252"/>
      <c r="P22" s="2" t="str">
        <f>IF(ISNA(VLOOKUP(M22,Comp_diverses_Full,5,FALSE)),"Rien",VLOOKUP(M22,Comp_diverses_Full,5,FALSE))</f>
        <v>Rien</v>
      </c>
      <c r="Q22" s="17" t="b">
        <f t="shared" ref="Q22:Q34" si="1">IF(OR(HLOOKUP(P22,Tab_comp_groupe,2,FALSE)=TRUE,HLOOKUP(P22,Tab_comp_groupe,3,FALSE)=TRUE,HLOOKUP(P22,Tab_comp_groupe,4,FALSE)=TRUE),TRUE,FALSE)</f>
        <v>0</v>
      </c>
      <c r="R22" s="17">
        <f t="shared" ref="R22:R34" ca="1" si="2">IF(ISNA(VLOOKUP(M22,Comp_diverses_Full,2,FALSE)),0,IF(comp_vers="2.5",IF(Q22=TRUE,VLOOKUP(M22,Comp_diverses_Full,6,FALSE),VLOOKUP(M22,Comp_diverses_Full,6,FALSE)+2)+IF(INDIRECT(VLOOKUP(VLOOKUP(M22,Comp_diverses_Full,8,FALSE),Tab_comp_ajust_2.5,3,FALSE))&lt;9,1,0),IF(Q22=TRUE,VLOOKUP(M22,Comp_diverses_Full,2,FALSE),VLOOKUP(M22,Comp_diverses_Full,2,FALSE)+1)))</f>
        <v>0</v>
      </c>
      <c r="S22" s="169">
        <f>'Feuille 1'!L68</f>
        <v>0</v>
      </c>
      <c r="T22" s="252">
        <f>'Feuille 1'!N68</f>
        <v>0</v>
      </c>
      <c r="U22" s="252"/>
      <c r="V22" s="252"/>
      <c r="W22" s="2" t="str">
        <f t="shared" ref="W22:W34" si="3">IF(ISNA(VLOOKUP(T22,Comp_diverses_Full,5,FALSE)),"Rien",VLOOKUP(T22,Comp_diverses_Full,5,FALSE))</f>
        <v>Rien</v>
      </c>
      <c r="X22" s="17" t="b">
        <f t="shared" ref="X22:X34" si="4">IF(OR(HLOOKUP(W22,Tab_comp_groupe,2,FALSE)=TRUE,HLOOKUP(W22,Tab_comp_groupe,3,FALSE)=TRUE,HLOOKUP(W22,Tab_comp_groupe,4,FALSE)=TRUE),TRUE,FALSE)</f>
        <v>0</v>
      </c>
      <c r="Y22" s="169">
        <f t="shared" ref="Y22:Y34" ca="1" si="5">IF(ISNA(VLOOKUP(T22,Comp_diverses_Full,2,FALSE)),0,IF(comp_vers="2.5",IF(X22=TRUE,VLOOKUP(T22,Comp_diverses_Full,6,FALSE),VLOOKUP(T22,Comp_diverses_Full,6,FALSE)+2)+IF(INDIRECT(VLOOKUP(VLOOKUP(T22,Comp_diverses_Full,8,FALSE),Tab_comp_ajust_2.5,3,FALSE))&lt;9,1,0),IF(X22=TRUE,VLOOKUP(T22,Comp_diverses_Full,2,FALSE),VLOOKUP(T22,Comp_diverses_Full,2,FALSE)+1)))</f>
        <v>0</v>
      </c>
      <c r="Z22" s="169">
        <f>'Feuille 1'!Y68</f>
        <v>0</v>
      </c>
      <c r="AE22" s="171">
        <v>20</v>
      </c>
      <c r="AF22" s="171">
        <v>5</v>
      </c>
      <c r="AQ22" s="175" t="s">
        <v>3334</v>
      </c>
      <c r="AR22" s="175" t="s">
        <v>3435</v>
      </c>
    </row>
    <row r="23" spans="1:44">
      <c r="A23" s="31" t="s">
        <v>238</v>
      </c>
      <c r="B23" s="31">
        <v>1</v>
      </c>
      <c r="C23" s="31" t="s">
        <v>195</v>
      </c>
      <c r="D23" s="31">
        <v>-1</v>
      </c>
      <c r="E23" s="31" t="s">
        <v>222</v>
      </c>
      <c r="F23" s="31">
        <v>2</v>
      </c>
      <c r="G23" s="31">
        <v>7</v>
      </c>
      <c r="H23" s="31" t="s">
        <v>3275</v>
      </c>
      <c r="M23" s="252">
        <f>'Feuille 1'!A69</f>
        <v>0</v>
      </c>
      <c r="N23" s="252"/>
      <c r="O23" s="252"/>
      <c r="P23" s="2" t="str">
        <f t="shared" ref="P23:P34" si="6">IF(ISNA(VLOOKUP(M23,Comp_diverses_Full,5,FALSE)),"Rien",VLOOKUP(M23,Comp_diverses_Full,5,FALSE))</f>
        <v>Rien</v>
      </c>
      <c r="Q23" s="17" t="b">
        <f t="shared" si="1"/>
        <v>0</v>
      </c>
      <c r="R23" s="169">
        <f t="shared" ca="1" si="2"/>
        <v>0</v>
      </c>
      <c r="S23" s="169">
        <f>'Feuille 1'!L69</f>
        <v>0</v>
      </c>
      <c r="T23" s="252">
        <f>'Feuille 1'!N69</f>
        <v>0</v>
      </c>
      <c r="U23" s="252"/>
      <c r="V23" s="252"/>
      <c r="W23" s="2" t="str">
        <f t="shared" si="3"/>
        <v>Rien</v>
      </c>
      <c r="X23" s="17" t="b">
        <f t="shared" si="4"/>
        <v>0</v>
      </c>
      <c r="Y23" s="169">
        <f t="shared" ca="1" si="5"/>
        <v>0</v>
      </c>
      <c r="Z23" s="169">
        <f>'Feuille 1'!Y69</f>
        <v>0</v>
      </c>
      <c r="AE23" s="171">
        <v>21</v>
      </c>
      <c r="AF23" s="171">
        <v>5</v>
      </c>
      <c r="AQ23" s="176" t="s">
        <v>3335</v>
      </c>
      <c r="AR23" s="176" t="s">
        <v>3435</v>
      </c>
    </row>
    <row r="24" spans="1:44">
      <c r="A24" s="31" t="s">
        <v>120</v>
      </c>
      <c r="B24" s="31">
        <v>2</v>
      </c>
      <c r="C24" s="31" t="s">
        <v>195</v>
      </c>
      <c r="D24" s="31">
        <v>-3</v>
      </c>
      <c r="E24" s="31" t="s">
        <v>222</v>
      </c>
      <c r="F24" s="31">
        <v>5</v>
      </c>
      <c r="G24" s="31">
        <v>5</v>
      </c>
      <c r="H24" s="31" t="str">
        <f>IF(VLOOKUP("For/End",Tab_comp_ajust_2.5,2,FALSE)&gt;VLOOKUP("Sag/Int",Tab_comp_ajust_2.5,2,FALSE),"For/End","Sag/Int")</f>
        <v>Sag/Int</v>
      </c>
      <c r="M24" s="252">
        <f>'Feuille 1'!A70</f>
        <v>0</v>
      </c>
      <c r="N24" s="252"/>
      <c r="O24" s="252"/>
      <c r="P24" s="2" t="str">
        <f t="shared" si="6"/>
        <v>Rien</v>
      </c>
      <c r="Q24" s="17" t="b">
        <f t="shared" si="1"/>
        <v>0</v>
      </c>
      <c r="R24" s="169">
        <f t="shared" ca="1" si="2"/>
        <v>0</v>
      </c>
      <c r="S24" s="169">
        <f>'Feuille 1'!L70</f>
        <v>0</v>
      </c>
      <c r="T24" s="252">
        <f>'Feuille 1'!N70</f>
        <v>0</v>
      </c>
      <c r="U24" s="252"/>
      <c r="V24" s="252"/>
      <c r="W24" s="2" t="str">
        <f t="shared" si="3"/>
        <v>Rien</v>
      </c>
      <c r="X24" s="17" t="b">
        <f t="shared" si="4"/>
        <v>0</v>
      </c>
      <c r="Y24" s="169">
        <f t="shared" ca="1" si="5"/>
        <v>0</v>
      </c>
      <c r="Z24" s="169">
        <f>'Feuille 1'!Y70</f>
        <v>0</v>
      </c>
      <c r="AE24" s="171">
        <v>22</v>
      </c>
      <c r="AF24" s="171">
        <v>5</v>
      </c>
      <c r="AQ24" s="175" t="s">
        <v>3336</v>
      </c>
      <c r="AR24" s="175" t="s">
        <v>3435</v>
      </c>
    </row>
    <row r="25" spans="1:44">
      <c r="A25" s="31" t="s">
        <v>3297</v>
      </c>
      <c r="B25" s="31">
        <v>1</v>
      </c>
      <c r="C25" s="31" t="s">
        <v>197</v>
      </c>
      <c r="D25" s="31">
        <v>0</v>
      </c>
      <c r="E25" s="31" t="s">
        <v>222</v>
      </c>
      <c r="F25" s="31">
        <v>2</v>
      </c>
      <c r="G25" s="31">
        <v>9</v>
      </c>
      <c r="H25" s="31" t="s">
        <v>3266</v>
      </c>
      <c r="M25" s="252">
        <f>'Feuille 1'!A71</f>
        <v>0</v>
      </c>
      <c r="N25" s="252"/>
      <c r="O25" s="252"/>
      <c r="P25" s="2" t="str">
        <f t="shared" si="6"/>
        <v>Rien</v>
      </c>
      <c r="Q25" s="17" t="b">
        <f t="shared" si="1"/>
        <v>0</v>
      </c>
      <c r="R25" s="169">
        <f t="shared" ca="1" si="2"/>
        <v>0</v>
      </c>
      <c r="S25" s="169">
        <f>'Feuille 1'!L71</f>
        <v>0</v>
      </c>
      <c r="T25" s="252">
        <f>'Feuille 1'!N71</f>
        <v>0</v>
      </c>
      <c r="U25" s="252"/>
      <c r="V25" s="252"/>
      <c r="W25" s="2" t="str">
        <f t="shared" si="3"/>
        <v>Rien</v>
      </c>
      <c r="X25" s="17" t="b">
        <f t="shared" si="4"/>
        <v>0</v>
      </c>
      <c r="Y25" s="169">
        <f t="shared" ca="1" si="5"/>
        <v>0</v>
      </c>
      <c r="Z25" s="169">
        <f>'Feuille 1'!Y71</f>
        <v>0</v>
      </c>
      <c r="AE25" s="171">
        <v>23</v>
      </c>
      <c r="AF25" s="171">
        <v>5</v>
      </c>
      <c r="AQ25" s="176" t="s">
        <v>3337</v>
      </c>
      <c r="AR25" s="176" t="s">
        <v>3435</v>
      </c>
    </row>
    <row r="26" spans="1:44">
      <c r="A26" s="31" t="s">
        <v>121</v>
      </c>
      <c r="B26" s="31">
        <v>1</v>
      </c>
      <c r="C26" s="31" t="s">
        <v>195</v>
      </c>
      <c r="D26" s="31">
        <v>-1</v>
      </c>
      <c r="E26" s="31" t="s">
        <v>222</v>
      </c>
      <c r="F26" s="31">
        <v>3</v>
      </c>
      <c r="G26" s="31">
        <v>6</v>
      </c>
      <c r="H26" s="31" t="str">
        <f>IF(VLOOKUP("Sag/Int",Tab_comp_ajust_2.5,2,FALSE)&gt;VLOOKUP("Int/Éru",Tab_comp_ajust_2.5,2,FALSE),"Sag/Int","Int/Éru")</f>
        <v>Int/Éru</v>
      </c>
      <c r="M26" s="252">
        <f>'Feuille 1'!A72</f>
        <v>0</v>
      </c>
      <c r="N26" s="252"/>
      <c r="O26" s="252"/>
      <c r="P26" s="2" t="str">
        <f t="shared" si="6"/>
        <v>Rien</v>
      </c>
      <c r="Q26" s="17" t="b">
        <f t="shared" si="1"/>
        <v>0</v>
      </c>
      <c r="R26" s="169">
        <f t="shared" ca="1" si="2"/>
        <v>0</v>
      </c>
      <c r="S26" s="169">
        <f>'Feuille 1'!L72</f>
        <v>0</v>
      </c>
      <c r="T26" s="252">
        <f>'Feuille 1'!N72</f>
        <v>0</v>
      </c>
      <c r="U26" s="252"/>
      <c r="V26" s="252"/>
      <c r="W26" s="2" t="str">
        <f t="shared" si="3"/>
        <v>Rien</v>
      </c>
      <c r="X26" s="17" t="b">
        <f t="shared" si="4"/>
        <v>0</v>
      </c>
      <c r="Y26" s="169">
        <f t="shared" ca="1" si="5"/>
        <v>0</v>
      </c>
      <c r="Z26" s="169">
        <f>'Feuille 1'!Y72</f>
        <v>0</v>
      </c>
      <c r="AE26" s="171">
        <v>24</v>
      </c>
      <c r="AF26" s="171">
        <v>5</v>
      </c>
      <c r="AQ26" s="175" t="s">
        <v>3338</v>
      </c>
      <c r="AR26" s="175" t="s">
        <v>3435</v>
      </c>
    </row>
    <row r="27" spans="1:44">
      <c r="A27" s="31" t="s">
        <v>122</v>
      </c>
      <c r="B27" s="31">
        <v>1</v>
      </c>
      <c r="C27" s="31" t="s">
        <v>198</v>
      </c>
      <c r="D27" s="31">
        <v>-2</v>
      </c>
      <c r="E27" s="31" t="s">
        <v>222</v>
      </c>
      <c r="F27" s="31">
        <v>3</v>
      </c>
      <c r="G27" s="31">
        <v>7</v>
      </c>
      <c r="H27" s="31" t="s">
        <v>3268</v>
      </c>
      <c r="M27" s="252">
        <f>'Feuille 1'!A73</f>
        <v>0</v>
      </c>
      <c r="N27" s="252"/>
      <c r="O27" s="252"/>
      <c r="P27" s="2" t="str">
        <f t="shared" si="6"/>
        <v>Rien</v>
      </c>
      <c r="Q27" s="17" t="b">
        <f t="shared" si="1"/>
        <v>0</v>
      </c>
      <c r="R27" s="169">
        <f t="shared" ca="1" si="2"/>
        <v>0</v>
      </c>
      <c r="S27" s="169">
        <f>'Feuille 1'!L73</f>
        <v>0</v>
      </c>
      <c r="T27" s="252">
        <f>'Feuille 1'!N73</f>
        <v>0</v>
      </c>
      <c r="U27" s="252"/>
      <c r="V27" s="252"/>
      <c r="W27" s="2" t="str">
        <f t="shared" si="3"/>
        <v>Rien</v>
      </c>
      <c r="X27" s="17" t="b">
        <f t="shared" si="4"/>
        <v>0</v>
      </c>
      <c r="Y27" s="169">
        <f t="shared" ca="1" si="5"/>
        <v>0</v>
      </c>
      <c r="Z27" s="169">
        <f>'Feuille 1'!Y73</f>
        <v>0</v>
      </c>
      <c r="AE27" s="171">
        <v>25</v>
      </c>
      <c r="AF27" s="171">
        <v>5</v>
      </c>
      <c r="AQ27" s="176" t="s">
        <v>3339</v>
      </c>
      <c r="AR27" s="176" t="s">
        <v>3435</v>
      </c>
    </row>
    <row r="28" spans="1:44">
      <c r="A28" s="31" t="s">
        <v>123</v>
      </c>
      <c r="B28" s="31">
        <v>1</v>
      </c>
      <c r="C28" s="31" t="s">
        <v>195</v>
      </c>
      <c r="D28" s="31">
        <f>1</f>
        <v>1</v>
      </c>
      <c r="E28" s="31" t="s">
        <v>222</v>
      </c>
      <c r="F28" s="31">
        <v>3</v>
      </c>
      <c r="G28" s="31">
        <v>7</v>
      </c>
      <c r="H28" s="31" t="str">
        <f>IF(VLOOKUP("Sag/Int",Tab_comp_ajust_2.5,2,FALSE)&gt;VLOOKUP("Int/Éru",Tab_comp_ajust_2.5,2,FALSE),"Sag/Int","Int/Éru")</f>
        <v>Int/Éru</v>
      </c>
      <c r="M28" s="252">
        <f>'Feuille 1'!A74</f>
        <v>0</v>
      </c>
      <c r="N28" s="252"/>
      <c r="O28" s="252"/>
      <c r="P28" s="2" t="str">
        <f t="shared" si="6"/>
        <v>Rien</v>
      </c>
      <c r="Q28" s="17" t="b">
        <f t="shared" si="1"/>
        <v>0</v>
      </c>
      <c r="R28" s="169">
        <f t="shared" ca="1" si="2"/>
        <v>0</v>
      </c>
      <c r="S28" s="169">
        <f>'Feuille 1'!L74</f>
        <v>0</v>
      </c>
      <c r="T28" s="252">
        <f>'Feuille 1'!N74</f>
        <v>0</v>
      </c>
      <c r="U28" s="252"/>
      <c r="V28" s="252"/>
      <c r="W28" s="2" t="str">
        <f t="shared" si="3"/>
        <v>Rien</v>
      </c>
      <c r="X28" s="17" t="b">
        <f t="shared" si="4"/>
        <v>0</v>
      </c>
      <c r="Y28" s="169">
        <f t="shared" ca="1" si="5"/>
        <v>0</v>
      </c>
      <c r="Z28" s="169">
        <f>'Feuille 1'!Y74</f>
        <v>0</v>
      </c>
      <c r="AE28" s="171" t="str">
        <f>""</f>
        <v/>
      </c>
      <c r="AF28" s="171">
        <v>-5</v>
      </c>
      <c r="AQ28" s="175" t="s">
        <v>3340</v>
      </c>
      <c r="AR28" s="175" t="s">
        <v>3435</v>
      </c>
    </row>
    <row r="29" spans="1:44">
      <c r="A29" s="31" t="s">
        <v>124</v>
      </c>
      <c r="B29" s="31">
        <v>1</v>
      </c>
      <c r="C29" s="31" t="s">
        <v>194</v>
      </c>
      <c r="D29" s="31">
        <v>-1</v>
      </c>
      <c r="E29" s="31" t="s">
        <v>222</v>
      </c>
      <c r="F29" s="31">
        <v>3</v>
      </c>
      <c r="G29" s="31">
        <v>6</v>
      </c>
      <c r="H29" s="31" t="str">
        <f>IF(VLOOKUP("Dex/Pré",Tab_comp_ajust_2.5,2,FALSE)&gt;VLOOKUP("Int/Int",Tab_comp_ajust_2.5,2,FALSE),"Dex/Pré","Int/Int")</f>
        <v>Int/Int</v>
      </c>
      <c r="M29" s="252">
        <f>'Feuille 1'!A75</f>
        <v>0</v>
      </c>
      <c r="N29" s="252"/>
      <c r="O29" s="252"/>
      <c r="P29" s="2" t="str">
        <f t="shared" si="6"/>
        <v>Rien</v>
      </c>
      <c r="Q29" s="17" t="b">
        <f t="shared" si="1"/>
        <v>0</v>
      </c>
      <c r="R29" s="169">
        <f t="shared" ca="1" si="2"/>
        <v>0</v>
      </c>
      <c r="S29" s="169">
        <f>'Feuille 1'!L75</f>
        <v>0</v>
      </c>
      <c r="T29" s="252">
        <f>'Feuille 1'!N75</f>
        <v>0</v>
      </c>
      <c r="U29" s="252"/>
      <c r="V29" s="252"/>
      <c r="W29" s="2" t="str">
        <f t="shared" si="3"/>
        <v>Rien</v>
      </c>
      <c r="X29" s="17" t="b">
        <f t="shared" si="4"/>
        <v>0</v>
      </c>
      <c r="Y29" s="169">
        <f t="shared" ca="1" si="5"/>
        <v>0</v>
      </c>
      <c r="Z29" s="169">
        <f>'Feuille 1'!Y75</f>
        <v>0</v>
      </c>
      <c r="AE29" s="171" t="str">
        <f>"1"</f>
        <v>1</v>
      </c>
      <c r="AF29" s="171">
        <v>-5</v>
      </c>
      <c r="AQ29" s="176" t="s">
        <v>3341</v>
      </c>
      <c r="AR29" s="176" t="s">
        <v>3435</v>
      </c>
    </row>
    <row r="30" spans="1:44">
      <c r="A30" s="31" t="s">
        <v>125</v>
      </c>
      <c r="B30" s="31">
        <v>1</v>
      </c>
      <c r="C30" s="31" t="s">
        <v>198</v>
      </c>
      <c r="D30" s="31">
        <v>0</v>
      </c>
      <c r="E30" s="31" t="s">
        <v>222</v>
      </c>
      <c r="F30" s="31">
        <v>2</v>
      </c>
      <c r="G30" s="31">
        <v>8</v>
      </c>
      <c r="H30" s="31" t="str">
        <f>IF(VLOOKUP("Dex/Pré",Tab_comp_ajust_2.5,2,FALSE)&gt;VLOOKUP("Sag/Int",Tab_comp_ajust_2.5,2,FALSE),"Dex/Pré","Sag/Int")</f>
        <v>Sag/Int</v>
      </c>
      <c r="M30" s="252">
        <f>'Feuille 1'!A76</f>
        <v>0</v>
      </c>
      <c r="N30" s="252"/>
      <c r="O30" s="252"/>
      <c r="P30" s="2" t="str">
        <f t="shared" si="6"/>
        <v>Rien</v>
      </c>
      <c r="Q30" s="17" t="b">
        <f t="shared" si="1"/>
        <v>0</v>
      </c>
      <c r="R30" s="169">
        <f t="shared" ca="1" si="2"/>
        <v>0</v>
      </c>
      <c r="S30" s="169">
        <f>'Feuille 1'!L76</f>
        <v>0</v>
      </c>
      <c r="T30" s="252">
        <f>'Feuille 1'!N76</f>
        <v>0</v>
      </c>
      <c r="U30" s="252"/>
      <c r="V30" s="252"/>
      <c r="W30" s="2" t="str">
        <f t="shared" si="3"/>
        <v>Rien</v>
      </c>
      <c r="X30" s="17" t="b">
        <f t="shared" si="4"/>
        <v>0</v>
      </c>
      <c r="Y30" s="169">
        <f t="shared" ca="1" si="5"/>
        <v>0</v>
      </c>
      <c r="Z30" s="169">
        <f>'Feuille 1'!Y76</f>
        <v>0</v>
      </c>
      <c r="AE30" s="171" t="str">
        <f>"2"</f>
        <v>2</v>
      </c>
      <c r="AF30" s="171">
        <v>-5</v>
      </c>
      <c r="AQ30" s="175" t="s">
        <v>3342</v>
      </c>
      <c r="AR30" s="175" t="s">
        <v>3435</v>
      </c>
    </row>
    <row r="31" spans="1:44">
      <c r="M31" s="252">
        <f>'Feuille 1'!A77</f>
        <v>0</v>
      </c>
      <c r="N31" s="252"/>
      <c r="O31" s="252"/>
      <c r="P31" s="2" t="str">
        <f t="shared" si="6"/>
        <v>Rien</v>
      </c>
      <c r="Q31" s="17" t="b">
        <f t="shared" si="1"/>
        <v>0</v>
      </c>
      <c r="R31" s="169">
        <f t="shared" ca="1" si="2"/>
        <v>0</v>
      </c>
      <c r="S31" s="169">
        <f>'Feuille 1'!L77</f>
        <v>0</v>
      </c>
      <c r="T31" s="252">
        <f>'Feuille 1'!N77</f>
        <v>0</v>
      </c>
      <c r="U31" s="252"/>
      <c r="V31" s="252"/>
      <c r="W31" s="2" t="str">
        <f t="shared" si="3"/>
        <v>Rien</v>
      </c>
      <c r="X31" s="17" t="b">
        <f t="shared" si="4"/>
        <v>0</v>
      </c>
      <c r="Y31" s="169">
        <f t="shared" ca="1" si="5"/>
        <v>0</v>
      </c>
      <c r="Z31" s="169">
        <f>'Feuille 1'!Y77</f>
        <v>0</v>
      </c>
      <c r="AE31" s="171" t="str">
        <f>"3"</f>
        <v>3</v>
      </c>
      <c r="AF31" s="171">
        <v>-5</v>
      </c>
      <c r="AQ31" s="176" t="s">
        <v>3343</v>
      </c>
      <c r="AR31" s="176" t="s">
        <v>3435</v>
      </c>
    </row>
    <row r="32" spans="1:44">
      <c r="A32" t="s">
        <v>201</v>
      </c>
      <c r="M32" s="252">
        <f>'Feuille 1'!A78</f>
        <v>0</v>
      </c>
      <c r="N32" s="252"/>
      <c r="O32" s="252"/>
      <c r="P32" s="2" t="str">
        <f t="shared" si="6"/>
        <v>Rien</v>
      </c>
      <c r="Q32" s="17" t="b">
        <f t="shared" si="1"/>
        <v>0</v>
      </c>
      <c r="R32" s="169">
        <f t="shared" ca="1" si="2"/>
        <v>0</v>
      </c>
      <c r="S32" s="169">
        <f>'Feuille 1'!L78</f>
        <v>0</v>
      </c>
      <c r="T32" s="252">
        <f>'Feuille 1'!N78</f>
        <v>0</v>
      </c>
      <c r="U32" s="252"/>
      <c r="V32" s="252"/>
      <c r="W32" s="2" t="str">
        <f t="shared" si="3"/>
        <v>Rien</v>
      </c>
      <c r="X32" s="17" t="b">
        <f t="shared" si="4"/>
        <v>0</v>
      </c>
      <c r="Y32" s="169">
        <f t="shared" ca="1" si="5"/>
        <v>0</v>
      </c>
      <c r="Z32" s="169">
        <f>'Feuille 1'!Y78</f>
        <v>0</v>
      </c>
      <c r="AE32" s="171" t="str">
        <f>"4"</f>
        <v>4</v>
      </c>
      <c r="AF32" s="171">
        <v>-4</v>
      </c>
      <c r="AQ32" s="175" t="s">
        <v>3344</v>
      </c>
      <c r="AR32" s="175" t="s">
        <v>3435</v>
      </c>
    </row>
    <row r="33" spans="1:44">
      <c r="A33" s="31" t="s">
        <v>3299</v>
      </c>
      <c r="B33" s="31">
        <v>1</v>
      </c>
      <c r="C33" s="31" t="s">
        <v>168</v>
      </c>
      <c r="D33" s="31" t="s">
        <v>168</v>
      </c>
      <c r="E33" s="31" t="s">
        <v>29</v>
      </c>
      <c r="F33" s="31">
        <v>4</v>
      </c>
      <c r="G33" s="31">
        <v>7</v>
      </c>
      <c r="H33" s="31" t="str">
        <f>IF(VLOOKUP("For/End",Tab_comp_ajust_2.5,2,FALSE)&gt;VLOOKUP("Sag/Vol",Tab_comp_ajust_2.5,2,FALSE),"For/End","Sag/Vol")</f>
        <v>Sag/Vol</v>
      </c>
      <c r="M33" s="252">
        <f>'Feuille 1'!A79</f>
        <v>0</v>
      </c>
      <c r="N33" s="252"/>
      <c r="O33" s="252"/>
      <c r="P33" s="2" t="str">
        <f t="shared" si="6"/>
        <v>Rien</v>
      </c>
      <c r="Q33" s="17" t="b">
        <f t="shared" si="1"/>
        <v>0</v>
      </c>
      <c r="R33" s="169">
        <f t="shared" ca="1" si="2"/>
        <v>0</v>
      </c>
      <c r="S33" s="169">
        <f>'Feuille 1'!L79</f>
        <v>0</v>
      </c>
      <c r="T33" s="252">
        <f>'Feuille 1'!N79</f>
        <v>0</v>
      </c>
      <c r="U33" s="252"/>
      <c r="V33" s="252"/>
      <c r="W33" s="2" t="str">
        <f t="shared" si="3"/>
        <v>Rien</v>
      </c>
      <c r="X33" s="17" t="b">
        <f t="shared" si="4"/>
        <v>0</v>
      </c>
      <c r="Y33" s="169">
        <f t="shared" ca="1" si="5"/>
        <v>0</v>
      </c>
      <c r="Z33" s="169">
        <f>'Feuille 1'!Y79</f>
        <v>0</v>
      </c>
      <c r="AE33" s="171" t="str">
        <f>"5"</f>
        <v>5</v>
      </c>
      <c r="AF33" s="171">
        <v>-3</v>
      </c>
      <c r="AQ33" s="176" t="s">
        <v>3345</v>
      </c>
      <c r="AR33" s="176" t="s">
        <v>3435</v>
      </c>
    </row>
    <row r="34" spans="1:44">
      <c r="A34" s="31" t="s">
        <v>126</v>
      </c>
      <c r="B34" s="31">
        <v>2</v>
      </c>
      <c r="C34" s="31" t="s">
        <v>194</v>
      </c>
      <c r="D34" s="31">
        <v>-2</v>
      </c>
      <c r="E34" s="31" t="s">
        <v>29</v>
      </c>
      <c r="F34" s="31">
        <v>5</v>
      </c>
      <c r="G34" s="31">
        <v>5</v>
      </c>
      <c r="H34" s="31" t="str">
        <f>IF(VLOOKUP("For/Pui",Tab_comp_ajust_2.5,2,FALSE)&gt;VLOOKUP("Int/Éru",Tab_comp_ajust_2.5,2,FALSE),"For/Pui","Int/Éru")</f>
        <v>Int/Éru</v>
      </c>
      <c r="M34" s="252">
        <f>'Feuille 1'!A80</f>
        <v>0</v>
      </c>
      <c r="N34" s="252"/>
      <c r="O34" s="252"/>
      <c r="P34" s="2" t="str">
        <f t="shared" si="6"/>
        <v>Rien</v>
      </c>
      <c r="Q34" s="17" t="b">
        <f t="shared" si="1"/>
        <v>0</v>
      </c>
      <c r="R34" s="169">
        <f t="shared" ca="1" si="2"/>
        <v>0</v>
      </c>
      <c r="S34" s="169">
        <f>'Feuille 1'!L80</f>
        <v>0</v>
      </c>
      <c r="T34" s="252">
        <f>'Feuille 1'!N80</f>
        <v>0</v>
      </c>
      <c r="U34" s="252"/>
      <c r="V34" s="252"/>
      <c r="W34" s="2" t="str">
        <f t="shared" si="3"/>
        <v>Rien</v>
      </c>
      <c r="X34" s="17" t="b">
        <f t="shared" si="4"/>
        <v>0</v>
      </c>
      <c r="Y34" s="169">
        <f t="shared" ca="1" si="5"/>
        <v>0</v>
      </c>
      <c r="Z34" s="169">
        <f>'Feuille 1'!Y80</f>
        <v>0</v>
      </c>
      <c r="AE34" s="171" t="str">
        <f>"6"</f>
        <v>6</v>
      </c>
      <c r="AF34" s="171">
        <v>-2</v>
      </c>
      <c r="AQ34" s="175" t="s">
        <v>3346</v>
      </c>
      <c r="AR34" s="175" t="s">
        <v>3435</v>
      </c>
    </row>
    <row r="35" spans="1:44">
      <c r="A35" s="31" t="s">
        <v>127</v>
      </c>
      <c r="B35" s="31">
        <v>1</v>
      </c>
      <c r="C35" s="31" t="s">
        <v>195</v>
      </c>
      <c r="D35" s="31">
        <f>1</f>
        <v>1</v>
      </c>
      <c r="E35" s="31" t="s">
        <v>29</v>
      </c>
      <c r="F35" s="31">
        <v>2</v>
      </c>
      <c r="G35" s="31">
        <v>7</v>
      </c>
      <c r="H35" s="31" t="s">
        <v>3275</v>
      </c>
      <c r="M35" s="252"/>
      <c r="N35" s="252"/>
      <c r="O35" s="252"/>
      <c r="P35" s="2"/>
      <c r="Q35" s="17"/>
      <c r="R35" s="169"/>
      <c r="S35" s="169"/>
      <c r="T35" s="252"/>
      <c r="U35" s="252"/>
      <c r="V35" s="252"/>
      <c r="W35" s="2"/>
      <c r="X35" s="17"/>
      <c r="Y35" s="169"/>
      <c r="Z35" s="169"/>
      <c r="AE35" s="171" t="str">
        <f>"7"</f>
        <v>7</v>
      </c>
      <c r="AF35" s="171">
        <v>-1</v>
      </c>
      <c r="AQ35" s="176" t="s">
        <v>3347</v>
      </c>
      <c r="AR35" s="176" t="s">
        <v>3435</v>
      </c>
    </row>
    <row r="36" spans="1:44">
      <c r="A36" s="31" t="s">
        <v>235</v>
      </c>
      <c r="B36" s="31">
        <v>2</v>
      </c>
      <c r="C36" s="31" t="s">
        <v>168</v>
      </c>
      <c r="D36" s="31" t="s">
        <v>168</v>
      </c>
      <c r="E36" s="31" t="s">
        <v>29</v>
      </c>
      <c r="F36" s="31">
        <v>4</v>
      </c>
      <c r="G36" s="31">
        <f>IF(H36="Dex/Équ","NA",6)</f>
        <v>6</v>
      </c>
      <c r="H36" s="31" t="str">
        <f>IF(VLOOKUP("Dex/Équ",Tab_comp_ajust_2.5,2,FALSE)&gt;VLOOKUP("Sag/Int",Tab_comp_ajust_2.5,2,FALSE),"Dex/Équ","Sag/Int")</f>
        <v>Sag/Int</v>
      </c>
      <c r="Y36">
        <f ca="1">SUM(R22:R35,Y22:Y35)+SUM(S22:S35,Z22:Z35)</f>
        <v>0</v>
      </c>
      <c r="AE36" s="171" t="str">
        <f>"8"</f>
        <v>8</v>
      </c>
      <c r="AF36" s="171">
        <v>0</v>
      </c>
      <c r="AQ36" s="175" t="s">
        <v>3348</v>
      </c>
      <c r="AR36" s="175" t="s">
        <v>3435</v>
      </c>
    </row>
    <row r="37" spans="1:44">
      <c r="A37" s="31" t="s">
        <v>128</v>
      </c>
      <c r="B37" s="31">
        <v>1</v>
      </c>
      <c r="C37" s="31" t="s">
        <v>198</v>
      </c>
      <c r="D37" s="31">
        <v>2</v>
      </c>
      <c r="E37" s="31" t="s">
        <v>29</v>
      </c>
      <c r="F37" s="31">
        <v>4</v>
      </c>
      <c r="G37" s="31">
        <v>5</v>
      </c>
      <c r="H37" s="31" t="str">
        <f>IF(VLOOKUP("Sag/Vol",Tab_comp_ajust_2.5,2,FALSE)&gt;VLOOKUP("Dex/Équ",Tab_comp_ajust_2.5,2,FALSE),"Sag/Vol","Dex/Équ")</f>
        <v>Dex/Équ</v>
      </c>
      <c r="AE37" s="171" t="str">
        <f>"9"</f>
        <v>9</v>
      </c>
      <c r="AF37" s="171">
        <v>0</v>
      </c>
      <c r="AQ37" s="176" t="s">
        <v>3349</v>
      </c>
      <c r="AR37" s="176" t="s">
        <v>3435</v>
      </c>
    </row>
    <row r="38" spans="1:44">
      <c r="A38" s="31" t="s">
        <v>129</v>
      </c>
      <c r="B38" s="31">
        <v>1</v>
      </c>
      <c r="C38" s="31" t="s">
        <v>194</v>
      </c>
      <c r="D38" s="31">
        <v>0</v>
      </c>
      <c r="E38" s="31" t="s">
        <v>29</v>
      </c>
      <c r="F38" s="31">
        <v>3</v>
      </c>
      <c r="G38" s="31">
        <v>7</v>
      </c>
      <c r="H38" s="31" t="str">
        <f>IF(VLOOKUP("Sag/Int",Tab_comp_ajust_2.5,2,FALSE)&gt;VLOOKUP("Int/Éru",Tab_comp_ajust_2.5,2,FALSE),"Sag/Int","Int/Éru")</f>
        <v>Int/Éru</v>
      </c>
      <c r="AE38" s="171" t="str">
        <f>"10"</f>
        <v>10</v>
      </c>
      <c r="AF38" s="171">
        <v>0</v>
      </c>
      <c r="AQ38" s="175" t="s">
        <v>3350</v>
      </c>
      <c r="AR38" s="175" t="s">
        <v>3435</v>
      </c>
    </row>
    <row r="39" spans="1:44">
      <c r="A39" s="31" t="s">
        <v>130</v>
      </c>
      <c r="B39" s="31">
        <v>1</v>
      </c>
      <c r="C39" s="31" t="s">
        <v>199</v>
      </c>
      <c r="D39" s="31">
        <v>-6</v>
      </c>
      <c r="E39" s="31" t="s">
        <v>29</v>
      </c>
      <c r="F39" s="31">
        <v>2</v>
      </c>
      <c r="G39" s="31">
        <v>5</v>
      </c>
      <c r="H39" s="31" t="str">
        <f>IF(VLOOKUP("For/End",Tab_comp_ajust_2.5,2,FALSE)&gt;VLOOKUP("Con/Vig",Tab_comp_ajust_2.5,2,FALSE),"For/End","Con/Vig")</f>
        <v>Con/Vig</v>
      </c>
      <c r="Q39" t="s">
        <v>64</v>
      </c>
      <c r="R39" t="s">
        <v>65</v>
      </c>
      <c r="S39" t="s">
        <v>251</v>
      </c>
      <c r="T39" t="s">
        <v>3908</v>
      </c>
      <c r="U39" t="s">
        <v>252</v>
      </c>
      <c r="V39" t="s">
        <v>253</v>
      </c>
      <c r="W39" t="s">
        <v>1138</v>
      </c>
      <c r="X39" t="s">
        <v>1134</v>
      </c>
      <c r="Y39" t="s">
        <v>1133</v>
      </c>
      <c r="Z39" t="s">
        <v>1135</v>
      </c>
      <c r="AA39" t="s">
        <v>1136</v>
      </c>
      <c r="AB39" t="s">
        <v>1137</v>
      </c>
      <c r="AC39">
        <v>0</v>
      </c>
      <c r="AE39" s="171" t="str">
        <f>"11"</f>
        <v>11</v>
      </c>
      <c r="AF39" s="171">
        <v>0</v>
      </c>
      <c r="AQ39" s="176" t="s">
        <v>3351</v>
      </c>
      <c r="AR39" s="176" t="s">
        <v>3435</v>
      </c>
    </row>
    <row r="40" spans="1:44">
      <c r="A40" s="31" t="s">
        <v>131</v>
      </c>
      <c r="B40" s="31">
        <v>2</v>
      </c>
      <c r="C40" s="31" t="s">
        <v>199</v>
      </c>
      <c r="D40" s="31">
        <v>0</v>
      </c>
      <c r="E40" s="31" t="s">
        <v>29</v>
      </c>
      <c r="F40" s="31">
        <v>2</v>
      </c>
      <c r="G40" s="31">
        <v>3</v>
      </c>
      <c r="H40" s="31" t="s">
        <v>3271</v>
      </c>
      <c r="Q40" s="30" t="s">
        <v>247</v>
      </c>
      <c r="R40" s="30" t="s">
        <v>247</v>
      </c>
      <c r="S40" s="30" t="s">
        <v>248</v>
      </c>
      <c r="T40" s="242" t="s">
        <v>248</v>
      </c>
      <c r="U40" s="30" t="s">
        <v>248</v>
      </c>
      <c r="V40" s="30" t="s">
        <v>248</v>
      </c>
      <c r="W40" s="30" t="s">
        <v>248</v>
      </c>
      <c r="X40" s="86" t="s">
        <v>248</v>
      </c>
      <c r="Y40" s="86" t="s">
        <v>248</v>
      </c>
      <c r="Z40" s="86" t="s">
        <v>248</v>
      </c>
      <c r="AA40" s="86" t="s">
        <v>248</v>
      </c>
      <c r="AB40" s="86" t="s">
        <v>248</v>
      </c>
      <c r="AC40" s="91" t="s">
        <v>248</v>
      </c>
      <c r="AE40" s="171" t="str">
        <f>"12"</f>
        <v>12</v>
      </c>
      <c r="AF40" s="171">
        <v>0</v>
      </c>
      <c r="AQ40" s="175" t="s">
        <v>3352</v>
      </c>
      <c r="AR40" s="175" t="s">
        <v>3435</v>
      </c>
    </row>
    <row r="41" spans="1:44">
      <c r="A41" s="31" t="s">
        <v>3298</v>
      </c>
      <c r="B41" s="31">
        <v>1</v>
      </c>
      <c r="C41" s="31" t="s">
        <v>198</v>
      </c>
      <c r="D41" s="31">
        <v>-1</v>
      </c>
      <c r="E41" s="31" t="s">
        <v>29</v>
      </c>
      <c r="F41" s="31">
        <v>5</v>
      </c>
      <c r="G41" s="31">
        <v>6</v>
      </c>
      <c r="H41" s="31" t="str">
        <f>IF(VLOOKUP("Dex/Équ",Tab_comp_ajust_2.5,2,FALSE)&gt;VLOOKUP("Int/Éru",Tab_comp_ajust_2.5,2,FALSE),"Dex/Équ","Int/Éru")</f>
        <v>Int/Éru</v>
      </c>
      <c r="N41" s="252" t="s">
        <v>239</v>
      </c>
      <c r="O41" s="252"/>
      <c r="P41" s="252"/>
      <c r="Q41" s="32">
        <v>0.15</v>
      </c>
      <c r="R41" s="32">
        <v>0.1</v>
      </c>
      <c r="S41" s="32">
        <v>0.05</v>
      </c>
      <c r="T41" s="32">
        <v>0</v>
      </c>
      <c r="U41" s="32">
        <v>-0.2</v>
      </c>
      <c r="V41" s="32">
        <v>-0.3</v>
      </c>
      <c r="W41" s="32">
        <f>IF(OR(Classe="Barde",Classe2="Barde",Classe3="Barde"),-25%,-40%)</f>
        <v>-0.4</v>
      </c>
      <c r="X41" s="32">
        <v>-0.4</v>
      </c>
      <c r="Y41" s="32">
        <v>-0.6</v>
      </c>
      <c r="Z41" s="32">
        <v>-0.5</v>
      </c>
      <c r="AA41" s="32">
        <v>-0.75</v>
      </c>
      <c r="AB41" s="32">
        <v>-0.95</v>
      </c>
      <c r="AC41" s="32">
        <v>0.05</v>
      </c>
      <c r="AE41" s="171" t="str">
        <f>"13"</f>
        <v>13</v>
      </c>
      <c r="AF41" s="171">
        <v>0</v>
      </c>
      <c r="AQ41" s="176" t="s">
        <v>3353</v>
      </c>
      <c r="AR41" s="176" t="s">
        <v>3435</v>
      </c>
    </row>
    <row r="42" spans="1:44">
      <c r="A42" s="31" t="s">
        <v>132</v>
      </c>
      <c r="B42" s="31">
        <v>3</v>
      </c>
      <c r="C42" s="31" t="s">
        <v>194</v>
      </c>
      <c r="D42" s="31">
        <v>-3</v>
      </c>
      <c r="E42" s="31" t="s">
        <v>29</v>
      </c>
      <c r="F42" s="31">
        <v>5</v>
      </c>
      <c r="G42" s="31">
        <v>5</v>
      </c>
      <c r="H42" s="31" t="str">
        <f>IF(VLOOKUP("Dex/Pré",Tab_comp_ajust_2.5,2,FALSE)&gt;VLOOKUP("Int/Éru",Tab_comp_ajust_2.5,2,FALSE),"Dex/Pré","Int/Éru")</f>
        <v>Int/Éru</v>
      </c>
      <c r="N42" s="252" t="s">
        <v>240</v>
      </c>
      <c r="O42" s="252"/>
      <c r="P42" s="252"/>
      <c r="Q42" s="32">
        <v>0.1</v>
      </c>
      <c r="R42" s="32">
        <v>0</v>
      </c>
      <c r="S42" s="32">
        <v>0</v>
      </c>
      <c r="T42" s="32">
        <v>0</v>
      </c>
      <c r="U42" s="32">
        <v>-0.05</v>
      </c>
      <c r="V42" s="32">
        <v>-0.1</v>
      </c>
      <c r="W42" s="32">
        <f>IF(OR(Classe="Barde",Classe2="Barde",Classe3="Barde"),-10%,-15%)</f>
        <v>-0.15</v>
      </c>
      <c r="X42" s="32">
        <v>-0.15</v>
      </c>
      <c r="Y42" s="32">
        <v>-0.5</v>
      </c>
      <c r="Z42" s="32">
        <v>-0.2</v>
      </c>
      <c r="AA42" s="32">
        <v>-0.4</v>
      </c>
      <c r="AB42" s="32">
        <v>-0.8</v>
      </c>
      <c r="AC42" s="32">
        <v>0</v>
      </c>
      <c r="AE42" s="171" t="str">
        <f>"14"</f>
        <v>14</v>
      </c>
      <c r="AF42" s="171">
        <v>1</v>
      </c>
      <c r="AQ42" s="175" t="s">
        <v>3354</v>
      </c>
      <c r="AR42" s="175" t="s">
        <v>3435</v>
      </c>
    </row>
    <row r="43" spans="1:44">
      <c r="A43" s="31" t="s">
        <v>236</v>
      </c>
      <c r="B43" s="31">
        <v>1</v>
      </c>
      <c r="C43" s="31" t="s">
        <v>196</v>
      </c>
      <c r="D43" s="31">
        <v>0</v>
      </c>
      <c r="E43" s="31" t="s">
        <v>29</v>
      </c>
      <c r="F43" s="31">
        <v>2</v>
      </c>
      <c r="G43" s="31">
        <v>5</v>
      </c>
      <c r="H43" s="31" t="str">
        <f>IF(VLOOKUP("Sag/Int",Tab_comp_ajust_2.5,2,FALSE)&gt;VLOOKUP("Int/Éru",Tab_comp_ajust_2.5,2,FALSE),"Sag/Int","Int/Éru")</f>
        <v>Int/Éru</v>
      </c>
      <c r="N43" s="252" t="s">
        <v>241</v>
      </c>
      <c r="O43" s="252"/>
      <c r="P43" s="252"/>
      <c r="Q43" s="32">
        <v>0.05</v>
      </c>
      <c r="R43" s="32">
        <v>0</v>
      </c>
      <c r="S43" s="32">
        <v>0</v>
      </c>
      <c r="T43" s="32">
        <v>0</v>
      </c>
      <c r="U43" s="32">
        <v>-0.05</v>
      </c>
      <c r="V43" s="32">
        <v>-0.1</v>
      </c>
      <c r="W43" s="32">
        <f>IF(OR(Classe="Barde",Classe2="Barde",Classe3="Barde"),-10%,-15%)</f>
        <v>-0.15</v>
      </c>
      <c r="X43" s="32">
        <v>-0.25</v>
      </c>
      <c r="Y43" s="32">
        <v>-0.5</v>
      </c>
      <c r="Z43" s="32">
        <v>-0.2</v>
      </c>
      <c r="AA43" s="32">
        <v>-0.4</v>
      </c>
      <c r="AB43" s="32">
        <v>-0.8</v>
      </c>
      <c r="AC43" s="32">
        <v>0</v>
      </c>
      <c r="AE43" s="171" t="str">
        <f>"15"</f>
        <v>15</v>
      </c>
      <c r="AF43" s="171">
        <v>2</v>
      </c>
      <c r="AQ43" s="176" t="s">
        <v>3355</v>
      </c>
      <c r="AR43" s="176" t="s">
        <v>3435</v>
      </c>
    </row>
    <row r="44" spans="1:44">
      <c r="A44" s="31" t="s">
        <v>237</v>
      </c>
      <c r="B44" s="31">
        <v>1</v>
      </c>
      <c r="C44" s="31" t="s">
        <v>194</v>
      </c>
      <c r="D44" s="31">
        <v>-2</v>
      </c>
      <c r="E44" s="31" t="s">
        <v>29</v>
      </c>
      <c r="F44" s="31">
        <v>3</v>
      </c>
      <c r="G44" s="31">
        <v>6</v>
      </c>
      <c r="H44" s="31" t="str">
        <f>IF(VLOOKUP("Sag/Int",Tab_comp_ajust_2.5,2,FALSE)&gt;VLOOKUP("Int/Éru",Tab_comp_ajust_2.5,2,FALSE),"Sag/Int","Int/Éru")</f>
        <v>Int/Éru</v>
      </c>
      <c r="N44" s="252" t="s">
        <v>242</v>
      </c>
      <c r="O44" s="252"/>
      <c r="P44" s="252"/>
      <c r="Q44" s="32">
        <v>0.1</v>
      </c>
      <c r="R44" s="32">
        <v>0</v>
      </c>
      <c r="S44" s="32">
        <v>0.1</v>
      </c>
      <c r="T44" s="32">
        <v>0</v>
      </c>
      <c r="U44" s="32">
        <v>-0.1</v>
      </c>
      <c r="V44" s="32">
        <v>-0.2</v>
      </c>
      <c r="W44" s="32">
        <f>IF(OR(Classe="Barde",Classe2="Barde",Classe3="Barde"),-15%,-40%)</f>
        <v>-0.4</v>
      </c>
      <c r="X44" s="32">
        <v>-0.4</v>
      </c>
      <c r="Y44" s="32">
        <v>-0.3</v>
      </c>
      <c r="Z44" s="32">
        <v>-0.6</v>
      </c>
      <c r="AA44" s="32">
        <v>-0.8</v>
      </c>
      <c r="AB44" s="32">
        <v>-0.95</v>
      </c>
      <c r="AC44" s="32">
        <v>0.1</v>
      </c>
      <c r="AE44" s="171" t="str">
        <f>"16"</f>
        <v>16</v>
      </c>
      <c r="AF44" s="171">
        <v>3</v>
      </c>
      <c r="AQ44" s="175" t="s">
        <v>3356</v>
      </c>
      <c r="AR44" s="175" t="s">
        <v>3435</v>
      </c>
    </row>
    <row r="45" spans="1:44">
      <c r="A45" s="31" t="s">
        <v>133</v>
      </c>
      <c r="B45" s="31">
        <v>2</v>
      </c>
      <c r="C45" s="31" t="s">
        <v>195</v>
      </c>
      <c r="D45" s="31">
        <v>0</v>
      </c>
      <c r="E45" s="31" t="s">
        <v>29</v>
      </c>
      <c r="F45" s="31">
        <v>4</v>
      </c>
      <c r="G45" s="31">
        <v>7</v>
      </c>
      <c r="H45" s="31" t="s">
        <v>3275</v>
      </c>
      <c r="N45" s="252" t="s">
        <v>243</v>
      </c>
      <c r="O45" s="252"/>
      <c r="P45" s="252"/>
      <c r="Q45" s="32">
        <v>0.05</v>
      </c>
      <c r="R45" s="32">
        <v>0</v>
      </c>
      <c r="S45" s="32">
        <v>0.05</v>
      </c>
      <c r="T45" s="32">
        <v>0</v>
      </c>
      <c r="U45" s="32">
        <v>-0.1</v>
      </c>
      <c r="V45" s="32">
        <v>-0.2</v>
      </c>
      <c r="W45" s="32">
        <f>IF(OR(Classe="Barde",Classe2="Barde",Classe3="Barde"),-15%,-30%)</f>
        <v>-0.3</v>
      </c>
      <c r="X45" s="32">
        <v>-0.3</v>
      </c>
      <c r="Y45" s="32">
        <v>-0.2</v>
      </c>
      <c r="Z45" s="32">
        <v>-0.5</v>
      </c>
      <c r="AA45" s="32">
        <v>-0.75</v>
      </c>
      <c r="AB45" s="32">
        <v>-0.95</v>
      </c>
      <c r="AC45" s="32">
        <v>0.05</v>
      </c>
      <c r="AE45" s="171" t="str">
        <f>"17"</f>
        <v>17</v>
      </c>
      <c r="AF45" s="171">
        <v>4</v>
      </c>
      <c r="AQ45" s="176" t="s">
        <v>3357</v>
      </c>
      <c r="AR45" s="176" t="s">
        <v>3435</v>
      </c>
    </row>
    <row r="46" spans="1:44">
      <c r="A46" s="31" t="s">
        <v>3300</v>
      </c>
      <c r="B46" s="31">
        <v>1</v>
      </c>
      <c r="C46" s="31" t="s">
        <v>198</v>
      </c>
      <c r="D46" s="31">
        <v>-1</v>
      </c>
      <c r="E46" s="31" t="s">
        <v>29</v>
      </c>
      <c r="F46" s="31">
        <v>3</v>
      </c>
      <c r="G46" s="31">
        <v>6</v>
      </c>
      <c r="H46" s="31" t="str">
        <f>IF(VLOOKUP("Dex/Pré",Tab_comp_ajust_2.5,2,FALSE)&gt;VLOOKUP("Sag/Int",Tab_comp_ajust_2.5,2,FALSE),"Dex/Pré","Sag/Int")</f>
        <v>Sag/Int</v>
      </c>
      <c r="N46" s="252" t="s">
        <v>244</v>
      </c>
      <c r="O46" s="252"/>
      <c r="P46" s="252"/>
      <c r="Q46" s="32">
        <v>0.15</v>
      </c>
      <c r="R46" s="32">
        <v>0.2</v>
      </c>
      <c r="S46" s="32">
        <v>0</v>
      </c>
      <c r="T46" s="32">
        <v>0</v>
      </c>
      <c r="U46" s="32">
        <v>-0.05</v>
      </c>
      <c r="V46" s="32">
        <v>-0.1</v>
      </c>
      <c r="W46" s="32">
        <f>IF(OR(Classe="Barde",Classe2="Barde",Classe3="Barde"),-10%,-20%)</f>
        <v>-0.2</v>
      </c>
      <c r="X46" s="32">
        <v>-0.25</v>
      </c>
      <c r="Y46" s="32">
        <v>-0.1</v>
      </c>
      <c r="Z46" s="32">
        <v>-0.3</v>
      </c>
      <c r="AA46" s="32">
        <v>-0.5</v>
      </c>
      <c r="AB46" s="32">
        <v>-0.7</v>
      </c>
      <c r="AC46" s="32">
        <v>0</v>
      </c>
      <c r="AE46" s="171" t="str">
        <f>"18"</f>
        <v>18</v>
      </c>
      <c r="AF46" s="171">
        <v>5</v>
      </c>
      <c r="AQ46" s="175" t="s">
        <v>3358</v>
      </c>
      <c r="AR46" s="175" t="s">
        <v>3435</v>
      </c>
    </row>
    <row r="47" spans="1:44">
      <c r="A47" s="31" t="s">
        <v>134</v>
      </c>
      <c r="B47" s="31">
        <v>2</v>
      </c>
      <c r="C47" s="31" t="s">
        <v>194</v>
      </c>
      <c r="D47" s="31">
        <v>0</v>
      </c>
      <c r="E47" s="31" t="s">
        <v>29</v>
      </c>
      <c r="F47" s="31">
        <v>3</v>
      </c>
      <c r="G47" s="31">
        <v>6</v>
      </c>
      <c r="H47" s="31" t="str">
        <f>IF(VLOOKUP("Sag/Vol",Tab_comp_ajust_2.5,2,FALSE)&gt;VLOOKUP("Int/Éru",Tab_comp_ajust_2.5,2,FALSE),"Sag/Vol","Int/Éru")</f>
        <v>Int/Éru</v>
      </c>
      <c r="N47" s="252" t="s">
        <v>245</v>
      </c>
      <c r="O47" s="252"/>
      <c r="P47" s="252"/>
      <c r="Q47" s="32">
        <v>0.6</v>
      </c>
      <c r="R47" s="32">
        <v>0.5</v>
      </c>
      <c r="S47" s="32">
        <v>0.1</v>
      </c>
      <c r="T47" s="32">
        <v>0</v>
      </c>
      <c r="U47" s="32">
        <v>-0.2</v>
      </c>
      <c r="V47" s="32">
        <v>-0.3</v>
      </c>
      <c r="W47" s="32">
        <f>IF(OR(Classe="Barde",Classe2="Barde",Classe3="Barde"),-25%,-40%)</f>
        <v>-0.4</v>
      </c>
      <c r="X47" s="32">
        <v>-0.5</v>
      </c>
      <c r="Y47" s="32">
        <v>-0.6</v>
      </c>
      <c r="Z47" s="32">
        <v>-0.9</v>
      </c>
      <c r="AA47" s="32">
        <v>-0.95</v>
      </c>
      <c r="AB47" s="32">
        <v>-0.95</v>
      </c>
      <c r="AC47" s="32">
        <v>0.1</v>
      </c>
      <c r="AE47" s="171" t="str">
        <f>"19"</f>
        <v>19</v>
      </c>
      <c r="AF47" s="171">
        <v>5</v>
      </c>
      <c r="AQ47" s="176" t="s">
        <v>3359</v>
      </c>
      <c r="AR47" s="176" t="s">
        <v>3435</v>
      </c>
    </row>
    <row r="48" spans="1:44">
      <c r="N48" s="252" t="s">
        <v>246</v>
      </c>
      <c r="O48" s="252"/>
      <c r="P48" s="252"/>
      <c r="Q48" s="32">
        <v>0</v>
      </c>
      <c r="R48" s="32">
        <v>0.05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E48" s="171" t="str">
        <f>"20"</f>
        <v>20</v>
      </c>
      <c r="AF48" s="171">
        <v>5</v>
      </c>
      <c r="AQ48" s="175" t="s">
        <v>3360</v>
      </c>
      <c r="AR48" s="175" t="s">
        <v>3435</v>
      </c>
    </row>
    <row r="49" spans="1:44">
      <c r="A49" t="s">
        <v>202</v>
      </c>
      <c r="N49" s="252" t="s">
        <v>868</v>
      </c>
      <c r="O49" s="252"/>
      <c r="P49" s="252"/>
      <c r="Q49" s="32">
        <v>0</v>
      </c>
      <c r="R49" s="32">
        <v>0.05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E49" s="171" t="str">
        <f>"21"</f>
        <v>21</v>
      </c>
      <c r="AF49" s="171">
        <v>5</v>
      </c>
      <c r="AQ49" s="176" t="s">
        <v>3361</v>
      </c>
      <c r="AR49" s="176" t="s">
        <v>3435</v>
      </c>
    </row>
    <row r="50" spans="1:44">
      <c r="A50" s="31" t="s">
        <v>135</v>
      </c>
      <c r="B50" s="31">
        <v>1</v>
      </c>
      <c r="C50" s="31" t="s">
        <v>198</v>
      </c>
      <c r="D50" s="31">
        <v>0</v>
      </c>
      <c r="E50" s="31" t="s">
        <v>191</v>
      </c>
      <c r="F50" s="31">
        <v>3</v>
      </c>
      <c r="G50" s="31">
        <v>7</v>
      </c>
      <c r="H50" s="31" t="str">
        <f>IF(VLOOKUP("For/Pui",Tab_comp_ajust_2.5,2,FALSE)&gt;VLOOKUP("Dex/Pré",Tab_comp_ajust_2.5,2,FALSE),"For/Pui","Dex/Pré")</f>
        <v>Dex/Pré</v>
      </c>
      <c r="N50" s="252" t="s">
        <v>870</v>
      </c>
      <c r="O50" s="252"/>
      <c r="P50" s="252"/>
      <c r="Q50" s="32">
        <v>0</v>
      </c>
      <c r="R50" s="32">
        <v>0.05</v>
      </c>
      <c r="S50" s="32">
        <v>0</v>
      </c>
      <c r="T50" s="32">
        <v>0</v>
      </c>
      <c r="U50" s="32">
        <v>-0.05</v>
      </c>
      <c r="V50" s="32">
        <v>-0.1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E50" s="171" t="str">
        <f>"22"</f>
        <v>22</v>
      </c>
      <c r="AF50" s="171">
        <v>5</v>
      </c>
      <c r="AQ50" s="175" t="s">
        <v>3362</v>
      </c>
      <c r="AR50" s="175" t="s">
        <v>3435</v>
      </c>
    </row>
    <row r="51" spans="1:44">
      <c r="A51" s="31" t="s">
        <v>234</v>
      </c>
      <c r="B51" s="31">
        <v>2</v>
      </c>
      <c r="C51" s="31" t="s">
        <v>168</v>
      </c>
      <c r="D51" s="31" t="s">
        <v>168</v>
      </c>
      <c r="E51" s="31" t="s">
        <v>191</v>
      </c>
      <c r="F51" s="31">
        <v>4</v>
      </c>
      <c r="G51" s="31">
        <f>IF(H51="Dex/Équ","NA",6)</f>
        <v>6</v>
      </c>
      <c r="H51" s="31" t="str">
        <f>IF(VLOOKUP("Dex/Équ",Tab_comp_ajust_2.5,2,FALSE)&gt;VLOOKUP("Sag/Int",Tab_comp_ajust_2.5,2,FALSE),"Dex/Équ","Sag/Int")</f>
        <v>Sag/Int</v>
      </c>
      <c r="N51" s="252" t="s">
        <v>869</v>
      </c>
      <c r="O51" s="252"/>
      <c r="P51" s="252"/>
      <c r="Q51" s="32">
        <v>0</v>
      </c>
      <c r="R51" s="32">
        <v>0.1</v>
      </c>
      <c r="S51" s="32">
        <v>0</v>
      </c>
      <c r="T51" s="32">
        <v>0</v>
      </c>
      <c r="U51" s="32">
        <v>-0.05</v>
      </c>
      <c r="V51" s="32">
        <v>-0.1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0</v>
      </c>
      <c r="AE51" s="171" t="str">
        <f>"23"</f>
        <v>23</v>
      </c>
      <c r="AF51" s="171">
        <v>5</v>
      </c>
      <c r="AQ51" s="176" t="s">
        <v>3363</v>
      </c>
      <c r="AR51" s="176" t="s">
        <v>3435</v>
      </c>
    </row>
    <row r="52" spans="1:44">
      <c r="A52" s="31" t="s">
        <v>139</v>
      </c>
      <c r="B52" s="31">
        <v>1</v>
      </c>
      <c r="C52" s="31" t="s">
        <v>198</v>
      </c>
      <c r="D52" s="31">
        <v>-1</v>
      </c>
      <c r="E52" s="31" t="s">
        <v>191</v>
      </c>
      <c r="F52" s="31">
        <v>3</v>
      </c>
      <c r="G52" s="31">
        <v>5</v>
      </c>
      <c r="H52" s="31" t="str">
        <f>IF(VLOOKUP("Dex/Pré",Tab_comp_ajust_2.5,2,FALSE)&gt;VLOOKUP("Sag/Int",Tab_comp_ajust_2.5,2,FALSE),"Dex/Pré","Sag/Int")</f>
        <v>Sag/Int</v>
      </c>
      <c r="N52" s="252" t="s">
        <v>871</v>
      </c>
      <c r="O52" s="252"/>
      <c r="P52" s="252"/>
      <c r="Q52" s="32">
        <v>0</v>
      </c>
      <c r="R52" s="32">
        <v>0.1</v>
      </c>
      <c r="S52" s="32">
        <v>0</v>
      </c>
      <c r="T52" s="32">
        <v>0</v>
      </c>
      <c r="U52" s="32">
        <v>-0.05</v>
      </c>
      <c r="V52" s="32">
        <v>-0.1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0</v>
      </c>
      <c r="AE52" s="171" t="str">
        <f>"24"</f>
        <v>24</v>
      </c>
      <c r="AF52" s="171">
        <v>5</v>
      </c>
      <c r="AQ52" s="175" t="s">
        <v>3364</v>
      </c>
      <c r="AR52" s="175" t="s">
        <v>3435</v>
      </c>
    </row>
    <row r="53" spans="1:44">
      <c r="A53" s="31" t="s">
        <v>140</v>
      </c>
      <c r="B53" s="31">
        <v>1</v>
      </c>
      <c r="C53" s="31" t="s">
        <v>196</v>
      </c>
      <c r="D53" s="31">
        <v>-1</v>
      </c>
      <c r="E53" s="31" t="s">
        <v>191</v>
      </c>
      <c r="F53" s="31">
        <v>4</v>
      </c>
      <c r="G53" s="31">
        <v>5</v>
      </c>
      <c r="H53" s="31" t="str">
        <f>IF(VLOOKUP("Sag/Int",Tab_comp_ajust_2.5,2,FALSE)&gt;VLOOKUP("Cha/Mag",Tab_comp_ajust_2.5,2,FALSE),"Sag/Int","Cha/Mag")</f>
        <v>Cha/Mag</v>
      </c>
      <c r="N53" s="252" t="s">
        <v>872</v>
      </c>
      <c r="O53" s="252"/>
      <c r="P53" s="252"/>
      <c r="Q53" s="32">
        <v>0</v>
      </c>
      <c r="R53" s="32">
        <v>0.15</v>
      </c>
      <c r="S53" s="32">
        <v>0.05</v>
      </c>
      <c r="T53" s="32">
        <v>0.05</v>
      </c>
      <c r="U53" s="32">
        <v>-0.2</v>
      </c>
      <c r="V53" s="32">
        <v>-0.3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0.05</v>
      </c>
      <c r="AE53" s="171" t="str">
        <f>"25"</f>
        <v>25</v>
      </c>
      <c r="AF53" s="171">
        <v>5</v>
      </c>
      <c r="AQ53" s="176" t="s">
        <v>3365</v>
      </c>
      <c r="AR53" s="176" t="s">
        <v>3435</v>
      </c>
    </row>
    <row r="54" spans="1:44">
      <c r="A54" s="31" t="s">
        <v>141</v>
      </c>
      <c r="B54" s="31">
        <v>1</v>
      </c>
      <c r="C54" s="31" t="s">
        <v>194</v>
      </c>
      <c r="D54" s="31">
        <v>0</v>
      </c>
      <c r="E54" s="31" t="s">
        <v>191</v>
      </c>
      <c r="F54" s="31">
        <v>2</v>
      </c>
      <c r="G54" s="31">
        <v>8</v>
      </c>
      <c r="H54" s="31" t="str">
        <f>IF(VLOOKUP("Int/Int",Tab_comp_ajust_2.5,2,FALSE)&gt;VLOOKUP("Sag/Int",Tab_comp_ajust_2.5,2,FALSE),"Int/Int","Sag/Int")</f>
        <v>Sag/Int</v>
      </c>
      <c r="S54" s="33">
        <v>6</v>
      </c>
      <c r="T54" s="33">
        <v>7</v>
      </c>
      <c r="U54" s="33">
        <v>8</v>
      </c>
      <c r="V54" s="33">
        <v>9</v>
      </c>
      <c r="W54" s="33">
        <v>10</v>
      </c>
      <c r="X54" s="33">
        <v>11</v>
      </c>
      <c r="Y54" s="33">
        <v>12</v>
      </c>
      <c r="Z54" s="33">
        <v>13</v>
      </c>
      <c r="AA54" s="33">
        <v>14</v>
      </c>
      <c r="AB54" s="33">
        <v>15</v>
      </c>
      <c r="AC54" s="33">
        <v>16</v>
      </c>
      <c r="AQ54" s="175" t="s">
        <v>3366</v>
      </c>
      <c r="AR54" s="175" t="s">
        <v>3435</v>
      </c>
    </row>
    <row r="55" spans="1:44">
      <c r="A55" t="s">
        <v>142</v>
      </c>
      <c r="B55">
        <v>1</v>
      </c>
      <c r="C55" t="s">
        <v>198</v>
      </c>
      <c r="D55">
        <v>0</v>
      </c>
      <c r="E55" t="s">
        <v>191</v>
      </c>
      <c r="F55">
        <v>3</v>
      </c>
      <c r="G55">
        <v>5</v>
      </c>
      <c r="H55" t="s">
        <v>3269</v>
      </c>
      <c r="P55" s="24"/>
      <c r="Q55" s="24"/>
      <c r="R55" s="24"/>
      <c r="AQ55" s="176" t="s">
        <v>3367</v>
      </c>
      <c r="AR55" s="176" t="s">
        <v>3435</v>
      </c>
    </row>
    <row r="56" spans="1:44">
      <c r="A56" s="31" t="s">
        <v>231</v>
      </c>
      <c r="B56" s="31">
        <v>1</v>
      </c>
      <c r="C56" s="31" t="s">
        <v>194</v>
      </c>
      <c r="D56" s="31">
        <v>-1</v>
      </c>
      <c r="E56" s="31" t="s">
        <v>191</v>
      </c>
      <c r="F56" s="31">
        <v>3</v>
      </c>
      <c r="G56" s="31">
        <v>6</v>
      </c>
      <c r="H56" s="31" t="str">
        <f>IF(VLOOKUP("Sag/Int",Tab_comp_ajust_2.5,2,FALSE)&gt;VLOOKUP("Int/Éru",Tab_comp_ajust_2.5,2,FALSE),"Sag/Int","Int/Éru")</f>
        <v>Int/Éru</v>
      </c>
      <c r="P56" s="24"/>
      <c r="Q56" s="34"/>
      <c r="R56" s="24"/>
      <c r="AQ56" s="175" t="s">
        <v>3368</v>
      </c>
      <c r="AR56" s="175" t="s">
        <v>3435</v>
      </c>
    </row>
    <row r="57" spans="1:44">
      <c r="A57" s="31" t="s">
        <v>232</v>
      </c>
      <c r="B57" s="31">
        <v>1</v>
      </c>
      <c r="C57" s="31" t="s">
        <v>196</v>
      </c>
      <c r="D57" s="31">
        <v>0</v>
      </c>
      <c r="E57" s="31" t="s">
        <v>191</v>
      </c>
      <c r="F57" s="31">
        <v>2</v>
      </c>
      <c r="G57" s="31">
        <v>8</v>
      </c>
      <c r="H57" s="31" t="str">
        <f>IF(VLOOKUP("Int/Éru",Tab_comp_ajust_2.5,2,FALSE)&gt;VLOOKUP("Cha/Cha",Tab_comp_ajust_2.5,2,FALSE),"Int/Éru","Cha/Cha")</f>
        <v>Cha/Cha</v>
      </c>
      <c r="P57" s="24"/>
      <c r="Q57" s="35"/>
      <c r="R57" s="24"/>
      <c r="AQ57" s="176" t="s">
        <v>3369</v>
      </c>
      <c r="AR57" s="176" t="s">
        <v>3435</v>
      </c>
    </row>
    <row r="58" spans="1:44">
      <c r="A58" s="31" t="s">
        <v>143</v>
      </c>
      <c r="B58" s="31">
        <v>1</v>
      </c>
      <c r="C58" s="31" t="s">
        <v>198</v>
      </c>
      <c r="D58" s="31">
        <v>-1</v>
      </c>
      <c r="E58" s="31" t="s">
        <v>191</v>
      </c>
      <c r="F58" s="31">
        <v>2</v>
      </c>
      <c r="G58" s="31">
        <v>7</v>
      </c>
      <c r="H58" s="31" t="s">
        <v>3277</v>
      </c>
      <c r="P58" s="27" t="s">
        <v>151</v>
      </c>
      <c r="Q58" s="27" t="s">
        <v>239</v>
      </c>
      <c r="R58" s="27" t="s">
        <v>240</v>
      </c>
      <c r="S58" s="27" t="s">
        <v>241</v>
      </c>
      <c r="T58" s="27" t="s">
        <v>242</v>
      </c>
      <c r="U58" s="2" t="s">
        <v>243</v>
      </c>
      <c r="V58" s="2" t="s">
        <v>871</v>
      </c>
      <c r="W58" s="2" t="s">
        <v>245</v>
      </c>
      <c r="X58" s="2" t="s">
        <v>2400</v>
      </c>
      <c r="Y58" s="24"/>
      <c r="Z58" s="24"/>
      <c r="AA58" s="24"/>
      <c r="AB58" s="24"/>
      <c r="AQ58" s="175" t="s">
        <v>3370</v>
      </c>
      <c r="AR58" s="175" t="s">
        <v>3435</v>
      </c>
    </row>
    <row r="59" spans="1:44">
      <c r="A59" s="31" t="s">
        <v>230</v>
      </c>
      <c r="B59" s="31">
        <v>1</v>
      </c>
      <c r="C59" s="31" t="s">
        <v>196</v>
      </c>
      <c r="D59" s="31">
        <v>0</v>
      </c>
      <c r="E59" s="31" t="s">
        <v>191</v>
      </c>
      <c r="F59" s="31">
        <v>2</v>
      </c>
      <c r="G59" s="31">
        <v>5</v>
      </c>
      <c r="H59" s="31" t="str">
        <f>IF(VLOOKUP("Sag/Int",Tab_comp_ajust_2.5,2,FALSE)&gt;VLOOKUP("Int/Éru",Tab_comp_ajust_2.5,2,FALSE),"Sag/Int","Int/Éru")</f>
        <v>Int/Éru</v>
      </c>
      <c r="P59" s="27">
        <v>0</v>
      </c>
      <c r="Q59" s="32">
        <v>-0.35</v>
      </c>
      <c r="R59" s="32">
        <v>-0.45</v>
      </c>
      <c r="S59" s="32">
        <v>-0.4</v>
      </c>
      <c r="T59" s="32">
        <v>-0.35</v>
      </c>
      <c r="U59" s="32">
        <v>-0.45</v>
      </c>
      <c r="V59" s="32">
        <v>-0.35</v>
      </c>
      <c r="W59" s="32">
        <v>-0.45</v>
      </c>
      <c r="X59" s="32">
        <v>-0.45</v>
      </c>
      <c r="Y59" s="35"/>
      <c r="Z59" s="35"/>
      <c r="AA59" s="35"/>
      <c r="AB59" s="222"/>
      <c r="AC59" s="67"/>
      <c r="AD59" s="67"/>
      <c r="AE59" s="67"/>
      <c r="AF59" s="67"/>
      <c r="AG59" s="67"/>
      <c r="AH59" s="67"/>
      <c r="AI59" s="67"/>
      <c r="AJ59" s="67"/>
      <c r="AQ59" s="176" t="s">
        <v>3371</v>
      </c>
      <c r="AR59" s="176" t="s">
        <v>3435</v>
      </c>
    </row>
    <row r="60" spans="1:44">
      <c r="A60" s="31" t="s">
        <v>144</v>
      </c>
      <c r="B60" s="31">
        <v>1</v>
      </c>
      <c r="C60" s="31" t="s">
        <v>198</v>
      </c>
      <c r="D60" s="31">
        <v>-1</v>
      </c>
      <c r="E60" s="31" t="s">
        <v>191</v>
      </c>
      <c r="F60" s="31">
        <v>3</v>
      </c>
      <c r="G60" s="31">
        <v>7</v>
      </c>
      <c r="H60" s="31" t="s">
        <v>3268</v>
      </c>
      <c r="P60" s="27">
        <v>1</v>
      </c>
      <c r="Q60" s="32">
        <v>-0.35</v>
      </c>
      <c r="R60" s="32">
        <v>-0.4</v>
      </c>
      <c r="S60" s="32">
        <v>-0.35</v>
      </c>
      <c r="T60" s="32">
        <v>-0.35</v>
      </c>
      <c r="U60" s="32">
        <v>-0.4</v>
      </c>
      <c r="V60" s="32">
        <v>-0.35</v>
      </c>
      <c r="W60" s="32">
        <v>-0.4</v>
      </c>
      <c r="X60" s="32">
        <v>-0.4</v>
      </c>
      <c r="Y60" s="35"/>
      <c r="Z60" s="35"/>
      <c r="AA60" s="35"/>
      <c r="AB60" s="222"/>
      <c r="AC60" s="67"/>
      <c r="AD60" s="67"/>
      <c r="AE60" s="67"/>
      <c r="AF60" s="67"/>
      <c r="AG60" s="67"/>
      <c r="AH60" s="67"/>
      <c r="AI60" s="67"/>
      <c r="AJ60" s="67"/>
      <c r="AQ60" s="175" t="s">
        <v>3372</v>
      </c>
      <c r="AR60" s="175" t="s">
        <v>3435</v>
      </c>
    </row>
    <row r="61" spans="1:44">
      <c r="A61" s="31" t="s">
        <v>145</v>
      </c>
      <c r="B61" s="31">
        <v>2</v>
      </c>
      <c r="C61" s="31" t="s">
        <v>194</v>
      </c>
      <c r="D61" s="31">
        <v>-2</v>
      </c>
      <c r="E61" s="31" t="s">
        <v>191</v>
      </c>
      <c r="F61" s="31">
        <v>3</v>
      </c>
      <c r="G61" s="31">
        <v>7</v>
      </c>
      <c r="H61" s="31" t="str">
        <f>IF(VLOOKUP("Sag/Int",Tab_comp_ajust_2.5,2,FALSE)&gt;VLOOKUP("Int/Éru",Tab_comp_ajust_2.5,2,FALSE),"Sag/Int","Int/Éru")</f>
        <v>Int/Éru</v>
      </c>
      <c r="P61" s="27">
        <v>2</v>
      </c>
      <c r="Q61" s="32">
        <v>-0.3</v>
      </c>
      <c r="R61" s="32">
        <v>-0.35</v>
      </c>
      <c r="S61" s="32">
        <v>-0.35</v>
      </c>
      <c r="T61" s="32">
        <v>-0.35</v>
      </c>
      <c r="U61" s="32">
        <v>-0.35</v>
      </c>
      <c r="V61" s="32">
        <v>-0.3</v>
      </c>
      <c r="W61" s="32">
        <v>-0.35</v>
      </c>
      <c r="X61" s="32">
        <v>-0.35</v>
      </c>
      <c r="Y61" s="35"/>
      <c r="Z61" s="35"/>
      <c r="AA61" s="35"/>
      <c r="AB61" s="223" t="s">
        <v>3674</v>
      </c>
      <c r="AC61" s="224"/>
      <c r="AD61" s="224" t="s">
        <v>3676</v>
      </c>
      <c r="AE61" s="224" t="s">
        <v>3677</v>
      </c>
      <c r="AG61" s="67"/>
      <c r="AH61" s="67"/>
      <c r="AI61" s="67"/>
      <c r="AJ61" s="67"/>
      <c r="AQ61" s="176" t="s">
        <v>3373</v>
      </c>
      <c r="AR61" s="176" t="s">
        <v>3435</v>
      </c>
    </row>
    <row r="62" spans="1:44">
      <c r="A62" s="31" t="s">
        <v>3301</v>
      </c>
      <c r="B62" s="31">
        <v>1</v>
      </c>
      <c r="C62" s="31" t="s">
        <v>198</v>
      </c>
      <c r="D62" s="31">
        <v>-1</v>
      </c>
      <c r="E62" s="31" t="s">
        <v>191</v>
      </c>
      <c r="F62" s="31">
        <v>3</v>
      </c>
      <c r="G62" s="31">
        <v>6</v>
      </c>
      <c r="H62" s="31" t="str">
        <f>IF(VLOOKUP("Dex/Pré",Tab_comp_ajust_2.5,2,FALSE)&gt;VLOOKUP("Sag/Int",Tab_comp_ajust_2.5,2,FALSE),"Dex/Pré","Sag/Int")</f>
        <v>Sag/Int</v>
      </c>
      <c r="P62" s="27">
        <v>3</v>
      </c>
      <c r="Q62" s="32">
        <v>-0.3</v>
      </c>
      <c r="R62" s="32">
        <v>-0.3</v>
      </c>
      <c r="S62" s="32">
        <v>-0.3</v>
      </c>
      <c r="T62" s="32">
        <v>-0.3</v>
      </c>
      <c r="U62" s="32">
        <v>-0.3</v>
      </c>
      <c r="V62" s="32">
        <v>-0.3</v>
      </c>
      <c r="W62" s="32">
        <v>-0.3</v>
      </c>
      <c r="X62" s="32">
        <v>-0.3</v>
      </c>
      <c r="Y62" s="35"/>
      <c r="Z62" s="35"/>
      <c r="AA62" s="35"/>
      <c r="AB62" s="225">
        <v>2.5</v>
      </c>
      <c r="AC62" s="212" t="str">
        <f>""</f>
        <v/>
      </c>
      <c r="AD62" s="212" t="str">
        <f>IF(NPC=FALSE,"",AC62)</f>
        <v/>
      </c>
      <c r="AE62" s="212">
        <f>IF(MAX(level,levelc2,levelc3)&gt;=1,AD62,0)</f>
        <v>0</v>
      </c>
      <c r="AF62" s="67"/>
      <c r="AG62" s="67"/>
      <c r="AH62" s="67"/>
      <c r="AI62" s="67"/>
      <c r="AJ62" s="67"/>
      <c r="AQ62" s="175" t="s">
        <v>3374</v>
      </c>
      <c r="AR62" s="175" t="s">
        <v>3435</v>
      </c>
    </row>
    <row r="63" spans="1:44">
      <c r="A63" s="31" t="s">
        <v>146</v>
      </c>
      <c r="B63" s="31">
        <v>1</v>
      </c>
      <c r="C63" s="31" t="s">
        <v>197</v>
      </c>
      <c r="D63" s="31">
        <v>0</v>
      </c>
      <c r="E63" s="31" t="s">
        <v>191</v>
      </c>
      <c r="F63" s="31">
        <v>2</v>
      </c>
      <c r="G63" s="31">
        <v>8</v>
      </c>
      <c r="H63" s="31" t="str">
        <f>IF(VLOOKUP("For/Pui",Tab_comp_ajust_2.5,2,FALSE)&gt;VLOOKUP("Dex/Équ",Tab_comp_ajust_2.5,2,FALSE),"For/Pui","Dex/Équ")</f>
        <v>Dex/Équ</v>
      </c>
      <c r="P63" s="27">
        <v>4</v>
      </c>
      <c r="Q63" s="32">
        <v>-0.25</v>
      </c>
      <c r="R63" s="32">
        <v>-0.25</v>
      </c>
      <c r="S63" s="32">
        <v>-0.3</v>
      </c>
      <c r="T63" s="32">
        <v>-0.3</v>
      </c>
      <c r="U63" s="32">
        <v>-0.25</v>
      </c>
      <c r="V63" s="32">
        <v>-0.25</v>
      </c>
      <c r="W63" s="32">
        <v>-0.25</v>
      </c>
      <c r="X63" s="32">
        <v>-0.25</v>
      </c>
      <c r="Y63" s="35"/>
      <c r="Z63" s="35"/>
      <c r="AA63" s="35"/>
      <c r="AB63" s="225" t="str">
        <f>"2.0"</f>
        <v>2.0</v>
      </c>
      <c r="AC63" s="210">
        <f>ROUNDDOWN((level-1)/Compétences!R10,0)</f>
        <v>0</v>
      </c>
      <c r="AD63" s="212" t="str">
        <f>IF(NPC=FALSE,"",AC63)</f>
        <v/>
      </c>
      <c r="AE63" s="212">
        <f>IF(MAX(level,levelc2,levelc3)&gt;=1,AD63,0)</f>
        <v>0</v>
      </c>
      <c r="AG63" s="67"/>
      <c r="AH63" s="67"/>
      <c r="AI63" s="67"/>
      <c r="AJ63" s="67"/>
      <c r="AQ63" s="176" t="s">
        <v>3375</v>
      </c>
      <c r="AR63" s="176" t="s">
        <v>3435</v>
      </c>
    </row>
    <row r="64" spans="1:44">
      <c r="A64" s="31" t="s">
        <v>229</v>
      </c>
      <c r="B64" s="31">
        <v>2</v>
      </c>
      <c r="C64" s="31" t="s">
        <v>198</v>
      </c>
      <c r="D64" s="31">
        <v>-2</v>
      </c>
      <c r="E64" s="31" t="s">
        <v>191</v>
      </c>
      <c r="F64" s="31">
        <v>3</v>
      </c>
      <c r="G64" s="31">
        <v>6</v>
      </c>
      <c r="H64" s="31" t="s">
        <v>3268</v>
      </c>
      <c r="P64" s="27">
        <v>5</v>
      </c>
      <c r="Q64" s="32">
        <v>-0.25</v>
      </c>
      <c r="R64" s="32">
        <v>-0.2</v>
      </c>
      <c r="S64" s="32">
        <v>-0.25</v>
      </c>
      <c r="T64" s="32">
        <v>-0.3</v>
      </c>
      <c r="U64" s="32">
        <v>-0.2</v>
      </c>
      <c r="V64" s="32">
        <v>-0.25</v>
      </c>
      <c r="W64" s="32">
        <v>-0.2</v>
      </c>
      <c r="X64" s="32">
        <v>-0.2</v>
      </c>
      <c r="Y64" s="35"/>
      <c r="Z64" s="35"/>
      <c r="AA64" s="35"/>
      <c r="AB64" s="225" t="s">
        <v>3673</v>
      </c>
      <c r="AC64" s="212">
        <f>ROUNDDOWN((level-1)/Compétences!R10,0)*Compétences!Q10</f>
        <v>0</v>
      </c>
      <c r="AD64" s="212" t="str">
        <f>IF(NPC=FALSE,"",AC64)</f>
        <v/>
      </c>
      <c r="AE64" s="212">
        <f>IF(MAX(level,levelc2,levelc3)&gt;=1,AD64,0)</f>
        <v>0</v>
      </c>
      <c r="AF64" s="67"/>
      <c r="AG64" s="67"/>
      <c r="AH64" s="67"/>
      <c r="AI64" s="67"/>
      <c r="AJ64" s="67"/>
      <c r="AQ64" s="175" t="s">
        <v>3376</v>
      </c>
      <c r="AR64" s="175" t="s">
        <v>3435</v>
      </c>
    </row>
    <row r="65" spans="1:44">
      <c r="A65" s="31" t="s">
        <v>147</v>
      </c>
      <c r="B65" s="31">
        <v>1</v>
      </c>
      <c r="C65" s="31" t="s">
        <v>194</v>
      </c>
      <c r="D65" s="31">
        <v>-2</v>
      </c>
      <c r="E65" s="31" t="s">
        <v>191</v>
      </c>
      <c r="F65" s="31">
        <v>4</v>
      </c>
      <c r="G65" s="31">
        <v>5</v>
      </c>
      <c r="H65" s="31" t="str">
        <f>IF(VLOOKUP("Int/Éru",Tab_comp_ajust_2.5,2,FALSE)&gt;VLOOKUP("Cha/Mag",Tab_comp_ajust_2.5,2,FALSE),"Int/Éru","Cha/Mag")</f>
        <v>Cha/Mag</v>
      </c>
      <c r="P65" s="27">
        <v>6</v>
      </c>
      <c r="Q65" s="32">
        <v>-0.2</v>
      </c>
      <c r="R65" s="32">
        <v>-0.2</v>
      </c>
      <c r="S65" s="32">
        <v>-0.2</v>
      </c>
      <c r="T65" s="32">
        <v>-0.25</v>
      </c>
      <c r="U65" s="32">
        <v>-0.2</v>
      </c>
      <c r="V65" s="32">
        <v>-0.2</v>
      </c>
      <c r="W65" s="32">
        <v>-0.2</v>
      </c>
      <c r="X65" s="32">
        <v>-0.2</v>
      </c>
      <c r="Y65" s="35"/>
      <c r="Z65" s="35"/>
      <c r="AA65" s="35"/>
      <c r="AB65" s="225" t="s">
        <v>3675</v>
      </c>
      <c r="AC65" s="226" t="str">
        <f>""</f>
        <v/>
      </c>
      <c r="AD65" s="212" t="str">
        <f>IF(NPC=FALSE,"",AC65)</f>
        <v/>
      </c>
      <c r="AE65" s="212">
        <f>IF(MAX(level,levelc2,levelc3)&gt;=1,AD65,0)</f>
        <v>0</v>
      </c>
      <c r="AF65" s="67"/>
      <c r="AG65" s="67"/>
      <c r="AH65" s="67"/>
      <c r="AI65" s="67"/>
      <c r="AJ65" s="67"/>
      <c r="AQ65" s="176" t="s">
        <v>3377</v>
      </c>
      <c r="AR65" s="176" t="s">
        <v>3435</v>
      </c>
    </row>
    <row r="66" spans="1:44">
      <c r="A66" s="31"/>
      <c r="B66" s="31"/>
      <c r="C66" s="31"/>
      <c r="D66" s="31"/>
      <c r="E66" s="31"/>
      <c r="F66" s="31"/>
      <c r="G66" s="31"/>
      <c r="H66" s="31"/>
      <c r="P66" s="27">
        <v>7</v>
      </c>
      <c r="Q66" s="32">
        <v>-0.2</v>
      </c>
      <c r="R66" s="32">
        <v>-0.15</v>
      </c>
      <c r="S66" s="32">
        <v>-0.2</v>
      </c>
      <c r="T66" s="32">
        <v>-0.25</v>
      </c>
      <c r="U66" s="32">
        <v>-0.15</v>
      </c>
      <c r="V66" s="32">
        <v>-0.2</v>
      </c>
      <c r="W66" s="32">
        <v>-0.15</v>
      </c>
      <c r="X66" s="32">
        <v>-0.15</v>
      </c>
      <c r="Y66" s="35"/>
      <c r="Z66" s="35"/>
      <c r="AA66" s="35"/>
      <c r="AB66" s="222"/>
      <c r="AC66" s="67"/>
      <c r="AD66" s="212" t="s">
        <v>247</v>
      </c>
      <c r="AE66" s="212">
        <f>Compétences!Q10+IF(K23="",0,IF(AE6="Oui",K23,0))</f>
        <v>0</v>
      </c>
      <c r="AG66" s="67"/>
      <c r="AH66" s="67"/>
      <c r="AI66" s="67"/>
      <c r="AJ66" s="67"/>
      <c r="AQ66" s="175" t="s">
        <v>3378</v>
      </c>
      <c r="AR66" s="175" t="s">
        <v>3435</v>
      </c>
    </row>
    <row r="67" spans="1:44">
      <c r="A67" s="31" t="s">
        <v>203</v>
      </c>
      <c r="B67" s="31"/>
      <c r="C67" s="31"/>
      <c r="D67" s="31"/>
      <c r="E67" s="31"/>
      <c r="F67" s="31"/>
      <c r="G67" s="31"/>
      <c r="H67" s="31"/>
      <c r="P67" s="27">
        <v>8</v>
      </c>
      <c r="Q67" s="32">
        <v>-0.15</v>
      </c>
      <c r="R67" s="32">
        <v>-0.15</v>
      </c>
      <c r="S67" s="32">
        <v>-0.15</v>
      </c>
      <c r="T67" s="32">
        <v>-0.2</v>
      </c>
      <c r="U67" s="32">
        <v>-0.15</v>
      </c>
      <c r="V67" s="32">
        <v>-0.15</v>
      </c>
      <c r="W67" s="32">
        <v>-0.15</v>
      </c>
      <c r="X67" s="32">
        <v>-0.15</v>
      </c>
      <c r="Y67" s="35"/>
      <c r="Z67" s="35"/>
      <c r="AA67" s="35"/>
      <c r="AB67" s="222"/>
      <c r="AC67" s="67"/>
      <c r="AD67" s="212" t="s">
        <v>3678</v>
      </c>
      <c r="AE67" s="212">
        <f>IF(OR(comp_vers="2.5",comp_vers="aucune"),"",AE66+VLOOKUP(comp_vers,Compétences!AB62:AE65,4,FALSE))</f>
        <v>0</v>
      </c>
      <c r="AG67" s="67"/>
      <c r="AH67" s="67"/>
      <c r="AI67" s="67"/>
      <c r="AJ67" s="67"/>
      <c r="AQ67" s="176" t="s">
        <v>3379</v>
      </c>
      <c r="AR67" s="176" t="s">
        <v>3435</v>
      </c>
    </row>
    <row r="68" spans="1:44">
      <c r="A68" s="31" t="s">
        <v>3302</v>
      </c>
      <c r="B68" s="31">
        <v>2</v>
      </c>
      <c r="C68" s="31" t="s">
        <v>194</v>
      </c>
      <c r="D68" s="31">
        <v>0</v>
      </c>
      <c r="E68" s="31" t="s">
        <v>223</v>
      </c>
      <c r="F68" s="31">
        <v>3</v>
      </c>
      <c r="G68" s="31">
        <v>5</v>
      </c>
      <c r="H68" s="31" t="str">
        <f>IF(VLOOKUP("Sag/Int",Tab_comp_ajust_2.5,2,FALSE)&gt;VLOOKUP("Int/Éru",Tab_comp_ajust_2.5,2,FALSE),"Sag/Int","Int/Éru")</f>
        <v>Int/Éru</v>
      </c>
      <c r="P68" s="27">
        <v>9</v>
      </c>
      <c r="Q68" s="32">
        <v>-0.15</v>
      </c>
      <c r="R68" s="32">
        <v>-0.1</v>
      </c>
      <c r="S68" s="32">
        <v>-0.1</v>
      </c>
      <c r="T68" s="32">
        <v>-0.2</v>
      </c>
      <c r="U68" s="32">
        <v>-0.1</v>
      </c>
      <c r="V68" s="32">
        <v>-0.15</v>
      </c>
      <c r="W68" s="32">
        <v>-0.1</v>
      </c>
      <c r="X68" s="32">
        <v>-0.1</v>
      </c>
      <c r="Y68" s="35"/>
      <c r="Z68" s="35"/>
      <c r="AA68" s="35"/>
      <c r="AB68" s="222"/>
      <c r="AC68" s="67"/>
      <c r="AD68" s="67"/>
      <c r="AE68" s="67"/>
      <c r="AF68" s="67"/>
      <c r="AG68" s="67"/>
      <c r="AH68" s="67"/>
      <c r="AI68" s="67"/>
      <c r="AJ68" s="67"/>
      <c r="AQ68" s="175" t="s">
        <v>3380</v>
      </c>
      <c r="AR68" s="175" t="s">
        <v>3435</v>
      </c>
    </row>
    <row r="69" spans="1:44">
      <c r="A69" s="31" t="s">
        <v>3303</v>
      </c>
      <c r="B69" s="31">
        <v>1</v>
      </c>
      <c r="C69" s="31" t="s">
        <v>194</v>
      </c>
      <c r="D69" s="31">
        <v>-2</v>
      </c>
      <c r="E69" s="31" t="s">
        <v>223</v>
      </c>
      <c r="F69" s="31">
        <v>3</v>
      </c>
      <c r="G69" s="31">
        <v>7</v>
      </c>
      <c r="H69" s="31" t="s">
        <v>3273</v>
      </c>
      <c r="P69" s="27">
        <v>10</v>
      </c>
      <c r="Q69" s="32">
        <v>-0.1</v>
      </c>
      <c r="R69" s="32">
        <v>-0.05</v>
      </c>
      <c r="S69" s="32">
        <v>-0.1</v>
      </c>
      <c r="T69" s="32">
        <v>-0.15</v>
      </c>
      <c r="U69" s="32">
        <v>-0.05</v>
      </c>
      <c r="V69" s="32">
        <v>-0.1</v>
      </c>
      <c r="W69" s="32">
        <v>-0.05</v>
      </c>
      <c r="X69" s="32">
        <v>-0.05</v>
      </c>
      <c r="Y69" s="35"/>
      <c r="Z69" s="35"/>
      <c r="AA69" s="35"/>
      <c r="AB69" s="222"/>
      <c r="AC69" s="67"/>
      <c r="AD69" s="67"/>
      <c r="AE69" s="67"/>
      <c r="AF69" s="67"/>
      <c r="AG69" s="67"/>
      <c r="AH69" s="67"/>
      <c r="AI69" s="67"/>
      <c r="AJ69" s="67"/>
      <c r="AQ69" s="176" t="s">
        <v>3381</v>
      </c>
      <c r="AR69" s="176" t="s">
        <v>3435</v>
      </c>
    </row>
    <row r="70" spans="1:44">
      <c r="A70" s="31" t="s">
        <v>3311</v>
      </c>
      <c r="B70" s="31">
        <v>2</v>
      </c>
      <c r="C70" s="31" t="s">
        <v>194</v>
      </c>
      <c r="D70" s="31">
        <v>-3</v>
      </c>
      <c r="E70" s="31" t="s">
        <v>223</v>
      </c>
      <c r="F70" s="31">
        <v>4</v>
      </c>
      <c r="G70" s="31">
        <v>5</v>
      </c>
      <c r="H70" s="31" t="str">
        <f>IF(VLOOKUP("Sag/Int",Tab_comp_ajust_2.5,2,FALSE)&gt;VLOOKUP("Int/Int",Tab_comp_ajust_2.5,2,FALSE),"Sag/Int","Int/Int")</f>
        <v>Int/Int</v>
      </c>
      <c r="P70" s="27">
        <v>11</v>
      </c>
      <c r="Q70" s="32">
        <v>-0.05</v>
      </c>
      <c r="R70" s="32">
        <v>0</v>
      </c>
      <c r="S70" s="32">
        <v>-0.05</v>
      </c>
      <c r="T70" s="32">
        <v>-0.1</v>
      </c>
      <c r="U70" s="32">
        <v>0</v>
      </c>
      <c r="V70" s="32">
        <v>-0.1</v>
      </c>
      <c r="W70" s="32">
        <v>0</v>
      </c>
      <c r="X70" s="32">
        <v>0</v>
      </c>
      <c r="Y70" s="35"/>
      <c r="Z70" s="35"/>
      <c r="AA70" s="35"/>
      <c r="AB70" s="222"/>
      <c r="AC70" s="67"/>
      <c r="AD70" s="67"/>
      <c r="AE70" s="67"/>
      <c r="AF70" s="67"/>
      <c r="AG70" s="67"/>
      <c r="AH70" s="67"/>
      <c r="AI70" s="67"/>
      <c r="AJ70" s="67"/>
      <c r="AQ70" s="175" t="s">
        <v>3382</v>
      </c>
      <c r="AR70" s="175" t="s">
        <v>3435</v>
      </c>
    </row>
    <row r="71" spans="1:44">
      <c r="A71" s="31" t="s">
        <v>3304</v>
      </c>
      <c r="B71" s="31">
        <v>2</v>
      </c>
      <c r="C71" s="31" t="s">
        <v>194</v>
      </c>
      <c r="D71" s="31">
        <v>-2</v>
      </c>
      <c r="E71" s="31" t="s">
        <v>223</v>
      </c>
      <c r="F71" s="31">
        <v>3</v>
      </c>
      <c r="G71" s="31">
        <v>6</v>
      </c>
      <c r="H71" s="31" t="str">
        <f>IF(VLOOKUP("Sag/Int",Tab_comp_ajust_2.5,2,FALSE)&gt;VLOOKUP("Int/Éru",Tab_comp_ajust_2.5,2,FALSE),"Sag/Int","Int/Éru")</f>
        <v>Int/Éru</v>
      </c>
      <c r="P71" s="27">
        <v>12</v>
      </c>
      <c r="Q71" s="32">
        <v>0</v>
      </c>
      <c r="R71" s="32">
        <v>0</v>
      </c>
      <c r="S71" s="32">
        <v>0</v>
      </c>
      <c r="T71" s="32">
        <v>-0.05</v>
      </c>
      <c r="U71" s="32">
        <v>0</v>
      </c>
      <c r="V71" s="32">
        <v>-0.05</v>
      </c>
      <c r="W71" s="32">
        <v>0</v>
      </c>
      <c r="X71" s="32">
        <v>0</v>
      </c>
      <c r="Y71" s="35"/>
      <c r="Z71" s="35"/>
      <c r="AA71" s="35"/>
      <c r="AB71" s="222"/>
      <c r="AC71" s="67"/>
      <c r="AD71" s="67"/>
      <c r="AE71" s="67"/>
      <c r="AF71" s="67"/>
      <c r="AG71" s="67"/>
      <c r="AH71" s="67"/>
      <c r="AI71" s="67"/>
      <c r="AJ71" s="67"/>
      <c r="AQ71" s="176" t="s">
        <v>3383</v>
      </c>
      <c r="AR71" s="176" t="s">
        <v>3435</v>
      </c>
    </row>
    <row r="72" spans="1:44">
      <c r="A72" s="31" t="s">
        <v>3305</v>
      </c>
      <c r="B72" s="31">
        <v>1</v>
      </c>
      <c r="C72" s="31" t="s">
        <v>194</v>
      </c>
      <c r="D72" s="31">
        <v>-1</v>
      </c>
      <c r="E72" s="31" t="s">
        <v>223</v>
      </c>
      <c r="F72" s="31">
        <v>3</v>
      </c>
      <c r="G72" s="31">
        <v>6</v>
      </c>
      <c r="H72" s="31" t="str">
        <f>IF(VLOOKUP("Sag/Int",Tab_comp_ajust_2.5,2,FALSE)&gt;VLOOKUP("Int/Éru",Tab_comp_ajust_2.5,2,FALSE),"Sag/Int","Int/Éru")</f>
        <v>Int/Éru</v>
      </c>
      <c r="P72" s="27">
        <v>13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-0.05</v>
      </c>
      <c r="W72" s="32">
        <v>0</v>
      </c>
      <c r="X72" s="32">
        <v>0</v>
      </c>
      <c r="Y72" s="35"/>
      <c r="Z72" s="35"/>
      <c r="AA72" s="35"/>
      <c r="AB72" s="222"/>
      <c r="AC72" s="67"/>
      <c r="AD72" s="67"/>
      <c r="AE72" s="67"/>
      <c r="AF72" s="67"/>
      <c r="AG72" s="67"/>
      <c r="AH72" s="67"/>
      <c r="AI72" s="67"/>
      <c r="AJ72" s="67"/>
      <c r="AQ72" s="175" t="s">
        <v>3384</v>
      </c>
      <c r="AR72" s="175" t="s">
        <v>3435</v>
      </c>
    </row>
    <row r="73" spans="1:44">
      <c r="A73" s="31" t="s">
        <v>3306</v>
      </c>
      <c r="B73" s="31">
        <v>1</v>
      </c>
      <c r="C73" s="31" t="s">
        <v>194</v>
      </c>
      <c r="D73" s="31">
        <v>0</v>
      </c>
      <c r="E73" s="31" t="s">
        <v>223</v>
      </c>
      <c r="F73" s="31">
        <v>4</v>
      </c>
      <c r="G73" s="31">
        <v>5</v>
      </c>
      <c r="H73" s="31" t="s">
        <v>3273</v>
      </c>
      <c r="P73" s="27">
        <v>14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  <c r="Y73" s="35"/>
      <c r="Z73" s="35"/>
      <c r="AA73" s="35"/>
      <c r="AB73" s="222"/>
      <c r="AC73" s="67"/>
      <c r="AD73" s="67"/>
      <c r="AE73" s="67"/>
      <c r="AF73" s="67"/>
      <c r="AG73" s="67"/>
      <c r="AH73" s="67"/>
      <c r="AI73" s="67"/>
      <c r="AJ73" s="67"/>
      <c r="AQ73" s="176" t="s">
        <v>3385</v>
      </c>
      <c r="AR73" s="176" t="s">
        <v>3435</v>
      </c>
    </row>
    <row r="74" spans="1:44">
      <c r="A74" s="31" t="s">
        <v>3307</v>
      </c>
      <c r="B74" s="31">
        <v>1</v>
      </c>
      <c r="C74" s="31" t="s">
        <v>194</v>
      </c>
      <c r="D74" s="31">
        <v>1</v>
      </c>
      <c r="E74" s="31" t="s">
        <v>223</v>
      </c>
      <c r="F74" s="31">
        <v>2</v>
      </c>
      <c r="G74" s="31">
        <v>8</v>
      </c>
      <c r="H74" s="31" t="s">
        <v>3273</v>
      </c>
      <c r="P74" s="27">
        <v>15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5"/>
      <c r="Z74" s="35"/>
      <c r="AA74" s="35"/>
      <c r="AB74" s="222"/>
      <c r="AC74" s="67"/>
      <c r="AD74" s="67"/>
      <c r="AE74" s="67"/>
      <c r="AF74" s="67"/>
      <c r="AG74" s="67"/>
      <c r="AH74" s="67"/>
      <c r="AI74" s="67"/>
      <c r="AJ74" s="67"/>
      <c r="AQ74" s="175" t="s">
        <v>3386</v>
      </c>
      <c r="AR74" s="175" t="s">
        <v>3435</v>
      </c>
    </row>
    <row r="75" spans="1:44">
      <c r="A75" s="31" t="s">
        <v>3308</v>
      </c>
      <c r="B75" s="31">
        <v>1</v>
      </c>
      <c r="C75" s="31" t="s">
        <v>194</v>
      </c>
      <c r="D75" s="31">
        <v>-2</v>
      </c>
      <c r="E75" s="31" t="s">
        <v>223</v>
      </c>
      <c r="F75" s="31">
        <v>3</v>
      </c>
      <c r="G75" s="31">
        <v>6</v>
      </c>
      <c r="H75" s="31" t="str">
        <f>IF(VLOOKUP("Sag/Int",Tab_comp_ajust_2.5,2,FALSE)&gt;VLOOKUP("Int/Éru",Tab_comp_ajust_2.5,2,FALSE),"Sag/Int","Int/Éru")</f>
        <v>Int/Éru</v>
      </c>
      <c r="P75" s="27">
        <v>16</v>
      </c>
      <c r="Q75" s="32">
        <v>0</v>
      </c>
      <c r="R75" s="32">
        <v>0.05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  <c r="Y75" s="35"/>
      <c r="Z75" s="35"/>
      <c r="AA75" s="35"/>
      <c r="AB75" s="222"/>
      <c r="AC75" s="67"/>
      <c r="AD75" s="67"/>
      <c r="AE75" s="67"/>
      <c r="AF75" s="67"/>
      <c r="AG75" s="67"/>
      <c r="AH75" s="67"/>
      <c r="AI75" s="67"/>
      <c r="AJ75" s="67"/>
      <c r="AQ75" s="176" t="s">
        <v>3387</v>
      </c>
      <c r="AR75" s="176" t="s">
        <v>3435</v>
      </c>
    </row>
    <row r="76" spans="1:44">
      <c r="A76" s="31" t="s">
        <v>3309</v>
      </c>
      <c r="B76" s="31">
        <v>1</v>
      </c>
      <c r="C76" s="31" t="s">
        <v>195</v>
      </c>
      <c r="D76" s="31">
        <v>0</v>
      </c>
      <c r="E76" s="31" t="s">
        <v>223</v>
      </c>
      <c r="F76" s="31">
        <v>2</v>
      </c>
      <c r="G76" s="31">
        <v>6</v>
      </c>
      <c r="H76" s="31" t="s">
        <v>3275</v>
      </c>
      <c r="P76" s="27">
        <v>17</v>
      </c>
      <c r="Q76" s="32">
        <v>0.05</v>
      </c>
      <c r="R76" s="32">
        <v>0.1</v>
      </c>
      <c r="S76" s="32">
        <v>0</v>
      </c>
      <c r="T76" s="32">
        <v>0.05</v>
      </c>
      <c r="U76" s="32">
        <v>0.05</v>
      </c>
      <c r="V76" s="32">
        <v>0.05</v>
      </c>
      <c r="W76" s="32">
        <v>0.05</v>
      </c>
      <c r="X76" s="32">
        <v>0</v>
      </c>
      <c r="Y76" s="35"/>
      <c r="Z76" s="35"/>
      <c r="AA76" s="35"/>
      <c r="AB76" s="222"/>
      <c r="AC76" s="67"/>
      <c r="AD76" s="67"/>
      <c r="AE76" s="67"/>
      <c r="AF76" s="67"/>
      <c r="AG76" s="67"/>
      <c r="AH76" s="67"/>
      <c r="AI76" s="67"/>
      <c r="AJ76" s="67"/>
      <c r="AQ76" s="175" t="s">
        <v>3388</v>
      </c>
      <c r="AR76" s="175" t="s">
        <v>3435</v>
      </c>
    </row>
    <row r="77" spans="1:44">
      <c r="A77" s="31" t="s">
        <v>3310</v>
      </c>
      <c r="B77" s="31">
        <v>2</v>
      </c>
      <c r="C77" s="31" t="s">
        <v>198</v>
      </c>
      <c r="D77" s="31">
        <v>-2</v>
      </c>
      <c r="E77" s="31" t="s">
        <v>223</v>
      </c>
      <c r="F77" s="31">
        <v>3</v>
      </c>
      <c r="G77" s="31">
        <v>6</v>
      </c>
      <c r="H77" s="31" t="s">
        <v>3268</v>
      </c>
      <c r="P77" s="27">
        <v>18</v>
      </c>
      <c r="Q77" s="32">
        <v>0.1</v>
      </c>
      <c r="R77" s="32">
        <v>0.15</v>
      </c>
      <c r="S77" s="32">
        <v>0.05</v>
      </c>
      <c r="T77" s="32">
        <v>0.1</v>
      </c>
      <c r="U77" s="32">
        <v>0.1</v>
      </c>
      <c r="V77" s="32">
        <v>0.1</v>
      </c>
      <c r="W77" s="32">
        <v>0.1</v>
      </c>
      <c r="X77" s="32">
        <v>0.05</v>
      </c>
      <c r="Y77" s="35"/>
      <c r="Z77" s="35"/>
      <c r="AA77" s="35"/>
      <c r="AB77" s="222"/>
      <c r="AC77" s="67"/>
      <c r="AD77" s="67"/>
      <c r="AE77" s="67"/>
      <c r="AF77" s="67"/>
      <c r="AG77" s="67"/>
      <c r="AH77" s="67"/>
      <c r="AI77" s="67"/>
      <c r="AJ77" s="67"/>
      <c r="AQ77" s="176" t="s">
        <v>3389</v>
      </c>
      <c r="AR77" s="176" t="s">
        <v>3435</v>
      </c>
    </row>
    <row r="78" spans="1:44">
      <c r="A78" s="31"/>
      <c r="B78" s="31"/>
      <c r="C78" s="31"/>
      <c r="D78" s="31"/>
      <c r="E78" s="31"/>
      <c r="F78" s="31"/>
      <c r="G78" s="31"/>
      <c r="H78" s="31"/>
      <c r="P78" s="27">
        <v>19</v>
      </c>
      <c r="Q78" s="32">
        <v>0.15</v>
      </c>
      <c r="R78" s="32">
        <v>0.2</v>
      </c>
      <c r="S78" s="32">
        <v>0.1</v>
      </c>
      <c r="T78" s="32">
        <v>0.15</v>
      </c>
      <c r="U78" s="32">
        <v>0.15</v>
      </c>
      <c r="V78" s="32">
        <v>0.15</v>
      </c>
      <c r="W78" s="32">
        <v>0.15</v>
      </c>
      <c r="X78" s="32">
        <v>0.1</v>
      </c>
      <c r="Y78" s="35"/>
      <c r="Z78" s="35"/>
      <c r="AA78" s="35"/>
      <c r="AB78" s="222"/>
      <c r="AC78" s="67"/>
      <c r="AD78" s="67"/>
      <c r="AE78" s="67"/>
      <c r="AF78" s="67"/>
      <c r="AG78" s="67"/>
      <c r="AH78" s="67"/>
      <c r="AI78" s="67"/>
      <c r="AJ78" s="67"/>
      <c r="AQ78" s="175" t="s">
        <v>3390</v>
      </c>
      <c r="AR78" s="175" t="s">
        <v>3435</v>
      </c>
    </row>
    <row r="79" spans="1:44">
      <c r="A79" s="31" t="s">
        <v>204</v>
      </c>
      <c r="B79" s="31"/>
      <c r="C79" s="31"/>
      <c r="D79" s="31"/>
      <c r="E79" s="31"/>
      <c r="F79" s="31"/>
      <c r="G79" s="31"/>
      <c r="H79" s="31"/>
      <c r="P79" s="27">
        <v>20</v>
      </c>
      <c r="Q79" s="32">
        <v>0.2</v>
      </c>
      <c r="R79" s="32">
        <v>0.2</v>
      </c>
      <c r="S79" s="32">
        <v>0.15</v>
      </c>
      <c r="T79" s="32">
        <v>0.15</v>
      </c>
      <c r="U79" s="32">
        <v>0.2</v>
      </c>
      <c r="V79" s="32">
        <v>0.2</v>
      </c>
      <c r="W79" s="32">
        <v>0.2</v>
      </c>
      <c r="X79" s="32">
        <v>0.15</v>
      </c>
      <c r="Y79" s="35"/>
      <c r="Z79" s="35"/>
      <c r="AA79" s="35"/>
      <c r="AB79" s="222"/>
      <c r="AC79" s="67"/>
      <c r="AD79" s="67"/>
      <c r="AE79" s="67"/>
      <c r="AF79" s="67"/>
      <c r="AG79" s="67"/>
      <c r="AH79" s="67"/>
      <c r="AI79" s="67"/>
      <c r="AJ79" s="67"/>
      <c r="AQ79" s="176" t="s">
        <v>3391</v>
      </c>
      <c r="AR79" s="176" t="s">
        <v>3435</v>
      </c>
    </row>
    <row r="80" spans="1:44">
      <c r="A80" s="31" t="s">
        <v>212</v>
      </c>
      <c r="B80" s="31">
        <v>2</v>
      </c>
      <c r="C80" s="31" t="s">
        <v>194</v>
      </c>
      <c r="D80" s="31">
        <v>0</v>
      </c>
      <c r="E80" s="31" t="s">
        <v>224</v>
      </c>
      <c r="F80" s="31">
        <v>3</v>
      </c>
      <c r="G80" s="31">
        <v>5</v>
      </c>
      <c r="H80" s="31" t="str">
        <f>IF(VLOOKUP("Sag/Int",Tab_comp_ajust_2.5,2,FALSE)&gt;VLOOKUP("Int/Éru",Tab_comp_ajust_2.5,2,FALSE),"Sag/Int","Int/Éru")</f>
        <v>Int/Éru</v>
      </c>
      <c r="P80" s="27">
        <v>21</v>
      </c>
      <c r="Q80" s="32">
        <v>0.2</v>
      </c>
      <c r="R80" s="32">
        <v>0.25</v>
      </c>
      <c r="S80" s="32">
        <v>0.2</v>
      </c>
      <c r="T80" s="32">
        <v>0.2</v>
      </c>
      <c r="U80" s="32">
        <v>0.25</v>
      </c>
      <c r="V80" s="32">
        <v>0.25</v>
      </c>
      <c r="W80" s="32">
        <v>0.2</v>
      </c>
      <c r="X80" s="32">
        <v>0.2</v>
      </c>
      <c r="Y80" s="35"/>
      <c r="Z80" s="35"/>
      <c r="AA80" s="35"/>
      <c r="AB80" s="222"/>
      <c r="AC80" s="67"/>
      <c r="AD80" s="67"/>
      <c r="AE80" s="67"/>
      <c r="AF80" s="67"/>
      <c r="AG80" s="67"/>
      <c r="AH80" s="67"/>
      <c r="AI80" s="67"/>
      <c r="AJ80" s="67"/>
      <c r="AQ80" s="175" t="s">
        <v>3392</v>
      </c>
      <c r="AR80" s="175" t="s">
        <v>3435</v>
      </c>
    </row>
    <row r="81" spans="1:44">
      <c r="A81" s="31" t="s">
        <v>211</v>
      </c>
      <c r="B81" s="31">
        <v>1</v>
      </c>
      <c r="C81" s="31" t="s">
        <v>194</v>
      </c>
      <c r="D81" s="31">
        <v>-2</v>
      </c>
      <c r="E81" s="31" t="s">
        <v>224</v>
      </c>
      <c r="F81" s="31">
        <v>3</v>
      </c>
      <c r="G81" s="31">
        <v>7</v>
      </c>
      <c r="H81" s="31" t="s">
        <v>3273</v>
      </c>
      <c r="P81" s="27">
        <v>22</v>
      </c>
      <c r="Q81" s="32">
        <v>0.25</v>
      </c>
      <c r="R81" s="32">
        <v>0.25</v>
      </c>
      <c r="S81" s="32">
        <v>0.2</v>
      </c>
      <c r="T81" s="32">
        <v>0.2</v>
      </c>
      <c r="U81" s="32">
        <v>0.3</v>
      </c>
      <c r="V81" s="32">
        <v>0.3</v>
      </c>
      <c r="W81" s="32">
        <v>0.25</v>
      </c>
      <c r="X81" s="32">
        <v>0.3</v>
      </c>
      <c r="Y81" s="35"/>
      <c r="Z81" s="35"/>
      <c r="AA81" s="35"/>
      <c r="AB81" s="222"/>
      <c r="AC81" s="67"/>
      <c r="AD81" s="67"/>
      <c r="AE81" s="67"/>
      <c r="AF81" s="67"/>
      <c r="AG81" s="67"/>
      <c r="AH81" s="67"/>
      <c r="AI81" s="67"/>
      <c r="AJ81" s="67"/>
      <c r="AQ81" s="176" t="s">
        <v>3393</v>
      </c>
      <c r="AR81" s="176" t="s">
        <v>3435</v>
      </c>
    </row>
    <row r="82" spans="1:44">
      <c r="A82" s="31" t="s">
        <v>213</v>
      </c>
      <c r="B82" s="31">
        <v>2</v>
      </c>
      <c r="C82" s="31" t="s">
        <v>194</v>
      </c>
      <c r="D82" s="31">
        <v>-2</v>
      </c>
      <c r="E82" s="31" t="s">
        <v>224</v>
      </c>
      <c r="F82" s="31">
        <v>3</v>
      </c>
      <c r="G82" s="31">
        <v>6</v>
      </c>
      <c r="H82" s="31" t="str">
        <f>IF(VLOOKUP("Sag/Int",Tab_comp_ajust_2.5,2,FALSE)&gt;VLOOKUP("Int/Éru",Tab_comp_ajust_2.5,2,FALSE),"Sag/Int","Int/Éru")</f>
        <v>Int/Éru</v>
      </c>
      <c r="P82" s="27">
        <v>23</v>
      </c>
      <c r="Q82" s="32">
        <v>0.25</v>
      </c>
      <c r="R82" s="32">
        <v>0.3</v>
      </c>
      <c r="S82" s="32">
        <v>0.25</v>
      </c>
      <c r="T82" s="32">
        <v>0.25</v>
      </c>
      <c r="U82" s="32">
        <v>0.3</v>
      </c>
      <c r="V82" s="32">
        <v>0.3</v>
      </c>
      <c r="W82" s="32">
        <v>0.25</v>
      </c>
      <c r="X82" s="32">
        <v>0.3</v>
      </c>
      <c r="Y82" s="35"/>
      <c r="Z82" s="35"/>
      <c r="AA82" s="35"/>
      <c r="AB82" s="222"/>
      <c r="AC82" s="67"/>
      <c r="AD82" s="67"/>
      <c r="AE82" s="67"/>
      <c r="AF82" s="67"/>
      <c r="AG82" s="67"/>
      <c r="AH82" s="67"/>
      <c r="AI82" s="67"/>
      <c r="AJ82" s="67"/>
      <c r="AQ82" s="175" t="s">
        <v>3394</v>
      </c>
      <c r="AR82" s="175" t="s">
        <v>3435</v>
      </c>
    </row>
    <row r="83" spans="1:44">
      <c r="A83" s="31" t="s">
        <v>214</v>
      </c>
      <c r="B83" s="31">
        <v>1</v>
      </c>
      <c r="C83" s="31" t="s">
        <v>194</v>
      </c>
      <c r="D83" s="31">
        <v>-1</v>
      </c>
      <c r="E83" s="31" t="s">
        <v>224</v>
      </c>
      <c r="F83" s="31">
        <v>3</v>
      </c>
      <c r="G83" s="31">
        <v>6</v>
      </c>
      <c r="H83" s="31" t="str">
        <f>IF(VLOOKUP("Sag/Int",Tab_comp_ajust_2.5,2,FALSE)&gt;VLOOKUP("Int/Éru",Tab_comp_ajust_2.5,2,FALSE),"Sag/Int","Int/Éru")</f>
        <v>Int/Éru</v>
      </c>
      <c r="P83" s="27">
        <v>24</v>
      </c>
      <c r="Q83" s="32">
        <v>0.3</v>
      </c>
      <c r="R83" s="32">
        <v>0.3</v>
      </c>
      <c r="S83" s="32">
        <v>0.25</v>
      </c>
      <c r="T83" s="32">
        <v>0.25</v>
      </c>
      <c r="U83" s="32">
        <v>0.35</v>
      </c>
      <c r="V83" s="32">
        <v>0.35</v>
      </c>
      <c r="W83" s="32">
        <v>0.3</v>
      </c>
      <c r="X83" s="32">
        <v>0.35</v>
      </c>
      <c r="Y83" s="35"/>
      <c r="Z83" s="35"/>
      <c r="AA83" s="35"/>
      <c r="AB83" s="222"/>
      <c r="AC83" s="67"/>
      <c r="AD83" s="67"/>
      <c r="AE83" s="67"/>
      <c r="AF83" s="67"/>
      <c r="AG83" s="67"/>
      <c r="AH83" s="67"/>
      <c r="AI83" s="67"/>
      <c r="AJ83" s="67"/>
      <c r="AQ83" s="176" t="s">
        <v>3395</v>
      </c>
      <c r="AR83" s="176" t="s">
        <v>3435</v>
      </c>
    </row>
    <row r="84" spans="1:44">
      <c r="A84" s="31" t="s">
        <v>233</v>
      </c>
      <c r="B84" s="31">
        <v>1</v>
      </c>
      <c r="C84" s="31" t="s">
        <v>196</v>
      </c>
      <c r="D84" s="31">
        <v>0</v>
      </c>
      <c r="E84" s="31" t="s">
        <v>224</v>
      </c>
      <c r="F84" s="31">
        <v>2</v>
      </c>
      <c r="G84" s="31">
        <v>8</v>
      </c>
      <c r="H84" s="31" t="str">
        <f>IF(VLOOKUP("Int/Éru",Tab_comp_ajust_2.5,2,FALSE)&gt;VLOOKUP("Cha/Cha",Tab_comp_ajust_2.5,2,FALSE),"Int/Éru","Cha/Cha")</f>
        <v>Cha/Cha</v>
      </c>
      <c r="P84" s="27">
        <v>25</v>
      </c>
      <c r="Q84" s="32">
        <v>0.3</v>
      </c>
      <c r="R84" s="32">
        <v>0.35</v>
      </c>
      <c r="S84" s="32">
        <v>0.3</v>
      </c>
      <c r="T84" s="32">
        <v>0.3</v>
      </c>
      <c r="U84" s="32">
        <v>0.35</v>
      </c>
      <c r="V84" s="32">
        <v>0.35</v>
      </c>
      <c r="W84" s="32">
        <v>0.3</v>
      </c>
      <c r="X84" s="32">
        <v>0.35</v>
      </c>
      <c r="AQ84" s="175" t="s">
        <v>3396</v>
      </c>
      <c r="AR84" s="175" t="s">
        <v>3435</v>
      </c>
    </row>
    <row r="85" spans="1:44">
      <c r="A85" s="31" t="s">
        <v>3312</v>
      </c>
      <c r="B85" s="31">
        <v>2</v>
      </c>
      <c r="C85" s="31" t="s">
        <v>194</v>
      </c>
      <c r="D85" s="31">
        <v>-3</v>
      </c>
      <c r="E85" s="31" t="s">
        <v>224</v>
      </c>
      <c r="F85" s="31">
        <v>4</v>
      </c>
      <c r="G85" s="31">
        <v>5</v>
      </c>
      <c r="H85" s="31" t="str">
        <f>IF(VLOOKUP("Sag/Int",Tab_comp_ajust_2.5,2,FALSE)&gt;VLOOKUP("Int/Int",Tab_comp_ajust_2.5,2,FALSE),"Sag/Int","Int/Int")</f>
        <v>Int/Int</v>
      </c>
      <c r="AQ85" s="176" t="s">
        <v>3397</v>
      </c>
      <c r="AR85" s="176" t="s">
        <v>3435</v>
      </c>
    </row>
    <row r="86" spans="1:44">
      <c r="A86" s="31" t="s">
        <v>215</v>
      </c>
      <c r="B86" s="31">
        <v>1</v>
      </c>
      <c r="C86" s="31" t="s">
        <v>198</v>
      </c>
      <c r="D86" s="31">
        <v>-1</v>
      </c>
      <c r="E86" s="31" t="s">
        <v>224</v>
      </c>
      <c r="F86" s="31">
        <v>2</v>
      </c>
      <c r="G86" s="31">
        <v>7</v>
      </c>
      <c r="H86" s="31" t="s">
        <v>3277</v>
      </c>
      <c r="AQ86" s="175" t="s">
        <v>3398</v>
      </c>
      <c r="AR86" s="175" t="s">
        <v>3435</v>
      </c>
    </row>
    <row r="87" spans="1:44">
      <c r="A87" s="31" t="s">
        <v>216</v>
      </c>
      <c r="B87" s="31">
        <v>1</v>
      </c>
      <c r="C87" s="31" t="s">
        <v>194</v>
      </c>
      <c r="D87" s="31">
        <v>0</v>
      </c>
      <c r="E87" s="31" t="s">
        <v>224</v>
      </c>
      <c r="F87" s="31">
        <v>4</v>
      </c>
      <c r="G87" s="31">
        <v>5</v>
      </c>
      <c r="H87" s="31" t="s">
        <v>3273</v>
      </c>
      <c r="AQ87" s="176" t="s">
        <v>3399</v>
      </c>
      <c r="AR87" s="176" t="s">
        <v>3435</v>
      </c>
    </row>
    <row r="88" spans="1:44">
      <c r="A88" s="31" t="s">
        <v>217</v>
      </c>
      <c r="B88" s="31">
        <v>1</v>
      </c>
      <c r="C88" s="31" t="s">
        <v>194</v>
      </c>
      <c r="D88" s="31">
        <v>1</v>
      </c>
      <c r="E88" s="31" t="s">
        <v>224</v>
      </c>
      <c r="F88" s="31">
        <v>2</v>
      </c>
      <c r="G88" s="31">
        <v>8</v>
      </c>
      <c r="H88" s="31" t="s">
        <v>3273</v>
      </c>
      <c r="AQ88" s="175" t="s">
        <v>3400</v>
      </c>
      <c r="AR88" s="175" t="s">
        <v>3435</v>
      </c>
    </row>
    <row r="89" spans="1:44">
      <c r="A89" s="31" t="s">
        <v>218</v>
      </c>
      <c r="B89" s="31">
        <v>1</v>
      </c>
      <c r="C89" s="31" t="s">
        <v>194</v>
      </c>
      <c r="D89" s="31">
        <v>-2</v>
      </c>
      <c r="E89" s="31" t="s">
        <v>224</v>
      </c>
      <c r="F89" s="31">
        <v>3</v>
      </c>
      <c r="G89" s="31">
        <v>6</v>
      </c>
      <c r="H89" s="31" t="str">
        <f>IF(VLOOKUP("Sag/Int",Tab_comp_ajust_2.5,2,FALSE)&gt;VLOOKUP("Int/Éru",Tab_comp_ajust_2.5,2,FALSE),"Sag/Int","Int/Éru")</f>
        <v>Int/Éru</v>
      </c>
      <c r="AQ89" s="176" t="s">
        <v>3401</v>
      </c>
      <c r="AR89" s="176" t="s">
        <v>3435</v>
      </c>
    </row>
    <row r="90" spans="1:44">
      <c r="A90" s="31" t="s">
        <v>3313</v>
      </c>
      <c r="B90" s="31">
        <v>2</v>
      </c>
      <c r="C90" s="31" t="s">
        <v>195</v>
      </c>
      <c r="D90" s="31">
        <v>-2</v>
      </c>
      <c r="E90" s="31" t="s">
        <v>224</v>
      </c>
      <c r="F90" s="31">
        <v>4</v>
      </c>
      <c r="G90" s="31">
        <v>5</v>
      </c>
      <c r="H90" s="31" t="str">
        <f>IF(VLOOKUP("Sag/Int",Tab_comp_ajust_2.5,2,FALSE)&gt;VLOOKUP("Cha/Mag",Tab_comp_ajust_2.5,2,FALSE),"Sag/Int","Cha/Mag")</f>
        <v>Cha/Mag</v>
      </c>
      <c r="AQ90" s="175" t="s">
        <v>3402</v>
      </c>
      <c r="AR90" s="175" t="s">
        <v>3435</v>
      </c>
    </row>
    <row r="91" spans="1:44">
      <c r="A91" s="31" t="s">
        <v>219</v>
      </c>
      <c r="B91" s="31">
        <v>1</v>
      </c>
      <c r="C91" s="31" t="s">
        <v>195</v>
      </c>
      <c r="D91" s="31">
        <v>0</v>
      </c>
      <c r="E91" s="31" t="s">
        <v>224</v>
      </c>
      <c r="F91" s="31">
        <v>2</v>
      </c>
      <c r="G91" s="31">
        <v>6</v>
      </c>
      <c r="H91" s="31" t="s">
        <v>3275</v>
      </c>
      <c r="AQ91" s="176" t="s">
        <v>3403</v>
      </c>
      <c r="AR91" s="176" t="s">
        <v>3435</v>
      </c>
    </row>
    <row r="92" spans="1:44">
      <c r="AQ92" s="175" t="s">
        <v>3404</v>
      </c>
      <c r="AR92" s="175" t="s">
        <v>3435</v>
      </c>
    </row>
    <row r="93" spans="1:44">
      <c r="A93" t="s">
        <v>277</v>
      </c>
      <c r="AQ93" s="176" t="s">
        <v>3405</v>
      </c>
      <c r="AR93" s="176" t="s">
        <v>3435</v>
      </c>
    </row>
    <row r="94" spans="1:44">
      <c r="A94" s="31" t="s">
        <v>278</v>
      </c>
      <c r="B94" s="31">
        <v>2</v>
      </c>
      <c r="C94" s="31" t="s">
        <v>195</v>
      </c>
      <c r="D94" s="31">
        <v>-1</v>
      </c>
      <c r="E94" s="31" t="s">
        <v>225</v>
      </c>
      <c r="F94" s="31">
        <v>3</v>
      </c>
      <c r="G94" s="31">
        <v>6</v>
      </c>
      <c r="H94" s="31" t="s">
        <v>3274</v>
      </c>
      <c r="AQ94" s="175" t="s">
        <v>3406</v>
      </c>
      <c r="AR94" s="175" t="s">
        <v>3435</v>
      </c>
    </row>
    <row r="95" spans="1:44">
      <c r="A95" s="162" t="s">
        <v>279</v>
      </c>
      <c r="B95" s="162">
        <v>1</v>
      </c>
      <c r="C95" s="162" t="s">
        <v>196</v>
      </c>
      <c r="D95" s="162">
        <v>-2</v>
      </c>
      <c r="E95" s="162" t="s">
        <v>225</v>
      </c>
      <c r="F95" s="162"/>
      <c r="G95" s="162"/>
      <c r="H95" s="162"/>
      <c r="AQ95" s="176" t="s">
        <v>3407</v>
      </c>
      <c r="AR95" s="176" t="s">
        <v>3435</v>
      </c>
    </row>
    <row r="96" spans="1:44">
      <c r="A96" s="31" t="s">
        <v>1730</v>
      </c>
      <c r="B96" s="31">
        <v>1</v>
      </c>
      <c r="C96" s="31" t="s">
        <v>195</v>
      </c>
      <c r="D96" s="31">
        <v>0</v>
      </c>
      <c r="E96" s="31" t="s">
        <v>225</v>
      </c>
      <c r="F96">
        <v>3</v>
      </c>
      <c r="G96" t="s">
        <v>168</v>
      </c>
      <c r="H96" t="s">
        <v>3274</v>
      </c>
      <c r="AQ96" s="175" t="s">
        <v>3408</v>
      </c>
      <c r="AR96" s="175" t="s">
        <v>3435</v>
      </c>
    </row>
    <row r="97" spans="1:44">
      <c r="A97" s="31" t="s">
        <v>281</v>
      </c>
      <c r="B97" s="31">
        <v>1</v>
      </c>
      <c r="C97" s="31" t="s">
        <v>198</v>
      </c>
      <c r="D97" s="31">
        <v>-1</v>
      </c>
      <c r="E97" s="31" t="s">
        <v>225</v>
      </c>
      <c r="F97" s="31">
        <v>2</v>
      </c>
      <c r="G97" s="31">
        <v>7</v>
      </c>
      <c r="H97" s="31" t="s">
        <v>3277</v>
      </c>
      <c r="AQ97" s="176" t="s">
        <v>3409</v>
      </c>
      <c r="AR97" s="176" t="s">
        <v>3435</v>
      </c>
    </row>
    <row r="98" spans="1:44">
      <c r="A98" s="31" t="s">
        <v>280</v>
      </c>
      <c r="B98" s="31">
        <v>1</v>
      </c>
      <c r="C98" s="31" t="s">
        <v>194</v>
      </c>
      <c r="D98" s="31">
        <v>1</v>
      </c>
      <c r="E98" s="31" t="s">
        <v>225</v>
      </c>
      <c r="F98" s="31">
        <v>2</v>
      </c>
      <c r="G98" s="31">
        <v>8</v>
      </c>
      <c r="H98" s="31" t="s">
        <v>3273</v>
      </c>
      <c r="AQ98" s="175" t="s">
        <v>3410</v>
      </c>
      <c r="AR98" s="175" t="s">
        <v>3435</v>
      </c>
    </row>
    <row r="99" spans="1:44">
      <c r="A99" s="31" t="s">
        <v>282</v>
      </c>
      <c r="B99" s="31">
        <v>1</v>
      </c>
      <c r="C99" s="31" t="s">
        <v>195</v>
      </c>
      <c r="D99" s="31">
        <v>1</v>
      </c>
      <c r="E99" s="31" t="s">
        <v>225</v>
      </c>
      <c r="F99" s="31">
        <v>3</v>
      </c>
      <c r="G99" s="31">
        <v>6</v>
      </c>
      <c r="H99" s="31" t="s">
        <v>3275</v>
      </c>
      <c r="AQ99" s="176" t="s">
        <v>3411</v>
      </c>
      <c r="AR99" s="176" t="s">
        <v>3435</v>
      </c>
    </row>
    <row r="100" spans="1:44">
      <c r="A100" s="31" t="s">
        <v>283</v>
      </c>
      <c r="B100" s="31">
        <v>1</v>
      </c>
      <c r="C100" s="31" t="s">
        <v>195</v>
      </c>
      <c r="D100" s="31">
        <v>-1</v>
      </c>
      <c r="E100" s="31" t="s">
        <v>225</v>
      </c>
      <c r="F100" s="31">
        <v>3</v>
      </c>
      <c r="G100" s="31">
        <v>6</v>
      </c>
      <c r="H100" s="31" t="s">
        <v>3275</v>
      </c>
      <c r="AQ100" s="175" t="s">
        <v>3412</v>
      </c>
      <c r="AR100" s="175" t="s">
        <v>3435</v>
      </c>
    </row>
    <row r="101" spans="1:44">
      <c r="A101" s="31" t="s">
        <v>284</v>
      </c>
      <c r="B101" s="31">
        <v>1</v>
      </c>
      <c r="C101" s="31" t="s">
        <v>195</v>
      </c>
      <c r="D101" s="31">
        <v>0</v>
      </c>
      <c r="E101" s="31" t="s">
        <v>225</v>
      </c>
      <c r="F101" s="31">
        <v>2</v>
      </c>
      <c r="G101" s="31">
        <v>6</v>
      </c>
      <c r="H101" s="31" t="s">
        <v>3275</v>
      </c>
      <c r="AQ101" s="176" t="s">
        <v>3413</v>
      </c>
      <c r="AR101" s="176" t="s">
        <v>3435</v>
      </c>
    </row>
    <row r="102" spans="1:44">
      <c r="A102" s="31" t="s">
        <v>285</v>
      </c>
      <c r="B102" s="31">
        <v>2</v>
      </c>
      <c r="C102" s="31" t="s">
        <v>198</v>
      </c>
      <c r="D102" s="31">
        <v>-2</v>
      </c>
      <c r="E102" s="31" t="s">
        <v>225</v>
      </c>
      <c r="F102" s="31">
        <v>3</v>
      </c>
      <c r="G102" s="31">
        <v>6</v>
      </c>
      <c r="H102" s="31" t="s">
        <v>3268</v>
      </c>
      <c r="AQ102" s="175" t="s">
        <v>3414</v>
      </c>
      <c r="AR102" s="175" t="s">
        <v>3435</v>
      </c>
    </row>
    <row r="103" spans="1:44">
      <c r="AQ103" s="176" t="s">
        <v>3415</v>
      </c>
      <c r="AR103" s="176" t="s">
        <v>3435</v>
      </c>
    </row>
    <row r="104" spans="1:44">
      <c r="AQ104" s="175" t="s">
        <v>3416</v>
      </c>
      <c r="AR104" s="175" t="s">
        <v>3435</v>
      </c>
    </row>
    <row r="105" spans="1:44">
      <c r="AQ105" s="176" t="s">
        <v>3417</v>
      </c>
      <c r="AR105" s="176" t="s">
        <v>3435</v>
      </c>
    </row>
    <row r="106" spans="1:44">
      <c r="AQ106" s="175" t="s">
        <v>3418</v>
      </c>
      <c r="AR106" s="175" t="s">
        <v>3435</v>
      </c>
    </row>
    <row r="107" spans="1:44">
      <c r="AQ107" s="176" t="s">
        <v>3419</v>
      </c>
      <c r="AR107" s="176" t="s">
        <v>3435</v>
      </c>
    </row>
    <row r="108" spans="1:44">
      <c r="AQ108" s="175" t="s">
        <v>3420</v>
      </c>
      <c r="AR108" s="175" t="s">
        <v>3435</v>
      </c>
    </row>
    <row r="109" spans="1:44">
      <c r="AQ109" s="176" t="s">
        <v>3421</v>
      </c>
      <c r="AR109" s="176" t="s">
        <v>3435</v>
      </c>
    </row>
    <row r="110" spans="1:44">
      <c r="AQ110" s="175" t="s">
        <v>3422</v>
      </c>
      <c r="AR110" s="175" t="s">
        <v>3435</v>
      </c>
    </row>
    <row r="111" spans="1:44">
      <c r="AQ111" s="176" t="s">
        <v>3423</v>
      </c>
      <c r="AR111" s="176" t="s">
        <v>3435</v>
      </c>
    </row>
    <row r="112" spans="1:44">
      <c r="M112" s="219"/>
      <c r="N112" s="219"/>
      <c r="O112" s="219"/>
      <c r="P112" s="219"/>
      <c r="Q112" s="219"/>
      <c r="R112" s="219"/>
      <c r="S112" s="219"/>
      <c r="T112" s="219"/>
      <c r="U112" s="219"/>
      <c r="V112" s="219"/>
      <c r="W112" s="219"/>
      <c r="X112" s="219"/>
      <c r="Y112" s="219"/>
      <c r="Z112" s="219"/>
      <c r="AA112" s="219"/>
      <c r="AB112" s="219"/>
      <c r="AC112" s="219"/>
      <c r="AD112" s="219"/>
      <c r="AE112" s="219"/>
      <c r="AF112" s="219"/>
      <c r="AG112" s="219"/>
      <c r="AH112" s="219"/>
      <c r="AI112" s="219"/>
      <c r="AJ112" s="219"/>
      <c r="AK112" s="219"/>
      <c r="AL112" s="219"/>
      <c r="AQ112" s="175" t="s">
        <v>3424</v>
      </c>
      <c r="AR112" s="175" t="s">
        <v>3435</v>
      </c>
    </row>
    <row r="113" spans="13:44">
      <c r="M113" s="219"/>
      <c r="N113" s="219"/>
      <c r="O113" s="219"/>
      <c r="P113" s="219"/>
      <c r="Q113" s="219"/>
      <c r="R113" s="219"/>
      <c r="S113" s="219"/>
      <c r="T113" s="219"/>
      <c r="U113" s="219"/>
      <c r="V113" s="219"/>
      <c r="W113" s="219"/>
      <c r="X113" s="219"/>
      <c r="Y113" s="219"/>
      <c r="Z113" s="219"/>
      <c r="AA113" s="219"/>
      <c r="AB113" s="219"/>
      <c r="AC113" s="219"/>
      <c r="AD113" s="219"/>
      <c r="AE113" s="219"/>
      <c r="AF113" s="219"/>
      <c r="AG113" s="219"/>
      <c r="AH113" s="219"/>
      <c r="AI113" s="219"/>
      <c r="AJ113" s="219"/>
      <c r="AK113" s="219"/>
      <c r="AL113" s="219"/>
      <c r="AQ113" s="176" t="s">
        <v>3425</v>
      </c>
      <c r="AR113" s="176" t="s">
        <v>3435</v>
      </c>
    </row>
    <row r="114" spans="13:44">
      <c r="M114" s="219"/>
      <c r="N114" s="219"/>
      <c r="O114" s="219"/>
      <c r="P114" s="219"/>
      <c r="Q114" s="219"/>
      <c r="R114" s="219"/>
      <c r="S114" s="219"/>
      <c r="T114" s="219"/>
      <c r="U114" s="219"/>
      <c r="V114" s="219"/>
      <c r="W114" s="219"/>
      <c r="X114" s="219"/>
      <c r="Y114" s="219"/>
      <c r="Z114" s="219"/>
      <c r="AA114" s="219"/>
      <c r="AB114" s="219"/>
      <c r="AC114" s="219"/>
      <c r="AD114" s="219"/>
      <c r="AE114" s="219"/>
      <c r="AF114" s="219"/>
      <c r="AG114" s="219"/>
      <c r="AH114" s="219"/>
      <c r="AI114" s="219"/>
      <c r="AJ114" s="219"/>
      <c r="AK114" s="219"/>
      <c r="AL114" s="219"/>
      <c r="AQ114" s="175" t="s">
        <v>3426</v>
      </c>
      <c r="AR114" s="175" t="s">
        <v>3435</v>
      </c>
    </row>
    <row r="115" spans="13:44">
      <c r="M115" s="220"/>
      <c r="N115" s="220"/>
      <c r="O115" s="220"/>
      <c r="P115" s="220"/>
      <c r="Q115" s="220"/>
      <c r="R115" s="220"/>
      <c r="S115" s="220"/>
      <c r="T115" s="220"/>
      <c r="U115" s="220"/>
      <c r="V115" s="220"/>
      <c r="W115" s="220"/>
      <c r="X115" s="220"/>
      <c r="Y115" s="220"/>
      <c r="Z115" s="220"/>
      <c r="AA115" s="220"/>
      <c r="AB115" s="220"/>
      <c r="AC115" s="220"/>
      <c r="AD115" s="220"/>
      <c r="AE115" s="220"/>
      <c r="AF115" s="220"/>
      <c r="AG115" s="220"/>
      <c r="AH115" s="220"/>
      <c r="AI115" s="220"/>
      <c r="AJ115" s="220"/>
      <c r="AK115" s="220"/>
      <c r="AL115" s="220"/>
      <c r="AQ115" s="176" t="s">
        <v>3427</v>
      </c>
      <c r="AR115" s="176" t="s">
        <v>3435</v>
      </c>
    </row>
    <row r="116" spans="13:44">
      <c r="M116" s="221"/>
      <c r="N116" s="221"/>
      <c r="O116" s="221"/>
      <c r="P116" s="221"/>
      <c r="Q116" s="221"/>
      <c r="R116" s="221"/>
      <c r="S116" s="221"/>
      <c r="T116" s="221"/>
      <c r="U116" s="221"/>
      <c r="V116" s="221"/>
      <c r="W116" s="221"/>
      <c r="X116" s="221"/>
      <c r="Y116" s="221"/>
      <c r="Z116" s="221"/>
      <c r="AA116" s="221"/>
      <c r="AB116" s="221"/>
      <c r="AC116" s="221"/>
      <c r="AD116" s="221"/>
      <c r="AE116" s="221"/>
      <c r="AF116" s="221"/>
      <c r="AG116" s="221"/>
      <c r="AH116" s="221"/>
      <c r="AI116" s="221"/>
      <c r="AJ116" s="221"/>
      <c r="AK116" s="221"/>
      <c r="AL116" s="221"/>
      <c r="AQ116" s="175" t="s">
        <v>3428</v>
      </c>
      <c r="AR116" s="175" t="s">
        <v>3435</v>
      </c>
    </row>
    <row r="117" spans="13:44">
      <c r="M117" s="221"/>
      <c r="N117" s="221"/>
      <c r="O117" s="221"/>
      <c r="P117" s="221"/>
      <c r="Q117" s="221"/>
      <c r="R117" s="221"/>
      <c r="S117" s="221"/>
      <c r="T117" s="221"/>
      <c r="U117" s="221"/>
      <c r="V117" s="221"/>
      <c r="W117" s="221"/>
      <c r="X117" s="221"/>
      <c r="Y117" s="221"/>
      <c r="Z117" s="221"/>
      <c r="AA117" s="221"/>
      <c r="AB117" s="221"/>
      <c r="AC117" s="221"/>
      <c r="AD117" s="221"/>
      <c r="AE117" s="221"/>
      <c r="AF117" s="221"/>
      <c r="AG117" s="221"/>
      <c r="AH117" s="221"/>
      <c r="AI117" s="221"/>
      <c r="AJ117" s="221"/>
      <c r="AK117" s="221"/>
      <c r="AL117" s="221"/>
      <c r="AQ117" s="176" t="s">
        <v>3429</v>
      </c>
      <c r="AR117" s="176" t="s">
        <v>3435</v>
      </c>
    </row>
    <row r="118" spans="13:44"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21"/>
      <c r="Z118" s="221"/>
      <c r="AA118" s="221"/>
      <c r="AB118" s="221"/>
      <c r="AC118" s="221"/>
      <c r="AD118" s="221"/>
      <c r="AE118" s="221"/>
      <c r="AF118" s="221"/>
      <c r="AG118" s="221"/>
      <c r="AH118" s="221"/>
      <c r="AI118" s="221"/>
      <c r="AJ118" s="221"/>
      <c r="AK118" s="221"/>
      <c r="AL118" s="221"/>
      <c r="AQ118" s="175" t="s">
        <v>3430</v>
      </c>
      <c r="AR118" s="175" t="s">
        <v>3435</v>
      </c>
    </row>
    <row r="119" spans="13:44">
      <c r="M119" s="221"/>
      <c r="N119" s="221"/>
      <c r="O119" s="221"/>
      <c r="P119" s="221"/>
      <c r="Q119" s="221"/>
      <c r="R119" s="221"/>
      <c r="S119" s="221"/>
      <c r="T119" s="221"/>
      <c r="U119" s="221"/>
      <c r="V119" s="221"/>
      <c r="W119" s="221"/>
      <c r="X119" s="221"/>
      <c r="Y119" s="221"/>
      <c r="Z119" s="221"/>
      <c r="AA119" s="221"/>
      <c r="AB119" s="221"/>
      <c r="AC119" s="221"/>
      <c r="AD119" s="221"/>
      <c r="AE119" s="221"/>
      <c r="AF119" s="221"/>
      <c r="AG119" s="221"/>
      <c r="AH119" s="221"/>
      <c r="AI119" s="221"/>
      <c r="AJ119" s="221"/>
      <c r="AK119" s="221"/>
      <c r="AL119" s="221"/>
      <c r="AQ119" s="176" t="s">
        <v>3431</v>
      </c>
      <c r="AR119" s="176" t="s">
        <v>3435</v>
      </c>
    </row>
    <row r="120" spans="13:44">
      <c r="M120" s="219"/>
      <c r="N120" s="219"/>
      <c r="O120" s="219"/>
      <c r="P120" s="219"/>
      <c r="Q120" s="219"/>
      <c r="R120" s="219"/>
      <c r="S120" s="219"/>
      <c r="T120" s="219"/>
      <c r="U120" s="219"/>
      <c r="V120" s="219"/>
      <c r="W120" s="219"/>
      <c r="X120" s="219"/>
      <c r="Y120" s="219"/>
      <c r="Z120" s="219"/>
      <c r="AA120" s="219"/>
      <c r="AB120" s="219"/>
      <c r="AC120" s="219"/>
      <c r="AD120" s="219"/>
      <c r="AE120" s="219"/>
      <c r="AF120" s="219"/>
      <c r="AG120" s="219"/>
      <c r="AH120" s="219"/>
      <c r="AI120" s="219"/>
      <c r="AJ120" s="219"/>
      <c r="AK120" s="219"/>
      <c r="AL120" s="219"/>
      <c r="AQ120" s="175" t="s">
        <v>3432</v>
      </c>
      <c r="AR120" s="175" t="s">
        <v>3435</v>
      </c>
    </row>
    <row r="121" spans="13:44">
      <c r="M121" s="219"/>
      <c r="N121" s="219"/>
      <c r="O121" s="219"/>
      <c r="P121" s="219"/>
      <c r="Q121" s="219"/>
      <c r="R121" s="219"/>
      <c r="S121" s="219"/>
      <c r="T121" s="219"/>
      <c r="U121" s="219"/>
      <c r="V121" s="219"/>
      <c r="W121" s="219"/>
      <c r="X121" s="219"/>
      <c r="Y121" s="219"/>
      <c r="Z121" s="219"/>
      <c r="AA121" s="219"/>
      <c r="AB121" s="219"/>
      <c r="AC121" s="219"/>
      <c r="AD121" s="219"/>
      <c r="AE121" s="219"/>
      <c r="AF121" s="219"/>
      <c r="AG121" s="219"/>
      <c r="AH121" s="219"/>
      <c r="AI121" s="219"/>
      <c r="AJ121" s="219"/>
      <c r="AK121" s="219"/>
      <c r="AL121" s="219"/>
      <c r="AQ121" s="176" t="s">
        <v>3433</v>
      </c>
      <c r="AR121" s="176" t="s">
        <v>3435</v>
      </c>
    </row>
    <row r="122" spans="13:44">
      <c r="AQ122" s="419" t="s">
        <v>3434</v>
      </c>
      <c r="AR122" s="419"/>
    </row>
    <row r="129" spans="43:44">
      <c r="AQ129" s="419" t="s">
        <v>3436</v>
      </c>
      <c r="AR129" s="419"/>
    </row>
    <row r="137" spans="43:44">
      <c r="AQ137" s="419" t="s">
        <v>857</v>
      </c>
      <c r="AR137" s="419"/>
    </row>
  </sheetData>
  <sortState ref="A80:H91">
    <sortCondition ref="A80"/>
  </sortState>
  <mergeCells count="53">
    <mergeCell ref="T34:V34"/>
    <mergeCell ref="T35:V35"/>
    <mergeCell ref="AE1:AF1"/>
    <mergeCell ref="T31:V31"/>
    <mergeCell ref="T32:V32"/>
    <mergeCell ref="T33:V33"/>
    <mergeCell ref="T26:V26"/>
    <mergeCell ref="T27:V27"/>
    <mergeCell ref="T28:V28"/>
    <mergeCell ref="T29:V29"/>
    <mergeCell ref="T30:V30"/>
    <mergeCell ref="T21:V21"/>
    <mergeCell ref="T22:V22"/>
    <mergeCell ref="T23:V23"/>
    <mergeCell ref="T24:V24"/>
    <mergeCell ref="T25:V25"/>
    <mergeCell ref="M21:O21"/>
    <mergeCell ref="N2:P2"/>
    <mergeCell ref="Q2:R2"/>
    <mergeCell ref="M27:O27"/>
    <mergeCell ref="V2:W2"/>
    <mergeCell ref="N42:P42"/>
    <mergeCell ref="N43:P43"/>
    <mergeCell ref="M22:O22"/>
    <mergeCell ref="M23:O23"/>
    <mergeCell ref="M29:O29"/>
    <mergeCell ref="M33:O33"/>
    <mergeCell ref="M34:O34"/>
    <mergeCell ref="M35:O35"/>
    <mergeCell ref="M30:O30"/>
    <mergeCell ref="M31:O31"/>
    <mergeCell ref="M32:O32"/>
    <mergeCell ref="M28:O28"/>
    <mergeCell ref="M24:O24"/>
    <mergeCell ref="M25:O25"/>
    <mergeCell ref="M26:O26"/>
    <mergeCell ref="N41:P41"/>
    <mergeCell ref="AQ1:AR1"/>
    <mergeCell ref="AQ122:AR122"/>
    <mergeCell ref="AQ129:AR129"/>
    <mergeCell ref="AQ137:AR137"/>
    <mergeCell ref="N52:P52"/>
    <mergeCell ref="N53:P53"/>
    <mergeCell ref="N49:P49"/>
    <mergeCell ref="N50:P50"/>
    <mergeCell ref="N51:P51"/>
    <mergeCell ref="N44:P44"/>
    <mergeCell ref="N45:P45"/>
    <mergeCell ref="N46:P46"/>
    <mergeCell ref="N47:P47"/>
    <mergeCell ref="N48:P48"/>
    <mergeCell ref="M1:R1"/>
    <mergeCell ref="M2:M3"/>
  </mergeCells>
  <dataValidations count="2">
    <dataValidation type="list" allowBlank="1" showInputMessage="1" showErrorMessage="1" sqref="M116:M119 Z116:Z119">
      <formula1>Comp_martiales_list</formula1>
    </dataValidation>
    <dataValidation type="list" allowBlank="1" showInputMessage="1" showErrorMessage="1" sqref="X116:Y119 AK116:AL119">
      <formula1>"Familier,Compétent,Expert,Spécialiste,Maître,Grand Maître"</formula1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G148"/>
  <sheetViews>
    <sheetView topLeftCell="A127" zoomScale="85" zoomScaleNormal="85" workbookViewId="0">
      <selection activeCell="A148" sqref="A148"/>
    </sheetView>
  </sheetViews>
  <sheetFormatPr defaultRowHeight="15"/>
  <cols>
    <col min="1" max="1" width="17.42578125" bestFit="1" customWidth="1"/>
    <col min="15" max="15" width="9.140625" customWidth="1"/>
  </cols>
  <sheetData>
    <row r="1" spans="1:33">
      <c r="A1" s="5">
        <v>1</v>
      </c>
      <c r="B1" s="5">
        <v>2</v>
      </c>
      <c r="C1" s="5">
        <v>3</v>
      </c>
      <c r="D1" s="5">
        <v>4</v>
      </c>
      <c r="E1" s="5">
        <v>5</v>
      </c>
      <c r="F1" s="5">
        <v>6</v>
      </c>
      <c r="G1" s="5">
        <v>7</v>
      </c>
      <c r="H1" s="5">
        <v>8</v>
      </c>
      <c r="I1" s="5">
        <v>9</v>
      </c>
      <c r="J1" s="5">
        <v>10</v>
      </c>
      <c r="K1" s="5">
        <v>11</v>
      </c>
      <c r="L1" s="5">
        <v>12</v>
      </c>
      <c r="M1" s="5">
        <v>13</v>
      </c>
      <c r="N1" s="5">
        <v>14</v>
      </c>
      <c r="O1" s="5">
        <v>15</v>
      </c>
      <c r="P1" s="5">
        <v>16</v>
      </c>
      <c r="Q1" s="5">
        <v>17</v>
      </c>
      <c r="R1" s="5">
        <v>18</v>
      </c>
      <c r="S1" s="5">
        <v>19</v>
      </c>
      <c r="T1" s="5">
        <v>20</v>
      </c>
      <c r="U1" s="5">
        <v>21</v>
      </c>
      <c r="V1" s="5">
        <v>22</v>
      </c>
      <c r="W1" s="5">
        <v>23</v>
      </c>
      <c r="X1" s="5">
        <v>24</v>
      </c>
      <c r="Y1" s="5">
        <v>25</v>
      </c>
      <c r="Z1" s="5">
        <v>26</v>
      </c>
      <c r="AA1" s="5">
        <v>27</v>
      </c>
      <c r="AB1" s="5">
        <v>28</v>
      </c>
      <c r="AC1" s="5">
        <v>29</v>
      </c>
      <c r="AD1" s="5">
        <v>30</v>
      </c>
      <c r="AE1" s="5">
        <v>31</v>
      </c>
      <c r="AF1" s="5">
        <v>32</v>
      </c>
      <c r="AG1" s="5" t="s">
        <v>182</v>
      </c>
    </row>
    <row r="2" spans="1:33">
      <c r="A2" s="6" t="str">
        <f>""</f>
        <v/>
      </c>
      <c r="B2" s="6" t="s">
        <v>1295</v>
      </c>
      <c r="C2" s="6" t="s">
        <v>1185</v>
      </c>
      <c r="D2" s="6" t="s">
        <v>1152</v>
      </c>
      <c r="E2" s="6" t="s">
        <v>1278</v>
      </c>
      <c r="F2" s="6" t="s">
        <v>1215</v>
      </c>
      <c r="G2" s="6" t="s">
        <v>3066</v>
      </c>
      <c r="H2" s="6" t="str">
        <f>IF('Feuille 1'!P6="Femelle","Duchesse des vents (Air)","Duc des vents (Air)")</f>
        <v>Duc des vents (Air)</v>
      </c>
      <c r="I2" s="6" t="s">
        <v>1295</v>
      </c>
      <c r="J2" s="6" t="s">
        <v>1295</v>
      </c>
      <c r="K2" s="6" t="s">
        <v>1156</v>
      </c>
      <c r="L2" s="6" t="s">
        <v>1163</v>
      </c>
      <c r="M2" s="6" t="s">
        <v>1208</v>
      </c>
      <c r="N2" s="6" t="s">
        <v>3918</v>
      </c>
      <c r="O2" s="6" t="s">
        <v>1241</v>
      </c>
      <c r="P2" s="6" t="s">
        <v>477</v>
      </c>
      <c r="Q2" s="6" t="s">
        <v>1295</v>
      </c>
      <c r="R2" s="6" t="s">
        <v>1243</v>
      </c>
      <c r="S2" s="6" t="s">
        <v>1166</v>
      </c>
      <c r="T2" s="6" t="s">
        <v>1253</v>
      </c>
      <c r="U2" s="6" t="s">
        <v>1295</v>
      </c>
      <c r="V2" s="6" t="s">
        <v>1295</v>
      </c>
      <c r="W2" s="6" t="s">
        <v>1300</v>
      </c>
      <c r="X2" s="6" t="s">
        <v>1295</v>
      </c>
      <c r="Y2" s="6" t="s">
        <v>1295</v>
      </c>
      <c r="Z2" s="6" t="s">
        <v>1295</v>
      </c>
      <c r="AA2" s="6" t="s">
        <v>1295</v>
      </c>
      <c r="AB2" s="6" t="s">
        <v>1295</v>
      </c>
      <c r="AC2" s="6" t="s">
        <v>1295</v>
      </c>
      <c r="AD2" s="6" t="s">
        <v>1339</v>
      </c>
      <c r="AE2" s="6" t="s">
        <v>1295</v>
      </c>
      <c r="AF2" s="6" t="s">
        <v>1295</v>
      </c>
      <c r="AG2" s="6" t="str">
        <f>HLOOKUP(VLOOKUP(Race,Race_stats,2,FALSE),Ethnies_total,2,FALSE)</f>
        <v/>
      </c>
    </row>
    <row r="3" spans="1:33">
      <c r="A3" s="4" t="str">
        <f>""</f>
        <v/>
      </c>
      <c r="B3" s="4" t="s">
        <v>1152</v>
      </c>
      <c r="C3" s="4" t="s">
        <v>1186</v>
      </c>
      <c r="D3" s="4" t="s">
        <v>3062</v>
      </c>
      <c r="E3" s="4" t="s">
        <v>1279</v>
      </c>
      <c r="F3" s="4" t="s">
        <v>3072</v>
      </c>
      <c r="G3" s="4" t="s">
        <v>3067</v>
      </c>
      <c r="H3" s="4" t="str">
        <f>IF('Feuille 1'!P6="Femelle","Reine des mers (Eau)","Roi des mers (Eau)")</f>
        <v>Roi des mers (Eau)</v>
      </c>
      <c r="I3" s="4" t="s">
        <v>1152</v>
      </c>
      <c r="J3" s="4" t="s">
        <v>1155</v>
      </c>
      <c r="K3" s="4" t="s">
        <v>1157</v>
      </c>
      <c r="L3" s="4" t="s">
        <v>1164</v>
      </c>
      <c r="M3" s="4" t="s">
        <v>1209</v>
      </c>
      <c r="N3" s="4" t="s">
        <v>1234</v>
      </c>
      <c r="O3" s="4" t="s">
        <v>1242</v>
      </c>
      <c r="P3" s="4" t="s">
        <v>1238</v>
      </c>
      <c r="Q3" s="4" t="s">
        <v>1239</v>
      </c>
      <c r="R3" s="4" t="s">
        <v>1244</v>
      </c>
      <c r="S3" s="4" t="s">
        <v>1249</v>
      </c>
      <c r="T3" s="4" t="s">
        <v>1254</v>
      </c>
      <c r="U3" s="4" t="s">
        <v>1277</v>
      </c>
      <c r="V3" s="4" t="s">
        <v>1299</v>
      </c>
      <c r="W3" s="4" t="s">
        <v>1301</v>
      </c>
      <c r="X3" s="4" t="s">
        <v>1304</v>
      </c>
      <c r="Y3" s="4" t="s">
        <v>1314</v>
      </c>
      <c r="Z3" s="4" t="s">
        <v>3063</v>
      </c>
      <c r="AA3" s="4" t="s">
        <v>1315</v>
      </c>
      <c r="AB3" s="4" t="s">
        <v>1240</v>
      </c>
      <c r="AC3" s="4" t="s">
        <v>1231</v>
      </c>
      <c r="AD3" s="4" t="s">
        <v>1338</v>
      </c>
      <c r="AE3" s="4" t="s">
        <v>1164</v>
      </c>
      <c r="AF3" s="4" t="s">
        <v>1152</v>
      </c>
      <c r="AG3" s="4" t="str">
        <f>HLOOKUP(VLOOKUP(Race,Race_stats,2,FALSE),Ethnies_total,3,FALSE)</f>
        <v/>
      </c>
    </row>
    <row r="4" spans="1:33">
      <c r="A4" s="6" t="str">
        <f>""</f>
        <v/>
      </c>
      <c r="B4" s="6" t="s">
        <v>3062</v>
      </c>
      <c r="C4" s="6" t="s">
        <v>1187</v>
      </c>
      <c r="D4" s="6" t="s">
        <v>3061</v>
      </c>
      <c r="E4" s="6" t="s">
        <v>1280</v>
      </c>
      <c r="F4" s="6" t="s">
        <v>3073</v>
      </c>
      <c r="G4" s="6" t="s">
        <v>3065</v>
      </c>
      <c r="H4" s="6" t="str">
        <f>IF('Feuille 1'!P6="Femelle","Dame des flammes (Feu)","Seigneur des flammes (Feu)")</f>
        <v>Seigneur des flammes (Feu)</v>
      </c>
      <c r="I4" s="6" t="str">
        <f>""</f>
        <v/>
      </c>
      <c r="J4" s="6" t="str">
        <f>""</f>
        <v/>
      </c>
      <c r="K4" s="6" t="s">
        <v>1158</v>
      </c>
      <c r="L4" s="6" t="s">
        <v>1165</v>
      </c>
      <c r="M4" s="6" t="s">
        <v>1210</v>
      </c>
      <c r="N4" s="6" t="s">
        <v>1235</v>
      </c>
      <c r="O4" s="6" t="str">
        <f>""</f>
        <v/>
      </c>
      <c r="P4" s="6" t="str">
        <f>""</f>
        <v/>
      </c>
      <c r="Q4" s="6" t="s">
        <v>1240</v>
      </c>
      <c r="R4" s="6" t="s">
        <v>1245</v>
      </c>
      <c r="S4" s="6" t="s">
        <v>1250</v>
      </c>
      <c r="T4" s="6" t="s">
        <v>1255</v>
      </c>
      <c r="U4" s="6" t="str">
        <f>""</f>
        <v/>
      </c>
      <c r="V4" s="6" t="str">
        <f>""</f>
        <v/>
      </c>
      <c r="W4" s="6" t="s">
        <v>1302</v>
      </c>
      <c r="X4" s="6" t="s">
        <v>1305</v>
      </c>
      <c r="Y4" s="6" t="str">
        <f>""</f>
        <v/>
      </c>
      <c r="Z4" s="6" t="str">
        <f>""</f>
        <v/>
      </c>
      <c r="AA4" s="6" t="s">
        <v>3063</v>
      </c>
      <c r="AB4" s="6" t="s">
        <v>1318</v>
      </c>
      <c r="AC4" s="6" t="s">
        <v>630</v>
      </c>
      <c r="AD4" s="6" t="s">
        <v>1337</v>
      </c>
      <c r="AE4" s="6" t="str">
        <f>""</f>
        <v/>
      </c>
      <c r="AF4" s="6" t="str">
        <f>""</f>
        <v/>
      </c>
      <c r="AG4" s="6" t="str">
        <f>HLOOKUP(VLOOKUP(Race,Race_stats,2,FALSE),Ethnies_total,4,FALSE)</f>
        <v/>
      </c>
    </row>
    <row r="5" spans="1:33">
      <c r="A5" s="4" t="str">
        <f>""</f>
        <v/>
      </c>
      <c r="B5" s="4" t="s">
        <v>3063</v>
      </c>
      <c r="C5" s="4" t="s">
        <v>1188</v>
      </c>
      <c r="D5" s="4" t="s">
        <v>3057</v>
      </c>
      <c r="E5" s="4" t="s">
        <v>1281</v>
      </c>
      <c r="F5" s="4" t="s">
        <v>3086</v>
      </c>
      <c r="G5" s="4" t="s">
        <v>1295</v>
      </c>
      <c r="H5" s="4" t="str">
        <f>IF('Feuille 1'!P6="Femelle","Princesse de la pierre (Terre)","Prince de la pierre (Terre)")</f>
        <v>Prince de la pierre (Terre)</v>
      </c>
      <c r="I5" s="4" t="str">
        <f>""</f>
        <v/>
      </c>
      <c r="J5" s="4" t="str">
        <f>""</f>
        <v/>
      </c>
      <c r="K5" s="4" t="s">
        <v>1159</v>
      </c>
      <c r="L5" s="4" t="s">
        <v>1167</v>
      </c>
      <c r="M5" s="4" t="s">
        <v>1211</v>
      </c>
      <c r="N5" s="4" t="s">
        <v>1236</v>
      </c>
      <c r="O5" s="4" t="str">
        <f>""</f>
        <v/>
      </c>
      <c r="P5" s="4" t="str">
        <f>""</f>
        <v/>
      </c>
      <c r="Q5" s="4" t="str">
        <f>""</f>
        <v/>
      </c>
      <c r="R5" s="4" t="s">
        <v>1246</v>
      </c>
      <c r="S5" s="4" t="s">
        <v>1173</v>
      </c>
      <c r="T5" s="4" t="s">
        <v>1256</v>
      </c>
      <c r="U5" s="4" t="str">
        <f>""</f>
        <v/>
      </c>
      <c r="V5" s="4" t="str">
        <f>""</f>
        <v/>
      </c>
      <c r="W5" s="4" t="s">
        <v>1303</v>
      </c>
      <c r="X5" s="4" t="s">
        <v>1306</v>
      </c>
      <c r="Y5" s="4" t="str">
        <f>""</f>
        <v/>
      </c>
      <c r="Z5" s="4" t="str">
        <f>""</f>
        <v/>
      </c>
      <c r="AA5" s="4" t="str">
        <f>""</f>
        <v/>
      </c>
      <c r="AB5" s="4" t="str">
        <f>""</f>
        <v/>
      </c>
      <c r="AC5" s="4" t="s">
        <v>1319</v>
      </c>
      <c r="AD5" s="4" t="s">
        <v>1336</v>
      </c>
      <c r="AE5" s="6" t="str">
        <f>""</f>
        <v/>
      </c>
      <c r="AF5" s="4" t="str">
        <f>""</f>
        <v/>
      </c>
      <c r="AG5" s="4" t="str">
        <f>HLOOKUP(VLOOKUP(Race,Race_stats,2,FALSE),Ethnies_total,5,FALSE)</f>
        <v/>
      </c>
    </row>
    <row r="6" spans="1:33">
      <c r="A6" s="6" t="str">
        <f>""</f>
        <v/>
      </c>
      <c r="B6" s="6" t="s">
        <v>1232</v>
      </c>
      <c r="C6" s="6" t="s">
        <v>1189</v>
      </c>
      <c r="D6" s="6" t="s">
        <v>3056</v>
      </c>
      <c r="E6" s="6" t="s">
        <v>1187</v>
      </c>
      <c r="F6" s="6" t="s">
        <v>3074</v>
      </c>
      <c r="G6" s="6" t="s">
        <v>3068</v>
      </c>
      <c r="H6" s="6" t="str">
        <f>""</f>
        <v/>
      </c>
      <c r="I6" s="6" t="str">
        <f>""</f>
        <v/>
      </c>
      <c r="J6" s="6" t="str">
        <f>""</f>
        <v/>
      </c>
      <c r="K6" s="6" t="s">
        <v>1160</v>
      </c>
      <c r="L6" s="6" t="s">
        <v>1166</v>
      </c>
      <c r="M6" s="6" t="s">
        <v>1212</v>
      </c>
      <c r="N6" s="6" t="s">
        <v>1237</v>
      </c>
      <c r="O6" s="6" t="str">
        <f>""</f>
        <v/>
      </c>
      <c r="P6" s="6" t="str">
        <f>""</f>
        <v/>
      </c>
      <c r="Q6" s="6" t="str">
        <f>""</f>
        <v/>
      </c>
      <c r="R6" s="6" t="s">
        <v>1247</v>
      </c>
      <c r="S6" s="6" t="s">
        <v>293</v>
      </c>
      <c r="T6" s="6" t="s">
        <v>1257</v>
      </c>
      <c r="U6" s="6" t="str">
        <f>""</f>
        <v/>
      </c>
      <c r="V6" s="6" t="str">
        <f>""</f>
        <v/>
      </c>
      <c r="W6" s="6" t="str">
        <f>""</f>
        <v/>
      </c>
      <c r="X6" s="6" t="s">
        <v>1307</v>
      </c>
      <c r="Y6" s="6" t="str">
        <f>""</f>
        <v/>
      </c>
      <c r="Z6" s="6" t="str">
        <f>""</f>
        <v/>
      </c>
      <c r="AA6" s="6" t="str">
        <f>""</f>
        <v/>
      </c>
      <c r="AB6" s="6" t="str">
        <f>""</f>
        <v/>
      </c>
      <c r="AC6" s="6" t="s">
        <v>1320</v>
      </c>
      <c r="AD6" s="6" t="str">
        <f>""</f>
        <v/>
      </c>
      <c r="AE6" s="6" t="str">
        <f>""</f>
        <v/>
      </c>
      <c r="AF6" s="6" t="str">
        <f>""</f>
        <v/>
      </c>
      <c r="AG6" s="6" t="str">
        <f>HLOOKUP(VLOOKUP(Race,Race_stats,2,FALSE),Ethnies_total,6,FALSE)</f>
        <v/>
      </c>
    </row>
    <row r="7" spans="1:33">
      <c r="A7" s="4" t="str">
        <f>""</f>
        <v/>
      </c>
      <c r="B7" s="4" t="s">
        <v>3083</v>
      </c>
      <c r="C7" s="4" t="s">
        <v>1190</v>
      </c>
      <c r="D7" s="4" t="s">
        <v>3058</v>
      </c>
      <c r="E7" s="4" t="s">
        <v>1282</v>
      </c>
      <c r="F7" s="4" t="s">
        <v>3075</v>
      </c>
      <c r="G7" s="4" t="s">
        <v>3069</v>
      </c>
      <c r="H7" s="4" t="str">
        <f>""</f>
        <v/>
      </c>
      <c r="I7" s="4" t="str">
        <f>""</f>
        <v/>
      </c>
      <c r="J7" s="4" t="str">
        <f>""</f>
        <v/>
      </c>
      <c r="K7" s="4" t="str">
        <f>""</f>
        <v/>
      </c>
      <c r="L7" s="4" t="s">
        <v>1168</v>
      </c>
      <c r="M7" s="4" t="s">
        <v>1213</v>
      </c>
      <c r="N7" s="4" t="str">
        <f>""</f>
        <v/>
      </c>
      <c r="O7" s="4" t="str">
        <f>""</f>
        <v/>
      </c>
      <c r="P7" s="4" t="str">
        <f>""</f>
        <v/>
      </c>
      <c r="Q7" s="4" t="str">
        <f>""</f>
        <v/>
      </c>
      <c r="R7" s="4" t="s">
        <v>1248</v>
      </c>
      <c r="S7" s="4" t="s">
        <v>1251</v>
      </c>
      <c r="T7" s="4" t="s">
        <v>1258</v>
      </c>
      <c r="U7" s="4" t="str">
        <f>""</f>
        <v/>
      </c>
      <c r="V7" s="4" t="str">
        <f>""</f>
        <v/>
      </c>
      <c r="W7" s="4" t="str">
        <f>""</f>
        <v/>
      </c>
      <c r="X7" s="4" t="s">
        <v>1308</v>
      </c>
      <c r="Y7" s="4" t="str">
        <f>""</f>
        <v/>
      </c>
      <c r="Z7" s="4" t="str">
        <f>""</f>
        <v/>
      </c>
      <c r="AA7" s="4" t="str">
        <f>""</f>
        <v/>
      </c>
      <c r="AB7" s="4" t="str">
        <f>""</f>
        <v/>
      </c>
      <c r="AC7" s="4" t="s">
        <v>1321</v>
      </c>
      <c r="AD7" s="4" t="str">
        <f>""</f>
        <v/>
      </c>
      <c r="AE7" s="4" t="str">
        <f>""</f>
        <v/>
      </c>
      <c r="AF7" s="4" t="str">
        <f>""</f>
        <v/>
      </c>
      <c r="AG7" s="4" t="str">
        <f>HLOOKUP(VLOOKUP(Race,Race_stats,2,FALSE),Ethnies_total,7,FALSE)</f>
        <v/>
      </c>
    </row>
    <row r="8" spans="1:33">
      <c r="A8" s="6" t="str">
        <f>""</f>
        <v/>
      </c>
      <c r="B8" s="6" t="s">
        <v>3064</v>
      </c>
      <c r="C8" s="6" t="s">
        <v>1171</v>
      </c>
      <c r="D8" s="6" t="s">
        <v>3059</v>
      </c>
      <c r="E8" s="6" t="s">
        <v>1283</v>
      </c>
      <c r="F8" s="6" t="s">
        <v>1216</v>
      </c>
      <c r="G8" s="6" t="s">
        <v>3070</v>
      </c>
      <c r="H8" s="6" t="str">
        <f>""</f>
        <v/>
      </c>
      <c r="I8" s="6" t="str">
        <f>""</f>
        <v/>
      </c>
      <c r="J8" s="6" t="str">
        <f>""</f>
        <v/>
      </c>
      <c r="K8" s="6" t="str">
        <f>""</f>
        <v/>
      </c>
      <c r="L8" s="6" t="s">
        <v>1169</v>
      </c>
      <c r="M8" s="6" t="s">
        <v>1214</v>
      </c>
      <c r="N8" s="6" t="str">
        <f>""</f>
        <v/>
      </c>
      <c r="O8" s="6" t="str">
        <f>""</f>
        <v/>
      </c>
      <c r="P8" s="6" t="str">
        <f>""</f>
        <v/>
      </c>
      <c r="Q8" s="6" t="str">
        <f>""</f>
        <v/>
      </c>
      <c r="R8" s="6" t="str">
        <f>""</f>
        <v/>
      </c>
      <c r="S8" s="6" t="s">
        <v>1252</v>
      </c>
      <c r="T8" s="6" t="s">
        <v>1259</v>
      </c>
      <c r="U8" s="6" t="str">
        <f>""</f>
        <v/>
      </c>
      <c r="V8" s="6" t="str">
        <f>""</f>
        <v/>
      </c>
      <c r="W8" s="6" t="str">
        <f>""</f>
        <v/>
      </c>
      <c r="X8" s="6" t="s">
        <v>1309</v>
      </c>
      <c r="Y8" s="6" t="str">
        <f>""</f>
        <v/>
      </c>
      <c r="Z8" s="6" t="str">
        <f>""</f>
        <v/>
      </c>
      <c r="AA8" s="6" t="str">
        <f>""</f>
        <v/>
      </c>
      <c r="AB8" s="6" t="str">
        <f>""</f>
        <v/>
      </c>
      <c r="AC8" s="6" t="s">
        <v>1322</v>
      </c>
      <c r="AD8" s="6" t="str">
        <f>""</f>
        <v/>
      </c>
      <c r="AE8" s="6" t="str">
        <f>""</f>
        <v/>
      </c>
      <c r="AF8" s="6" t="str">
        <f>""</f>
        <v/>
      </c>
      <c r="AG8" s="6" t="str">
        <f>HLOOKUP(VLOOKUP(Race,Race_stats,2,FALSE),Ethnies_total,8,FALSE)</f>
        <v/>
      </c>
    </row>
    <row r="9" spans="1:33">
      <c r="A9" s="4" t="str">
        <f>""</f>
        <v/>
      </c>
      <c r="B9" s="4" t="str">
        <f>""</f>
        <v/>
      </c>
      <c r="C9" s="4" t="s">
        <v>1191</v>
      </c>
      <c r="D9" s="4" t="s">
        <v>3060</v>
      </c>
      <c r="E9" s="4" t="s">
        <v>1284</v>
      </c>
      <c r="F9" s="4" t="s">
        <v>1152</v>
      </c>
      <c r="G9" s="4" t="s">
        <v>3071</v>
      </c>
      <c r="H9" s="4" t="str">
        <f>""</f>
        <v/>
      </c>
      <c r="I9" s="4" t="str">
        <f>""</f>
        <v/>
      </c>
      <c r="J9" s="4" t="str">
        <f>""</f>
        <v/>
      </c>
      <c r="K9" s="4" t="str">
        <f>""</f>
        <v/>
      </c>
      <c r="L9" s="4" t="s">
        <v>1170</v>
      </c>
      <c r="M9" s="4" t="str">
        <f>""</f>
        <v/>
      </c>
      <c r="N9" s="4" t="str">
        <f>""</f>
        <v/>
      </c>
      <c r="O9" s="4" t="str">
        <f>""</f>
        <v/>
      </c>
      <c r="P9" s="4" t="str">
        <f>""</f>
        <v/>
      </c>
      <c r="Q9" s="4" t="str">
        <f>""</f>
        <v/>
      </c>
      <c r="R9" s="4" t="str">
        <f>""</f>
        <v/>
      </c>
      <c r="S9" s="4" t="s">
        <v>1180</v>
      </c>
      <c r="T9" s="4" t="s">
        <v>1260</v>
      </c>
      <c r="U9" s="4" t="str">
        <f>""</f>
        <v/>
      </c>
      <c r="V9" s="4" t="str">
        <f>""</f>
        <v/>
      </c>
      <c r="W9" s="4" t="str">
        <f>""</f>
        <v/>
      </c>
      <c r="X9" s="4" t="s">
        <v>1310</v>
      </c>
      <c r="Y9" s="4" t="str">
        <f>""</f>
        <v/>
      </c>
      <c r="Z9" s="4" t="str">
        <f>""</f>
        <v/>
      </c>
      <c r="AA9" s="4" t="str">
        <f>""</f>
        <v/>
      </c>
      <c r="AB9" s="4" t="str">
        <f>""</f>
        <v/>
      </c>
      <c r="AC9" s="4" t="s">
        <v>1240</v>
      </c>
      <c r="AD9" s="4" t="str">
        <f>""</f>
        <v/>
      </c>
      <c r="AE9" s="4" t="str">
        <f>""</f>
        <v/>
      </c>
      <c r="AF9" s="4" t="str">
        <f>""</f>
        <v/>
      </c>
      <c r="AG9" s="4" t="str">
        <f>HLOOKUP(VLOOKUP(Race,Race_stats,2,FALSE),Ethnies_total,9,FALSE)</f>
        <v/>
      </c>
    </row>
    <row r="10" spans="1:33">
      <c r="A10" s="6" t="str">
        <f>""</f>
        <v/>
      </c>
      <c r="B10" s="6" t="str">
        <f>""</f>
        <v/>
      </c>
      <c r="C10" s="6" t="s">
        <v>63</v>
      </c>
      <c r="D10" s="6" t="str">
        <f>""</f>
        <v/>
      </c>
      <c r="E10" s="6" t="s">
        <v>1285</v>
      </c>
      <c r="F10" s="6" t="s">
        <v>1217</v>
      </c>
      <c r="G10" s="6"/>
      <c r="H10" s="6" t="str">
        <f>""</f>
        <v/>
      </c>
      <c r="I10" s="6" t="str">
        <f>""</f>
        <v/>
      </c>
      <c r="J10" s="6" t="str">
        <f>""</f>
        <v/>
      </c>
      <c r="K10" s="6" t="str">
        <f>""</f>
        <v/>
      </c>
      <c r="L10" s="6" t="s">
        <v>1171</v>
      </c>
      <c r="M10" s="6" t="str">
        <f>""</f>
        <v/>
      </c>
      <c r="N10" s="6" t="str">
        <f>""</f>
        <v/>
      </c>
      <c r="O10" s="6" t="str">
        <f>""</f>
        <v/>
      </c>
      <c r="P10" s="6" t="str">
        <f>""</f>
        <v/>
      </c>
      <c r="Q10" s="6" t="str">
        <f>""</f>
        <v/>
      </c>
      <c r="R10" s="6" t="str">
        <f>""</f>
        <v/>
      </c>
      <c r="S10" s="6" t="s">
        <v>1181</v>
      </c>
      <c r="T10" s="6" t="s">
        <v>1261</v>
      </c>
      <c r="U10" s="6" t="str">
        <f>""</f>
        <v/>
      </c>
      <c r="V10" s="6" t="str">
        <f>""</f>
        <v/>
      </c>
      <c r="W10" s="6" t="str">
        <f>""</f>
        <v/>
      </c>
      <c r="X10" s="6" t="s">
        <v>1311</v>
      </c>
      <c r="Y10" s="6" t="str">
        <f>""</f>
        <v/>
      </c>
      <c r="Z10" s="6" t="str">
        <f>""</f>
        <v/>
      </c>
      <c r="AA10" s="6" t="str">
        <f>""</f>
        <v/>
      </c>
      <c r="AB10" s="6" t="str">
        <f>""</f>
        <v/>
      </c>
      <c r="AC10" s="6" t="str">
        <f>""</f>
        <v/>
      </c>
      <c r="AD10" s="6" t="str">
        <f>""</f>
        <v/>
      </c>
      <c r="AE10" s="6" t="str">
        <f>""</f>
        <v/>
      </c>
      <c r="AF10" s="6" t="str">
        <f>""</f>
        <v/>
      </c>
      <c r="AG10" s="6" t="str">
        <f>HLOOKUP(VLOOKUP(Race,Race_stats,2,FALSE),Ethnies_total,10,FALSE)</f>
        <v/>
      </c>
    </row>
    <row r="11" spans="1:33">
      <c r="A11" s="4" t="str">
        <f>""</f>
        <v/>
      </c>
      <c r="B11" s="4" t="str">
        <f>""</f>
        <v/>
      </c>
      <c r="C11" s="4" t="s">
        <v>1192</v>
      </c>
      <c r="D11" s="4" t="str">
        <f>""</f>
        <v/>
      </c>
      <c r="E11" s="4" t="s">
        <v>1286</v>
      </c>
      <c r="F11" s="4" t="s">
        <v>3079</v>
      </c>
      <c r="G11" s="4" t="str">
        <f>""</f>
        <v/>
      </c>
      <c r="H11" s="4" t="str">
        <f>""</f>
        <v/>
      </c>
      <c r="I11" s="4" t="str">
        <f>""</f>
        <v/>
      </c>
      <c r="J11" s="4" t="str">
        <f>""</f>
        <v/>
      </c>
      <c r="K11" s="4" t="str">
        <f>""</f>
        <v/>
      </c>
      <c r="L11" s="4" t="s">
        <v>1172</v>
      </c>
      <c r="M11" s="4" t="str">
        <f>""</f>
        <v/>
      </c>
      <c r="N11" s="4" t="str">
        <f>""</f>
        <v/>
      </c>
      <c r="O11" s="4" t="str">
        <f>""</f>
        <v/>
      </c>
      <c r="P11" s="4" t="str">
        <f>""</f>
        <v/>
      </c>
      <c r="Q11" s="4" t="str">
        <f>""</f>
        <v/>
      </c>
      <c r="R11" s="4" t="str">
        <f>""</f>
        <v/>
      </c>
      <c r="S11" s="4" t="str">
        <f>""</f>
        <v/>
      </c>
      <c r="T11" s="4" t="s">
        <v>1262</v>
      </c>
      <c r="U11" s="4" t="str">
        <f>""</f>
        <v/>
      </c>
      <c r="V11" s="4" t="str">
        <f>""</f>
        <v/>
      </c>
      <c r="W11" s="4" t="str">
        <f>""</f>
        <v/>
      </c>
      <c r="X11" s="4" t="s">
        <v>1312</v>
      </c>
      <c r="Y11" s="4" t="str">
        <f>""</f>
        <v/>
      </c>
      <c r="Z11" s="4" t="str">
        <f>""</f>
        <v/>
      </c>
      <c r="AA11" s="4" t="str">
        <f>""</f>
        <v/>
      </c>
      <c r="AB11" s="4" t="str">
        <f>""</f>
        <v/>
      </c>
      <c r="AC11" s="4" t="str">
        <f>""</f>
        <v/>
      </c>
      <c r="AD11" s="4" t="str">
        <f>""</f>
        <v/>
      </c>
      <c r="AE11" s="4" t="str">
        <f>""</f>
        <v/>
      </c>
      <c r="AF11" s="4" t="str">
        <f>""</f>
        <v/>
      </c>
      <c r="AG11" s="4" t="str">
        <f>HLOOKUP(VLOOKUP(Race,Race_stats,2,FALSE),Ethnies_total,11,FALSE)</f>
        <v/>
      </c>
    </row>
    <row r="12" spans="1:33">
      <c r="A12" s="6" t="str">
        <f>""</f>
        <v/>
      </c>
      <c r="B12" s="6" t="str">
        <f>""</f>
        <v/>
      </c>
      <c r="C12" s="6" t="s">
        <v>1193</v>
      </c>
      <c r="D12" s="6" t="str">
        <f>""</f>
        <v/>
      </c>
      <c r="E12" s="6" t="s">
        <v>1287</v>
      </c>
      <c r="F12" s="6" t="s">
        <v>3062</v>
      </c>
      <c r="G12" s="6" t="str">
        <f>""</f>
        <v/>
      </c>
      <c r="H12" s="6" t="str">
        <f>""</f>
        <v/>
      </c>
      <c r="I12" s="6" t="str">
        <f>""</f>
        <v/>
      </c>
      <c r="J12" s="6" t="str">
        <f>""</f>
        <v/>
      </c>
      <c r="K12" s="6" t="str">
        <f>""</f>
        <v/>
      </c>
      <c r="L12" s="6" t="s">
        <v>1173</v>
      </c>
      <c r="M12" s="6" t="str">
        <f>""</f>
        <v/>
      </c>
      <c r="N12" s="6" t="str">
        <f>""</f>
        <v/>
      </c>
      <c r="O12" s="6" t="str">
        <f>""</f>
        <v/>
      </c>
      <c r="P12" s="6" t="str">
        <f>""</f>
        <v/>
      </c>
      <c r="Q12" s="6" t="str">
        <f>""</f>
        <v/>
      </c>
      <c r="R12" s="6" t="str">
        <f>""</f>
        <v/>
      </c>
      <c r="S12" s="6" t="str">
        <f>""</f>
        <v/>
      </c>
      <c r="T12" s="6" t="s">
        <v>1263</v>
      </c>
      <c r="U12" s="6" t="str">
        <f>""</f>
        <v/>
      </c>
      <c r="V12" s="6" t="str">
        <f>""</f>
        <v/>
      </c>
      <c r="W12" s="6" t="str">
        <f>""</f>
        <v/>
      </c>
      <c r="X12" s="6" t="s">
        <v>1313</v>
      </c>
      <c r="Y12" s="6" t="str">
        <f>""</f>
        <v/>
      </c>
      <c r="Z12" s="6" t="str">
        <f>""</f>
        <v/>
      </c>
      <c r="AA12" s="6" t="str">
        <f>""</f>
        <v/>
      </c>
      <c r="AB12" s="6" t="str">
        <f>""</f>
        <v/>
      </c>
      <c r="AC12" s="6" t="str">
        <f>""</f>
        <v/>
      </c>
      <c r="AD12" s="6" t="str">
        <f>""</f>
        <v/>
      </c>
      <c r="AE12" s="6" t="str">
        <f>""</f>
        <v/>
      </c>
      <c r="AF12" s="6" t="str">
        <f>""</f>
        <v/>
      </c>
      <c r="AG12" s="6" t="str">
        <f>HLOOKUP(VLOOKUP(Race,Race_stats,2,FALSE),Ethnies_total,12,FALSE)</f>
        <v/>
      </c>
    </row>
    <row r="13" spans="1:33">
      <c r="A13" s="4" t="str">
        <f>""</f>
        <v/>
      </c>
      <c r="B13" s="4" t="str">
        <f>""</f>
        <v/>
      </c>
      <c r="C13" s="4" t="s">
        <v>1194</v>
      </c>
      <c r="D13" s="4" t="str">
        <f>""</f>
        <v/>
      </c>
      <c r="E13" s="4" t="s">
        <v>1288</v>
      </c>
      <c r="F13" s="4" t="s">
        <v>1218</v>
      </c>
      <c r="G13" s="4" t="str">
        <f>""</f>
        <v/>
      </c>
      <c r="H13" s="4" t="str">
        <f>""</f>
        <v/>
      </c>
      <c r="I13" s="4" t="str">
        <f>""</f>
        <v/>
      </c>
      <c r="J13" s="4" t="str">
        <f>""</f>
        <v/>
      </c>
      <c r="K13" s="4" t="str">
        <f>""</f>
        <v/>
      </c>
      <c r="L13" s="4" t="s">
        <v>1174</v>
      </c>
      <c r="M13" s="4" t="str">
        <f>""</f>
        <v/>
      </c>
      <c r="N13" s="4" t="str">
        <f>""</f>
        <v/>
      </c>
      <c r="O13" s="4" t="str">
        <f>""</f>
        <v/>
      </c>
      <c r="P13" s="4" t="str">
        <f>""</f>
        <v/>
      </c>
      <c r="Q13" s="4" t="str">
        <f>""</f>
        <v/>
      </c>
      <c r="R13" s="4" t="str">
        <f>""</f>
        <v/>
      </c>
      <c r="S13" s="4" t="str">
        <f>""</f>
        <v/>
      </c>
      <c r="T13" s="4" t="s">
        <v>1264</v>
      </c>
      <c r="U13" s="4" t="str">
        <f>""</f>
        <v/>
      </c>
      <c r="V13" s="4" t="str">
        <f>""</f>
        <v/>
      </c>
      <c r="W13" s="4" t="str">
        <f>""</f>
        <v/>
      </c>
      <c r="X13" s="4" t="str">
        <f>""</f>
        <v/>
      </c>
      <c r="Y13" s="4" t="str">
        <f>""</f>
        <v/>
      </c>
      <c r="Z13" s="4" t="str">
        <f>""</f>
        <v/>
      </c>
      <c r="AA13" s="4" t="str">
        <f>""</f>
        <v/>
      </c>
      <c r="AB13" s="4" t="str">
        <f>""</f>
        <v/>
      </c>
      <c r="AC13" s="4" t="str">
        <f>""</f>
        <v/>
      </c>
      <c r="AD13" s="4" t="str">
        <f>""</f>
        <v/>
      </c>
      <c r="AE13" s="4" t="str">
        <f>""</f>
        <v/>
      </c>
      <c r="AF13" s="4" t="str">
        <f>""</f>
        <v/>
      </c>
      <c r="AG13" s="4" t="str">
        <f>HLOOKUP(VLOOKUP(Race,Race_stats,2,FALSE),Ethnies_total,13,FALSE)</f>
        <v/>
      </c>
    </row>
    <row r="14" spans="1:33">
      <c r="A14" s="6" t="str">
        <f>""</f>
        <v/>
      </c>
      <c r="B14" s="6" t="str">
        <f>""</f>
        <v/>
      </c>
      <c r="C14" s="6" t="s">
        <v>1195</v>
      </c>
      <c r="D14" s="6" t="str">
        <f>""</f>
        <v/>
      </c>
      <c r="E14" s="6" t="s">
        <v>1289</v>
      </c>
      <c r="F14" s="6" t="s">
        <v>1219</v>
      </c>
      <c r="G14" s="6" t="str">
        <f>""</f>
        <v/>
      </c>
      <c r="H14" s="6" t="str">
        <f>""</f>
        <v/>
      </c>
      <c r="I14" s="6" t="str">
        <f>""</f>
        <v/>
      </c>
      <c r="J14" s="6" t="str">
        <f>""</f>
        <v/>
      </c>
      <c r="K14" s="6" t="str">
        <f>""</f>
        <v/>
      </c>
      <c r="L14" s="6" t="s">
        <v>1175</v>
      </c>
      <c r="M14" s="6" t="str">
        <f>""</f>
        <v/>
      </c>
      <c r="N14" s="6" t="str">
        <f>""</f>
        <v/>
      </c>
      <c r="O14" s="6" t="str">
        <f>""</f>
        <v/>
      </c>
      <c r="P14" s="6" t="str">
        <f>""</f>
        <v/>
      </c>
      <c r="Q14" s="6" t="str">
        <f>""</f>
        <v/>
      </c>
      <c r="R14" s="6" t="str">
        <f>""</f>
        <v/>
      </c>
      <c r="S14" s="6" t="str">
        <f>""</f>
        <v/>
      </c>
      <c r="T14" s="6" t="s">
        <v>1265</v>
      </c>
      <c r="U14" s="6" t="str">
        <f>""</f>
        <v/>
      </c>
      <c r="V14" s="6" t="str">
        <f>""</f>
        <v/>
      </c>
      <c r="W14" s="6" t="str">
        <f>""</f>
        <v/>
      </c>
      <c r="X14" s="6" t="str">
        <f>""</f>
        <v/>
      </c>
      <c r="Y14" s="6" t="str">
        <f>""</f>
        <v/>
      </c>
      <c r="Z14" s="6" t="str">
        <f>""</f>
        <v/>
      </c>
      <c r="AA14" s="6" t="str">
        <f>""</f>
        <v/>
      </c>
      <c r="AB14" s="6" t="str">
        <f>""</f>
        <v/>
      </c>
      <c r="AC14" s="6" t="str">
        <f>""</f>
        <v/>
      </c>
      <c r="AD14" s="6" t="str">
        <f>""</f>
        <v/>
      </c>
      <c r="AE14" s="6" t="str">
        <f>""</f>
        <v/>
      </c>
      <c r="AF14" s="6" t="str">
        <f>""</f>
        <v/>
      </c>
      <c r="AG14" s="6" t="str">
        <f>HLOOKUP(VLOOKUP(Race,Race_stats,2,FALSE),Ethnies_total,14,FALSE)</f>
        <v/>
      </c>
    </row>
    <row r="15" spans="1:33">
      <c r="A15" s="4" t="str">
        <f>""</f>
        <v/>
      </c>
      <c r="B15" s="4" t="str">
        <f>""</f>
        <v/>
      </c>
      <c r="C15" s="4" t="s">
        <v>1196</v>
      </c>
      <c r="D15" s="4" t="str">
        <f>""</f>
        <v/>
      </c>
      <c r="E15" s="4" t="s">
        <v>1290</v>
      </c>
      <c r="F15" s="4" t="s">
        <v>1220</v>
      </c>
      <c r="G15" s="4" t="str">
        <f>""</f>
        <v/>
      </c>
      <c r="H15" s="4" t="str">
        <f>""</f>
        <v/>
      </c>
      <c r="I15" s="4" t="str">
        <f>""</f>
        <v/>
      </c>
      <c r="J15" s="4" t="str">
        <f>""</f>
        <v/>
      </c>
      <c r="K15" s="4" t="str">
        <f>""</f>
        <v/>
      </c>
      <c r="L15" s="4" t="s">
        <v>1176</v>
      </c>
      <c r="M15" s="4" t="str">
        <f>""</f>
        <v/>
      </c>
      <c r="N15" s="4" t="str">
        <f>""</f>
        <v/>
      </c>
      <c r="O15" s="4" t="str">
        <f>""</f>
        <v/>
      </c>
      <c r="P15" s="4" t="str">
        <f>""</f>
        <v/>
      </c>
      <c r="Q15" s="4" t="str">
        <f>""</f>
        <v/>
      </c>
      <c r="R15" s="4" t="str">
        <f>""</f>
        <v/>
      </c>
      <c r="S15" s="4" t="str">
        <f>""</f>
        <v/>
      </c>
      <c r="T15" s="4" t="s">
        <v>1266</v>
      </c>
      <c r="U15" s="4" t="str">
        <f>""</f>
        <v/>
      </c>
      <c r="V15" s="4" t="str">
        <f>""</f>
        <v/>
      </c>
      <c r="W15" s="4" t="str">
        <f>""</f>
        <v/>
      </c>
      <c r="X15" s="4" t="str">
        <f>""</f>
        <v/>
      </c>
      <c r="Y15" s="4" t="str">
        <f>""</f>
        <v/>
      </c>
      <c r="Z15" s="4" t="str">
        <f>""</f>
        <v/>
      </c>
      <c r="AA15" s="4" t="str">
        <f>""</f>
        <v/>
      </c>
      <c r="AB15" s="4" t="str">
        <f>""</f>
        <v/>
      </c>
      <c r="AC15" s="4" t="str">
        <f>""</f>
        <v/>
      </c>
      <c r="AD15" s="4" t="str">
        <f>""</f>
        <v/>
      </c>
      <c r="AE15" s="4" t="str">
        <f>""</f>
        <v/>
      </c>
      <c r="AF15" s="4" t="str">
        <f>""</f>
        <v/>
      </c>
      <c r="AG15" s="4" t="str">
        <f>HLOOKUP(VLOOKUP(Race,Race_stats,2,FALSE),Ethnies_total,15,FALSE)</f>
        <v/>
      </c>
    </row>
    <row r="16" spans="1:33">
      <c r="A16" s="6" t="str">
        <f>""</f>
        <v/>
      </c>
      <c r="B16" s="6" t="str">
        <f>""</f>
        <v/>
      </c>
      <c r="C16" s="6" t="s">
        <v>1197</v>
      </c>
      <c r="D16" s="6" t="str">
        <f>""</f>
        <v/>
      </c>
      <c r="E16" s="6" t="s">
        <v>1291</v>
      </c>
      <c r="F16" s="6" t="s">
        <v>1221</v>
      </c>
      <c r="G16" s="6" t="str">
        <f>""</f>
        <v/>
      </c>
      <c r="H16" s="6" t="str">
        <f>""</f>
        <v/>
      </c>
      <c r="I16" s="6" t="str">
        <f>""</f>
        <v/>
      </c>
      <c r="J16" s="6" t="str">
        <f>""</f>
        <v/>
      </c>
      <c r="K16" s="6" t="str">
        <f>""</f>
        <v/>
      </c>
      <c r="L16" s="6" t="s">
        <v>1177</v>
      </c>
      <c r="M16" s="6" t="str">
        <f>""</f>
        <v/>
      </c>
      <c r="N16" s="6" t="str">
        <f>""</f>
        <v/>
      </c>
      <c r="O16" s="6" t="str">
        <f>""</f>
        <v/>
      </c>
      <c r="P16" s="6" t="str">
        <f>""</f>
        <v/>
      </c>
      <c r="Q16" s="6" t="str">
        <f>""</f>
        <v/>
      </c>
      <c r="R16" s="6" t="str">
        <f>""</f>
        <v/>
      </c>
      <c r="S16" s="6" t="str">
        <f>""</f>
        <v/>
      </c>
      <c r="T16" s="6" t="s">
        <v>1267</v>
      </c>
      <c r="U16" s="6" t="str">
        <f>""</f>
        <v/>
      </c>
      <c r="V16" s="6" t="str">
        <f>""</f>
        <v/>
      </c>
      <c r="W16" s="6" t="str">
        <f>""</f>
        <v/>
      </c>
      <c r="X16" s="6" t="str">
        <f>""</f>
        <v/>
      </c>
      <c r="Y16" s="6" t="str">
        <f>""</f>
        <v/>
      </c>
      <c r="Z16" s="6" t="str">
        <f>""</f>
        <v/>
      </c>
      <c r="AA16" s="6" t="str">
        <f>""</f>
        <v/>
      </c>
      <c r="AB16" s="6" t="str">
        <f>""</f>
        <v/>
      </c>
      <c r="AC16" s="6" t="str">
        <f>""</f>
        <v/>
      </c>
      <c r="AD16" s="6" t="str">
        <f>""</f>
        <v/>
      </c>
      <c r="AE16" s="6" t="str">
        <f>""</f>
        <v/>
      </c>
      <c r="AF16" s="6" t="str">
        <f>""</f>
        <v/>
      </c>
      <c r="AG16" s="6" t="str">
        <f>HLOOKUP(VLOOKUP(Race,Race_stats,2,FALSE),Ethnies_total,16,FALSE)</f>
        <v/>
      </c>
    </row>
    <row r="17" spans="1:33">
      <c r="A17" s="4" t="str">
        <f>""</f>
        <v/>
      </c>
      <c r="B17" s="4" t="str">
        <f>""</f>
        <v/>
      </c>
      <c r="C17" s="4" t="s">
        <v>1198</v>
      </c>
      <c r="D17" s="4" t="str">
        <f>""</f>
        <v/>
      </c>
      <c r="E17" s="4" t="s">
        <v>1292</v>
      </c>
      <c r="F17" s="4" t="s">
        <v>1222</v>
      </c>
      <c r="G17" s="4" t="str">
        <f>""</f>
        <v/>
      </c>
      <c r="H17" s="4" t="str">
        <f>""</f>
        <v/>
      </c>
      <c r="I17" s="4" t="str">
        <f>""</f>
        <v/>
      </c>
      <c r="J17" s="4" t="str">
        <f>""</f>
        <v/>
      </c>
      <c r="K17" s="4" t="str">
        <f>""</f>
        <v/>
      </c>
      <c r="L17" s="4" t="s">
        <v>1178</v>
      </c>
      <c r="M17" s="4" t="str">
        <f>""</f>
        <v/>
      </c>
      <c r="N17" s="4" t="str">
        <f>""</f>
        <v/>
      </c>
      <c r="O17" s="4" t="str">
        <f>""</f>
        <v/>
      </c>
      <c r="P17" s="4" t="str">
        <f>""</f>
        <v/>
      </c>
      <c r="Q17" s="4" t="str">
        <f>""</f>
        <v/>
      </c>
      <c r="R17" s="4" t="str">
        <f>""</f>
        <v/>
      </c>
      <c r="S17" s="4" t="str">
        <f>""</f>
        <v/>
      </c>
      <c r="T17" s="4" t="s">
        <v>1268</v>
      </c>
      <c r="U17" s="4" t="str">
        <f>""</f>
        <v/>
      </c>
      <c r="V17" s="4" t="str">
        <f>""</f>
        <v/>
      </c>
      <c r="W17" s="4" t="str">
        <f>""</f>
        <v/>
      </c>
      <c r="X17" s="4" t="str">
        <f>""</f>
        <v/>
      </c>
      <c r="Y17" s="4" t="str">
        <f>""</f>
        <v/>
      </c>
      <c r="Z17" s="4" t="str">
        <f>""</f>
        <v/>
      </c>
      <c r="AA17" s="4" t="str">
        <f>""</f>
        <v/>
      </c>
      <c r="AB17" s="4" t="str">
        <f>""</f>
        <v/>
      </c>
      <c r="AC17" s="4" t="str">
        <f>""</f>
        <v/>
      </c>
      <c r="AD17" s="4" t="str">
        <f>""</f>
        <v/>
      </c>
      <c r="AE17" s="4" t="str">
        <f>""</f>
        <v/>
      </c>
      <c r="AF17" s="4" t="str">
        <f>""</f>
        <v/>
      </c>
      <c r="AG17" s="4" t="str">
        <f>HLOOKUP(VLOOKUP(Race,Race_stats,2,FALSE),Ethnies_total,17,FALSE)</f>
        <v/>
      </c>
    </row>
    <row r="18" spans="1:33">
      <c r="A18" s="6" t="str">
        <f>""</f>
        <v/>
      </c>
      <c r="B18" s="6" t="str">
        <f>""</f>
        <v/>
      </c>
      <c r="C18" s="6" t="s">
        <v>1199</v>
      </c>
      <c r="D18" s="6" t="str">
        <f>""</f>
        <v/>
      </c>
      <c r="E18" s="6" t="s">
        <v>1293</v>
      </c>
      <c r="F18" s="6" t="s">
        <v>3076</v>
      </c>
      <c r="G18" s="6" t="str">
        <f>""</f>
        <v/>
      </c>
      <c r="H18" s="6" t="str">
        <f>""</f>
        <v/>
      </c>
      <c r="I18" s="6" t="str">
        <f>""</f>
        <v/>
      </c>
      <c r="J18" s="6" t="str">
        <f>""</f>
        <v/>
      </c>
      <c r="K18" s="6" t="str">
        <f>""</f>
        <v/>
      </c>
      <c r="L18" s="6" t="s">
        <v>1179</v>
      </c>
      <c r="M18" s="6" t="str">
        <f>""</f>
        <v/>
      </c>
      <c r="N18" s="6" t="str">
        <f>""</f>
        <v/>
      </c>
      <c r="O18" s="6" t="str">
        <f>""</f>
        <v/>
      </c>
      <c r="P18" s="6" t="str">
        <f>""</f>
        <v/>
      </c>
      <c r="Q18" s="6" t="str">
        <f>""</f>
        <v/>
      </c>
      <c r="R18" s="6" t="str">
        <f>""</f>
        <v/>
      </c>
      <c r="S18" s="6" t="str">
        <f>""</f>
        <v/>
      </c>
      <c r="T18" s="6" t="s">
        <v>1269</v>
      </c>
      <c r="U18" s="6" t="str">
        <f>""</f>
        <v/>
      </c>
      <c r="V18" s="6" t="str">
        <f>""</f>
        <v/>
      </c>
      <c r="W18" s="6" t="str">
        <f>""</f>
        <v/>
      </c>
      <c r="X18" s="6" t="str">
        <f>""</f>
        <v/>
      </c>
      <c r="Y18" s="6" t="str">
        <f>""</f>
        <v/>
      </c>
      <c r="Z18" s="6" t="str">
        <f>""</f>
        <v/>
      </c>
      <c r="AA18" s="6" t="str">
        <f>""</f>
        <v/>
      </c>
      <c r="AB18" s="6" t="str">
        <f>""</f>
        <v/>
      </c>
      <c r="AC18" s="6" t="str">
        <f>""</f>
        <v/>
      </c>
      <c r="AD18" s="6" t="str">
        <f>""</f>
        <v/>
      </c>
      <c r="AE18" s="6" t="str">
        <f>""</f>
        <v/>
      </c>
      <c r="AF18" s="6" t="str">
        <f>""</f>
        <v/>
      </c>
      <c r="AG18" s="6" t="str">
        <f>HLOOKUP(VLOOKUP(Race,Race_stats,2,FALSE),Ethnies_total,18,FALSE)</f>
        <v/>
      </c>
    </row>
    <row r="19" spans="1:33">
      <c r="A19" s="4" t="str">
        <f>""</f>
        <v/>
      </c>
      <c r="B19" s="4" t="str">
        <f>""</f>
        <v/>
      </c>
      <c r="C19" s="4" t="s">
        <v>1200</v>
      </c>
      <c r="D19" s="4" t="str">
        <f>""</f>
        <v/>
      </c>
      <c r="E19" s="4" t="s">
        <v>1294</v>
      </c>
      <c r="F19" s="4" t="s">
        <v>3077</v>
      </c>
      <c r="G19" s="4" t="str">
        <f>""</f>
        <v/>
      </c>
      <c r="H19" s="4" t="str">
        <f>""</f>
        <v/>
      </c>
      <c r="I19" s="4" t="str">
        <f>""</f>
        <v/>
      </c>
      <c r="J19" s="4" t="str">
        <f>""</f>
        <v/>
      </c>
      <c r="K19" s="4" t="str">
        <f>""</f>
        <v/>
      </c>
      <c r="L19" s="4" t="s">
        <v>1180</v>
      </c>
      <c r="M19" s="4" t="str">
        <f>""</f>
        <v/>
      </c>
      <c r="N19" s="4" t="str">
        <f>""</f>
        <v/>
      </c>
      <c r="O19" s="4" t="str">
        <f>""</f>
        <v/>
      </c>
      <c r="P19" s="4" t="str">
        <f>""</f>
        <v/>
      </c>
      <c r="Q19" s="4" t="str">
        <f>""</f>
        <v/>
      </c>
      <c r="R19" s="4" t="str">
        <f>""</f>
        <v/>
      </c>
      <c r="S19" s="4" t="str">
        <f>""</f>
        <v/>
      </c>
      <c r="T19" s="4" t="s">
        <v>1270</v>
      </c>
      <c r="U19" s="4" t="str">
        <f>""</f>
        <v/>
      </c>
      <c r="V19" s="4" t="str">
        <f>""</f>
        <v/>
      </c>
      <c r="W19" s="4" t="str">
        <f>""</f>
        <v/>
      </c>
      <c r="X19" s="4" t="str">
        <f>""</f>
        <v/>
      </c>
      <c r="Y19" s="4" t="str">
        <f>""</f>
        <v/>
      </c>
      <c r="Z19" s="4" t="str">
        <f>""</f>
        <v/>
      </c>
      <c r="AA19" s="4" t="str">
        <f>""</f>
        <v/>
      </c>
      <c r="AB19" s="4" t="str">
        <f>""</f>
        <v/>
      </c>
      <c r="AC19" s="4" t="str">
        <f>""</f>
        <v/>
      </c>
      <c r="AD19" s="4" t="str">
        <f>""</f>
        <v/>
      </c>
      <c r="AE19" s="4" t="str">
        <f>""</f>
        <v/>
      </c>
      <c r="AF19" s="4" t="str">
        <f>""</f>
        <v/>
      </c>
      <c r="AG19" s="4" t="str">
        <f>HLOOKUP(VLOOKUP(Race,Race_stats,2,FALSE),Ethnies_total,19,FALSE)</f>
        <v/>
      </c>
    </row>
    <row r="20" spans="1:33">
      <c r="A20" s="6" t="str">
        <f>""</f>
        <v/>
      </c>
      <c r="B20" s="6" t="str">
        <f>""</f>
        <v/>
      </c>
      <c r="C20" s="6" t="s">
        <v>1201</v>
      </c>
      <c r="D20" s="6" t="str">
        <f>""</f>
        <v/>
      </c>
      <c r="E20" s="6" t="s">
        <v>1295</v>
      </c>
      <c r="F20" s="6" t="s">
        <v>1223</v>
      </c>
      <c r="G20" s="6" t="str">
        <f>""</f>
        <v/>
      </c>
      <c r="H20" s="6" t="str">
        <f>""</f>
        <v/>
      </c>
      <c r="I20" s="6" t="str">
        <f>""</f>
        <v/>
      </c>
      <c r="J20" s="6" t="str">
        <f>""</f>
        <v/>
      </c>
      <c r="K20" s="6" t="str">
        <f>""</f>
        <v/>
      </c>
      <c r="L20" s="6" t="s">
        <v>1181</v>
      </c>
      <c r="M20" s="6" t="str">
        <f>""</f>
        <v/>
      </c>
      <c r="N20" s="6" t="str">
        <f>""</f>
        <v/>
      </c>
      <c r="O20" s="6" t="str">
        <f>""</f>
        <v/>
      </c>
      <c r="P20" s="6" t="str">
        <f>""</f>
        <v/>
      </c>
      <c r="Q20" s="6" t="str">
        <f>""</f>
        <v/>
      </c>
      <c r="R20" s="6" t="str">
        <f>""</f>
        <v/>
      </c>
      <c r="S20" s="6" t="str">
        <f>""</f>
        <v/>
      </c>
      <c r="T20" s="6" t="s">
        <v>1271</v>
      </c>
      <c r="U20" s="6" t="str">
        <f>""</f>
        <v/>
      </c>
      <c r="V20" s="6" t="str">
        <f>""</f>
        <v/>
      </c>
      <c r="W20" s="6" t="str">
        <f>""</f>
        <v/>
      </c>
      <c r="X20" s="6" t="str">
        <f>""</f>
        <v/>
      </c>
      <c r="Y20" s="6" t="str">
        <f>""</f>
        <v/>
      </c>
      <c r="Z20" s="6" t="str">
        <f>""</f>
        <v/>
      </c>
      <c r="AA20" s="6" t="str">
        <f>""</f>
        <v/>
      </c>
      <c r="AB20" s="6" t="str">
        <f>""</f>
        <v/>
      </c>
      <c r="AC20" s="6" t="str">
        <f>""</f>
        <v/>
      </c>
      <c r="AD20" s="6" t="str">
        <f>""</f>
        <v/>
      </c>
      <c r="AE20" s="6" t="str">
        <f>""</f>
        <v/>
      </c>
      <c r="AF20" s="6" t="str">
        <f>""</f>
        <v/>
      </c>
      <c r="AG20" s="6" t="str">
        <f>HLOOKUP(VLOOKUP(Race,Race_stats,2,FALSE),Ethnies_total,20,FALSE)</f>
        <v/>
      </c>
    </row>
    <row r="21" spans="1:33">
      <c r="A21" s="4" t="str">
        <f>""</f>
        <v/>
      </c>
      <c r="B21" s="4" t="str">
        <f>""</f>
        <v/>
      </c>
      <c r="C21" s="4" t="s">
        <v>1202</v>
      </c>
      <c r="D21" s="4" t="str">
        <f>""</f>
        <v/>
      </c>
      <c r="E21" s="4" t="s">
        <v>1296</v>
      </c>
      <c r="F21" s="4" t="s">
        <v>3084</v>
      </c>
      <c r="G21" s="4" t="str">
        <f>""</f>
        <v/>
      </c>
      <c r="H21" s="4" t="str">
        <f>""</f>
        <v/>
      </c>
      <c r="I21" s="4" t="str">
        <f>""</f>
        <v/>
      </c>
      <c r="J21" s="4" t="str">
        <f>""</f>
        <v/>
      </c>
      <c r="K21" s="4" t="str">
        <f>""</f>
        <v/>
      </c>
      <c r="L21" s="4" t="s">
        <v>1182</v>
      </c>
      <c r="M21" s="4" t="str">
        <f>""</f>
        <v/>
      </c>
      <c r="N21" s="4" t="str">
        <f>""</f>
        <v/>
      </c>
      <c r="O21" s="4" t="str">
        <f>""</f>
        <v/>
      </c>
      <c r="P21" s="4" t="str">
        <f>""</f>
        <v/>
      </c>
      <c r="Q21" s="4" t="str">
        <f>""</f>
        <v/>
      </c>
      <c r="R21" s="4" t="str">
        <f>""</f>
        <v/>
      </c>
      <c r="S21" s="4" t="str">
        <f>""</f>
        <v/>
      </c>
      <c r="T21" s="4" t="s">
        <v>1272</v>
      </c>
      <c r="U21" s="4" t="str">
        <f>""</f>
        <v/>
      </c>
      <c r="V21" s="4" t="str">
        <f>""</f>
        <v/>
      </c>
      <c r="W21" s="4" t="str">
        <f>""</f>
        <v/>
      </c>
      <c r="X21" s="4" t="str">
        <f>""</f>
        <v/>
      </c>
      <c r="Y21" s="4" t="str">
        <f>""</f>
        <v/>
      </c>
      <c r="Z21" s="4" t="str">
        <f>""</f>
        <v/>
      </c>
      <c r="AA21" s="4" t="str">
        <f>""</f>
        <v/>
      </c>
      <c r="AB21" s="4" t="str">
        <f>""</f>
        <v/>
      </c>
      <c r="AC21" s="4" t="str">
        <f>""</f>
        <v/>
      </c>
      <c r="AD21" s="4" t="str">
        <f>""</f>
        <v/>
      </c>
      <c r="AE21" s="4" t="str">
        <f>""</f>
        <v/>
      </c>
      <c r="AF21" s="4" t="str">
        <f>""</f>
        <v/>
      </c>
      <c r="AG21" s="4" t="str">
        <f>HLOOKUP(VLOOKUP(Race,Race_stats,2,FALSE),Ethnies_total,21,FALSE)</f>
        <v/>
      </c>
    </row>
    <row r="22" spans="1:33">
      <c r="A22" s="6" t="str">
        <f>""</f>
        <v/>
      </c>
      <c r="B22" s="6" t="str">
        <f>""</f>
        <v/>
      </c>
      <c r="C22" s="6" t="s">
        <v>1203</v>
      </c>
      <c r="D22" s="6" t="str">
        <f>""</f>
        <v/>
      </c>
      <c r="E22" s="6" t="s">
        <v>1297</v>
      </c>
      <c r="F22" s="6" t="s">
        <v>3082</v>
      </c>
      <c r="G22" s="6" t="str">
        <f>""</f>
        <v/>
      </c>
      <c r="H22" s="6" t="str">
        <f>""</f>
        <v/>
      </c>
      <c r="I22" s="6" t="str">
        <f>""</f>
        <v/>
      </c>
      <c r="J22" s="6" t="str">
        <f>""</f>
        <v/>
      </c>
      <c r="K22" s="6" t="str">
        <f>""</f>
        <v/>
      </c>
      <c r="L22" s="6" t="s">
        <v>1184</v>
      </c>
      <c r="M22" s="6" t="str">
        <f>""</f>
        <v/>
      </c>
      <c r="N22" s="6" t="str">
        <f>""</f>
        <v/>
      </c>
      <c r="O22" s="6" t="str">
        <f>""</f>
        <v/>
      </c>
      <c r="P22" s="6" t="str">
        <f>""</f>
        <v/>
      </c>
      <c r="Q22" s="6" t="str">
        <f>""</f>
        <v/>
      </c>
      <c r="R22" s="6" t="str">
        <f>""</f>
        <v/>
      </c>
      <c r="S22" s="6" t="str">
        <f>""</f>
        <v/>
      </c>
      <c r="T22" s="6" t="s">
        <v>1273</v>
      </c>
      <c r="U22" s="6" t="str">
        <f>""</f>
        <v/>
      </c>
      <c r="V22" s="6" t="str">
        <f>""</f>
        <v/>
      </c>
      <c r="W22" s="6" t="str">
        <f>""</f>
        <v/>
      </c>
      <c r="X22" s="6" t="str">
        <f>""</f>
        <v/>
      </c>
      <c r="Y22" s="6" t="str">
        <f>""</f>
        <v/>
      </c>
      <c r="Z22" s="6" t="str">
        <f>""</f>
        <v/>
      </c>
      <c r="AA22" s="6" t="str">
        <f>""</f>
        <v/>
      </c>
      <c r="AB22" s="6" t="str">
        <f>""</f>
        <v/>
      </c>
      <c r="AC22" s="6" t="str">
        <f>""</f>
        <v/>
      </c>
      <c r="AD22" s="6" t="str">
        <f>""</f>
        <v/>
      </c>
      <c r="AE22" s="6" t="str">
        <f>""</f>
        <v/>
      </c>
      <c r="AF22" s="6" t="str">
        <f>""</f>
        <v/>
      </c>
      <c r="AG22" s="6" t="str">
        <f>HLOOKUP(VLOOKUP(Race,Race_stats,2,FALSE),Ethnies_total,22,FALSE)</f>
        <v/>
      </c>
    </row>
    <row r="23" spans="1:33">
      <c r="A23" s="4" t="str">
        <f>""</f>
        <v/>
      </c>
      <c r="B23" s="4" t="str">
        <f>""</f>
        <v/>
      </c>
      <c r="C23" s="4" t="s">
        <v>1204</v>
      </c>
      <c r="D23" s="4" t="str">
        <f>""</f>
        <v/>
      </c>
      <c r="E23" s="4" t="s">
        <v>1298</v>
      </c>
      <c r="F23" s="4" t="s">
        <v>3087</v>
      </c>
      <c r="G23" s="4" t="str">
        <f>""</f>
        <v/>
      </c>
      <c r="H23" s="4" t="str">
        <f>""</f>
        <v/>
      </c>
      <c r="I23" s="4" t="str">
        <f>""</f>
        <v/>
      </c>
      <c r="J23" s="4" t="str">
        <f>""</f>
        <v/>
      </c>
      <c r="K23" s="4" t="str">
        <f>""</f>
        <v/>
      </c>
      <c r="L23" s="4" t="s">
        <v>1183</v>
      </c>
      <c r="M23" s="4" t="str">
        <f>""</f>
        <v/>
      </c>
      <c r="N23" s="4" t="str">
        <f>""</f>
        <v/>
      </c>
      <c r="O23" s="4" t="str">
        <f>""</f>
        <v/>
      </c>
      <c r="P23" s="4" t="str">
        <f>""</f>
        <v/>
      </c>
      <c r="Q23" s="4" t="str">
        <f>""</f>
        <v/>
      </c>
      <c r="R23" s="4" t="str">
        <f>""</f>
        <v/>
      </c>
      <c r="S23" s="4" t="str">
        <f>""</f>
        <v/>
      </c>
      <c r="T23" s="4" t="s">
        <v>1274</v>
      </c>
      <c r="U23" s="4" t="str">
        <f>""</f>
        <v/>
      </c>
      <c r="V23" s="4" t="str">
        <f>""</f>
        <v/>
      </c>
      <c r="W23" s="4" t="str">
        <f>""</f>
        <v/>
      </c>
      <c r="X23" s="4" t="str">
        <f>""</f>
        <v/>
      </c>
      <c r="Y23" s="4" t="str">
        <f>""</f>
        <v/>
      </c>
      <c r="Z23" s="4" t="str">
        <f>""</f>
        <v/>
      </c>
      <c r="AA23" s="4" t="str">
        <f>""</f>
        <v/>
      </c>
      <c r="AB23" s="4" t="str">
        <f>""</f>
        <v/>
      </c>
      <c r="AC23" s="4" t="str">
        <f>""</f>
        <v/>
      </c>
      <c r="AD23" s="4" t="str">
        <f>""</f>
        <v/>
      </c>
      <c r="AE23" s="4" t="str">
        <f>""</f>
        <v/>
      </c>
      <c r="AF23" s="4" t="str">
        <f>""</f>
        <v/>
      </c>
      <c r="AG23" s="4" t="str">
        <f>HLOOKUP(VLOOKUP(Race,Race_stats,2,FALSE),Ethnies_total,23,FALSE)</f>
        <v/>
      </c>
    </row>
    <row r="24" spans="1:33">
      <c r="A24" s="6" t="str">
        <f>""</f>
        <v/>
      </c>
      <c r="B24" s="6" t="str">
        <f>""</f>
        <v/>
      </c>
      <c r="C24" s="6" t="s">
        <v>1205</v>
      </c>
      <c r="D24" s="6" t="str">
        <f>""</f>
        <v/>
      </c>
      <c r="E24" s="6" t="s">
        <v>1233</v>
      </c>
      <c r="F24" s="6" t="s">
        <v>3080</v>
      </c>
      <c r="G24" s="6" t="str">
        <f>""</f>
        <v/>
      </c>
      <c r="H24" s="6" t="str">
        <f>""</f>
        <v/>
      </c>
      <c r="I24" s="6" t="str">
        <f>""</f>
        <v/>
      </c>
      <c r="J24" s="6" t="str">
        <f>""</f>
        <v/>
      </c>
      <c r="K24" s="6" t="str">
        <f>""</f>
        <v/>
      </c>
      <c r="L24" s="6" t="str">
        <f>""</f>
        <v/>
      </c>
      <c r="M24" s="6" t="str">
        <f>""</f>
        <v/>
      </c>
      <c r="N24" s="6" t="str">
        <f>""</f>
        <v/>
      </c>
      <c r="O24" s="6" t="str">
        <f>""</f>
        <v/>
      </c>
      <c r="P24" s="6" t="str">
        <f>""</f>
        <v/>
      </c>
      <c r="Q24" s="6" t="str">
        <f>""</f>
        <v/>
      </c>
      <c r="R24" s="6" t="str">
        <f>""</f>
        <v/>
      </c>
      <c r="S24" s="6" t="str">
        <f>""</f>
        <v/>
      </c>
      <c r="T24" s="6" t="s">
        <v>1275</v>
      </c>
      <c r="U24" s="6" t="str">
        <f>""</f>
        <v/>
      </c>
      <c r="V24" s="6" t="str">
        <f>""</f>
        <v/>
      </c>
      <c r="W24" s="6" t="str">
        <f>""</f>
        <v/>
      </c>
      <c r="X24" s="6" t="str">
        <f>""</f>
        <v/>
      </c>
      <c r="Y24" s="6" t="str">
        <f>""</f>
        <v/>
      </c>
      <c r="Z24" s="6" t="str">
        <f>""</f>
        <v/>
      </c>
      <c r="AA24" s="6" t="str">
        <f>""</f>
        <v/>
      </c>
      <c r="AB24" s="6" t="str">
        <f>""</f>
        <v/>
      </c>
      <c r="AC24" s="6" t="str">
        <f>""</f>
        <v/>
      </c>
      <c r="AD24" s="6" t="str">
        <f>""</f>
        <v/>
      </c>
      <c r="AE24" s="6" t="str">
        <f>""</f>
        <v/>
      </c>
      <c r="AF24" s="6" t="str">
        <f>""</f>
        <v/>
      </c>
      <c r="AG24" s="6" t="str">
        <f>HLOOKUP(VLOOKUP(Race,Race_stats,2,FALSE),Ethnies_total,24,FALSE)</f>
        <v/>
      </c>
    </row>
    <row r="25" spans="1:33">
      <c r="A25" s="4" t="str">
        <f>""</f>
        <v/>
      </c>
      <c r="B25" s="4" t="str">
        <f>""</f>
        <v/>
      </c>
      <c r="C25" s="4" t="s">
        <v>1206</v>
      </c>
      <c r="D25" s="4" t="str">
        <f>""</f>
        <v/>
      </c>
      <c r="E25" s="4" t="str">
        <f>""</f>
        <v/>
      </c>
      <c r="F25" s="4" t="s">
        <v>3081</v>
      </c>
      <c r="G25" s="4" t="str">
        <f>""</f>
        <v/>
      </c>
      <c r="H25" s="4" t="str">
        <f>""</f>
        <v/>
      </c>
      <c r="I25" s="4" t="str">
        <f>""</f>
        <v/>
      </c>
      <c r="J25" s="4" t="str">
        <f>""</f>
        <v/>
      </c>
      <c r="K25" s="4" t="str">
        <f>""</f>
        <v/>
      </c>
      <c r="L25" s="4" t="str">
        <f>""</f>
        <v/>
      </c>
      <c r="M25" s="4" t="str">
        <f>""</f>
        <v/>
      </c>
      <c r="N25" s="4" t="str">
        <f>""</f>
        <v/>
      </c>
      <c r="O25" s="4" t="str">
        <f>""</f>
        <v/>
      </c>
      <c r="P25" s="4" t="str">
        <f>""</f>
        <v/>
      </c>
      <c r="Q25" s="4" t="str">
        <f>""</f>
        <v/>
      </c>
      <c r="R25" s="4" t="str">
        <f>""</f>
        <v/>
      </c>
      <c r="S25" s="4" t="str">
        <f>""</f>
        <v/>
      </c>
      <c r="T25" s="4" t="s">
        <v>1276</v>
      </c>
      <c r="U25" s="4" t="str">
        <f>""</f>
        <v/>
      </c>
      <c r="V25" s="4" t="str">
        <f>""</f>
        <v/>
      </c>
      <c r="W25" s="4" t="str">
        <f>""</f>
        <v/>
      </c>
      <c r="X25" s="4" t="str">
        <f>""</f>
        <v/>
      </c>
      <c r="Y25" s="4" t="str">
        <f>""</f>
        <v/>
      </c>
      <c r="Z25" s="4" t="str">
        <f>""</f>
        <v/>
      </c>
      <c r="AA25" s="4" t="str">
        <f>""</f>
        <v/>
      </c>
      <c r="AB25" s="4" t="str">
        <f>""</f>
        <v/>
      </c>
      <c r="AC25" s="4" t="str">
        <f>""</f>
        <v/>
      </c>
      <c r="AD25" s="4" t="str">
        <f>""</f>
        <v/>
      </c>
      <c r="AE25" s="4" t="str">
        <f>""</f>
        <v/>
      </c>
      <c r="AF25" s="4" t="str">
        <f>""</f>
        <v/>
      </c>
      <c r="AG25" s="4" t="str">
        <f>HLOOKUP(VLOOKUP(Race,Race_stats,2,FALSE),Ethnies_total,25,FALSE)</f>
        <v/>
      </c>
    </row>
    <row r="26" spans="1:33">
      <c r="A26" s="6" t="str">
        <f>""</f>
        <v/>
      </c>
      <c r="B26" s="6" t="str">
        <f>""</f>
        <v/>
      </c>
      <c r="C26" s="6" t="s">
        <v>1207</v>
      </c>
      <c r="D26" s="6" t="str">
        <f>""</f>
        <v/>
      </c>
      <c r="E26" s="6" t="str">
        <f>""</f>
        <v/>
      </c>
      <c r="F26" s="6" t="s">
        <v>1224</v>
      </c>
      <c r="G26" s="6" t="str">
        <f>""</f>
        <v/>
      </c>
      <c r="H26" s="6" t="str">
        <f>""</f>
        <v/>
      </c>
      <c r="I26" s="6" t="str">
        <f>""</f>
        <v/>
      </c>
      <c r="J26" s="6" t="str">
        <f>""</f>
        <v/>
      </c>
      <c r="K26" s="6" t="str">
        <f>""</f>
        <v/>
      </c>
      <c r="L26" s="6" t="str">
        <f>""</f>
        <v/>
      </c>
      <c r="M26" s="6" t="str">
        <f>""</f>
        <v/>
      </c>
      <c r="N26" s="6" t="str">
        <f>""</f>
        <v/>
      </c>
      <c r="O26" s="6" t="str">
        <f>""</f>
        <v/>
      </c>
      <c r="P26" s="6" t="str">
        <f>""</f>
        <v/>
      </c>
      <c r="Q26" s="6" t="str">
        <f>""</f>
        <v/>
      </c>
      <c r="R26" s="6" t="str">
        <f>""</f>
        <v/>
      </c>
      <c r="S26" s="6" t="str">
        <f>""</f>
        <v/>
      </c>
      <c r="T26" s="6" t="str">
        <f>""</f>
        <v/>
      </c>
      <c r="U26" s="6" t="str">
        <f>""</f>
        <v/>
      </c>
      <c r="V26" s="6" t="str">
        <f>""</f>
        <v/>
      </c>
      <c r="W26" s="6" t="str">
        <f>""</f>
        <v/>
      </c>
      <c r="X26" s="6" t="str">
        <f>""</f>
        <v/>
      </c>
      <c r="Y26" s="6" t="str">
        <f>""</f>
        <v/>
      </c>
      <c r="Z26" s="6" t="str">
        <f>""</f>
        <v/>
      </c>
      <c r="AA26" s="6" t="str">
        <f>""</f>
        <v/>
      </c>
      <c r="AB26" s="6" t="str">
        <f>""</f>
        <v/>
      </c>
      <c r="AC26" s="6" t="str">
        <f>""</f>
        <v/>
      </c>
      <c r="AD26" s="6" t="str">
        <f>""</f>
        <v/>
      </c>
      <c r="AE26" s="6" t="str">
        <f>""</f>
        <v/>
      </c>
      <c r="AF26" s="6" t="str">
        <f>""</f>
        <v/>
      </c>
      <c r="AG26" s="6" t="str">
        <f>HLOOKUP(VLOOKUP(Race,Race_stats,2,FALSE),Ethnies_total,26,FALSE)</f>
        <v/>
      </c>
    </row>
    <row r="27" spans="1:33">
      <c r="A27" s="4" t="str">
        <f>""</f>
        <v/>
      </c>
      <c r="B27" s="4" t="str">
        <f>""</f>
        <v/>
      </c>
      <c r="C27" s="4" t="str">
        <f>""</f>
        <v/>
      </c>
      <c r="D27" s="4" t="str">
        <f>""</f>
        <v/>
      </c>
      <c r="E27" s="4" t="str">
        <f>""</f>
        <v/>
      </c>
      <c r="F27" s="4" t="s">
        <v>1225</v>
      </c>
      <c r="G27" s="4" t="str">
        <f>""</f>
        <v/>
      </c>
      <c r="H27" s="4" t="str">
        <f>""</f>
        <v/>
      </c>
      <c r="I27" s="4" t="str">
        <f>""</f>
        <v/>
      </c>
      <c r="J27" s="4" t="str">
        <f>""</f>
        <v/>
      </c>
      <c r="K27" s="4" t="str">
        <f>""</f>
        <v/>
      </c>
      <c r="L27" s="4" t="str">
        <f>""</f>
        <v/>
      </c>
      <c r="M27" s="4" t="str">
        <f>""</f>
        <v/>
      </c>
      <c r="N27" s="4" t="str">
        <f>""</f>
        <v/>
      </c>
      <c r="O27" s="4" t="str">
        <f>""</f>
        <v/>
      </c>
      <c r="P27" s="4" t="str">
        <f>""</f>
        <v/>
      </c>
      <c r="Q27" s="4" t="str">
        <f>""</f>
        <v/>
      </c>
      <c r="R27" s="4" t="str">
        <f>""</f>
        <v/>
      </c>
      <c r="S27" s="4" t="str">
        <f>""</f>
        <v/>
      </c>
      <c r="T27" s="4" t="str">
        <f>""</f>
        <v/>
      </c>
      <c r="U27" s="4" t="str">
        <f>""</f>
        <v/>
      </c>
      <c r="V27" s="4" t="str">
        <f>""</f>
        <v/>
      </c>
      <c r="W27" s="4" t="str">
        <f>""</f>
        <v/>
      </c>
      <c r="X27" s="4" t="str">
        <f>""</f>
        <v/>
      </c>
      <c r="Y27" s="4" t="str">
        <f>""</f>
        <v/>
      </c>
      <c r="Z27" s="4" t="str">
        <f>""</f>
        <v/>
      </c>
      <c r="AA27" s="4" t="str">
        <f>""</f>
        <v/>
      </c>
      <c r="AB27" s="4" t="str">
        <f>""</f>
        <v/>
      </c>
      <c r="AC27" s="4" t="str">
        <f>""</f>
        <v/>
      </c>
      <c r="AD27" s="4" t="str">
        <f>""</f>
        <v/>
      </c>
      <c r="AE27" s="4" t="str">
        <f>""</f>
        <v/>
      </c>
      <c r="AF27" s="4" t="str">
        <f>""</f>
        <v/>
      </c>
      <c r="AG27" s="4" t="str">
        <f>HLOOKUP(VLOOKUP(Race,Race_stats,2,FALSE),Ethnies_total,27,FALSE)</f>
        <v/>
      </c>
    </row>
    <row r="28" spans="1:33">
      <c r="A28" s="6" t="str">
        <f>""</f>
        <v/>
      </c>
      <c r="B28" s="6" t="str">
        <f>""</f>
        <v/>
      </c>
      <c r="C28" s="6" t="str">
        <f>""</f>
        <v/>
      </c>
      <c r="D28" s="6" t="str">
        <f>""</f>
        <v/>
      </c>
      <c r="E28" s="6" t="str">
        <f>""</f>
        <v/>
      </c>
      <c r="F28" s="6" t="s">
        <v>1226</v>
      </c>
      <c r="G28" s="6" t="str">
        <f>""</f>
        <v/>
      </c>
      <c r="H28" s="6" t="str">
        <f>""</f>
        <v/>
      </c>
      <c r="I28" s="6" t="str">
        <f>""</f>
        <v/>
      </c>
      <c r="J28" s="6" t="str">
        <f>""</f>
        <v/>
      </c>
      <c r="K28" s="6" t="str">
        <f>""</f>
        <v/>
      </c>
      <c r="L28" s="6" t="str">
        <f>""</f>
        <v/>
      </c>
      <c r="M28" s="6" t="str">
        <f>""</f>
        <v/>
      </c>
      <c r="N28" s="6" t="str">
        <f>""</f>
        <v/>
      </c>
      <c r="O28" s="6" t="str">
        <f>""</f>
        <v/>
      </c>
      <c r="P28" s="6" t="str">
        <f>""</f>
        <v/>
      </c>
      <c r="Q28" s="6" t="str">
        <f>""</f>
        <v/>
      </c>
      <c r="R28" s="6" t="str">
        <f>""</f>
        <v/>
      </c>
      <c r="S28" s="6" t="str">
        <f>""</f>
        <v/>
      </c>
      <c r="T28" s="6" t="str">
        <f>""</f>
        <v/>
      </c>
      <c r="U28" s="6" t="str">
        <f>""</f>
        <v/>
      </c>
      <c r="V28" s="6" t="str">
        <f>""</f>
        <v/>
      </c>
      <c r="W28" s="6" t="str">
        <f>""</f>
        <v/>
      </c>
      <c r="X28" s="6" t="str">
        <f>""</f>
        <v/>
      </c>
      <c r="Y28" s="6" t="str">
        <f>""</f>
        <v/>
      </c>
      <c r="Z28" s="6" t="str">
        <f>""</f>
        <v/>
      </c>
      <c r="AA28" s="6" t="str">
        <f>""</f>
        <v/>
      </c>
      <c r="AB28" s="6" t="str">
        <f>""</f>
        <v/>
      </c>
      <c r="AC28" s="6" t="str">
        <f>""</f>
        <v/>
      </c>
      <c r="AD28" s="6" t="str">
        <f>""</f>
        <v/>
      </c>
      <c r="AE28" s="6" t="str">
        <f>""</f>
        <v/>
      </c>
      <c r="AF28" s="6" t="str">
        <f>""</f>
        <v/>
      </c>
      <c r="AG28" s="6" t="str">
        <f>HLOOKUP(VLOOKUP(Race,Race_stats,2,FALSE),Ethnies_total,28,FALSE)</f>
        <v/>
      </c>
    </row>
    <row r="29" spans="1:33">
      <c r="A29" s="4" t="str">
        <f>""</f>
        <v/>
      </c>
      <c r="B29" s="4" t="str">
        <f>""</f>
        <v/>
      </c>
      <c r="C29" s="4" t="str">
        <f>""</f>
        <v/>
      </c>
      <c r="D29" s="4" t="str">
        <f>""</f>
        <v/>
      </c>
      <c r="E29" s="4" t="str">
        <f>""</f>
        <v/>
      </c>
      <c r="F29" s="4" t="s">
        <v>3085</v>
      </c>
      <c r="G29" s="4" t="str">
        <f>""</f>
        <v/>
      </c>
      <c r="H29" s="4" t="str">
        <f>""</f>
        <v/>
      </c>
      <c r="I29" s="4" t="str">
        <f>""</f>
        <v/>
      </c>
      <c r="J29" s="4" t="str">
        <f>""</f>
        <v/>
      </c>
      <c r="K29" s="4" t="str">
        <f>""</f>
        <v/>
      </c>
      <c r="L29" s="4" t="str">
        <f>""</f>
        <v/>
      </c>
      <c r="M29" s="4" t="str">
        <f>""</f>
        <v/>
      </c>
      <c r="N29" s="4" t="str">
        <f>""</f>
        <v/>
      </c>
      <c r="O29" s="4" t="str">
        <f>""</f>
        <v/>
      </c>
      <c r="P29" s="4" t="str">
        <f>""</f>
        <v/>
      </c>
      <c r="Q29" s="4" t="str">
        <f>""</f>
        <v/>
      </c>
      <c r="R29" s="4" t="str">
        <f>""</f>
        <v/>
      </c>
      <c r="S29" s="4" t="str">
        <f>""</f>
        <v/>
      </c>
      <c r="T29" s="4" t="str">
        <f>""</f>
        <v/>
      </c>
      <c r="U29" s="4" t="str">
        <f>""</f>
        <v/>
      </c>
      <c r="V29" s="4" t="str">
        <f>""</f>
        <v/>
      </c>
      <c r="W29" s="4" t="str">
        <f>""</f>
        <v/>
      </c>
      <c r="X29" s="4" t="str">
        <f>""</f>
        <v/>
      </c>
      <c r="Y29" s="4" t="str">
        <f>""</f>
        <v/>
      </c>
      <c r="Z29" s="4" t="str">
        <f>""</f>
        <v/>
      </c>
      <c r="AA29" s="4" t="str">
        <f>""</f>
        <v/>
      </c>
      <c r="AB29" s="4" t="str">
        <f>""</f>
        <v/>
      </c>
      <c r="AC29" s="4" t="str">
        <f>""</f>
        <v/>
      </c>
      <c r="AD29" s="4" t="str">
        <f>""</f>
        <v/>
      </c>
      <c r="AE29" s="4" t="str">
        <f>""</f>
        <v/>
      </c>
      <c r="AF29" s="4" t="str">
        <f>""</f>
        <v/>
      </c>
      <c r="AG29" s="4" t="str">
        <f>HLOOKUP(VLOOKUP(Race,Race_stats,2,FALSE),Ethnies_total,29,FALSE)</f>
        <v/>
      </c>
    </row>
    <row r="30" spans="1:33">
      <c r="A30" s="6" t="str">
        <f>""</f>
        <v/>
      </c>
      <c r="B30" s="6" t="str">
        <f>""</f>
        <v/>
      </c>
      <c r="C30" s="6" t="str">
        <f>""</f>
        <v/>
      </c>
      <c r="D30" s="6" t="str">
        <f>""</f>
        <v/>
      </c>
      <c r="E30" s="6" t="str">
        <f>""</f>
        <v/>
      </c>
      <c r="F30" s="6" t="s">
        <v>1227</v>
      </c>
      <c r="G30" s="6" t="str">
        <f>""</f>
        <v/>
      </c>
      <c r="H30" s="6" t="str">
        <f>""</f>
        <v/>
      </c>
      <c r="I30" s="6" t="str">
        <f>""</f>
        <v/>
      </c>
      <c r="J30" s="6" t="str">
        <f>""</f>
        <v/>
      </c>
      <c r="K30" s="6" t="str">
        <f>""</f>
        <v/>
      </c>
      <c r="L30" s="6" t="str">
        <f>""</f>
        <v/>
      </c>
      <c r="M30" s="6" t="str">
        <f>""</f>
        <v/>
      </c>
      <c r="N30" s="6" t="str">
        <f>""</f>
        <v/>
      </c>
      <c r="O30" s="6" t="str">
        <f>""</f>
        <v/>
      </c>
      <c r="P30" s="6" t="str">
        <f>""</f>
        <v/>
      </c>
      <c r="Q30" s="6" t="str">
        <f>""</f>
        <v/>
      </c>
      <c r="R30" s="6" t="str">
        <f>""</f>
        <v/>
      </c>
      <c r="S30" s="6" t="str">
        <f>""</f>
        <v/>
      </c>
      <c r="T30" s="6" t="str">
        <f>""</f>
        <v/>
      </c>
      <c r="U30" s="6" t="str">
        <f>""</f>
        <v/>
      </c>
      <c r="V30" s="6" t="str">
        <f>""</f>
        <v/>
      </c>
      <c r="W30" s="6" t="str">
        <f>""</f>
        <v/>
      </c>
      <c r="X30" s="6" t="str">
        <f>""</f>
        <v/>
      </c>
      <c r="Y30" s="6" t="str">
        <f>""</f>
        <v/>
      </c>
      <c r="Z30" s="6" t="str">
        <f>""</f>
        <v/>
      </c>
      <c r="AA30" s="6" t="str">
        <f>""</f>
        <v/>
      </c>
      <c r="AB30" s="6" t="str">
        <f>""</f>
        <v/>
      </c>
      <c r="AC30" s="6" t="str">
        <f>""</f>
        <v/>
      </c>
      <c r="AD30" s="6" t="str">
        <f>""</f>
        <v/>
      </c>
      <c r="AE30" s="6" t="str">
        <f>""</f>
        <v/>
      </c>
      <c r="AF30" s="6" t="str">
        <f>""</f>
        <v/>
      </c>
      <c r="AG30" s="6" t="str">
        <f>HLOOKUP(VLOOKUP(Race,Race_stats,2,FALSE),Ethnies_total,30,FALSE)</f>
        <v/>
      </c>
    </row>
    <row r="31" spans="1:33">
      <c r="A31" s="4" t="str">
        <f>""</f>
        <v/>
      </c>
      <c r="B31" s="4" t="str">
        <f>""</f>
        <v/>
      </c>
      <c r="C31" s="4" t="str">
        <f>""</f>
        <v/>
      </c>
      <c r="D31" s="4" t="str">
        <f>""</f>
        <v/>
      </c>
      <c r="E31" s="4" t="str">
        <f>""</f>
        <v/>
      </c>
      <c r="F31" s="4" t="s">
        <v>1228</v>
      </c>
      <c r="G31" s="4" t="str">
        <f>""</f>
        <v/>
      </c>
      <c r="H31" s="4" t="str">
        <f>""</f>
        <v/>
      </c>
      <c r="I31" s="4" t="str">
        <f>""</f>
        <v/>
      </c>
      <c r="J31" s="4" t="str">
        <f>""</f>
        <v/>
      </c>
      <c r="K31" s="4" t="str">
        <f>""</f>
        <v/>
      </c>
      <c r="L31" s="4" t="str">
        <f>""</f>
        <v/>
      </c>
      <c r="M31" s="4" t="str">
        <f>""</f>
        <v/>
      </c>
      <c r="N31" s="4" t="str">
        <f>""</f>
        <v/>
      </c>
      <c r="O31" s="4" t="str">
        <f>""</f>
        <v/>
      </c>
      <c r="P31" s="4" t="str">
        <f>""</f>
        <v/>
      </c>
      <c r="Q31" s="4" t="str">
        <f>""</f>
        <v/>
      </c>
      <c r="R31" s="4" t="str">
        <f>""</f>
        <v/>
      </c>
      <c r="S31" s="4" t="str">
        <f>""</f>
        <v/>
      </c>
      <c r="T31" s="4" t="str">
        <f>""</f>
        <v/>
      </c>
      <c r="U31" s="4" t="str">
        <f>""</f>
        <v/>
      </c>
      <c r="V31" s="4" t="str">
        <f>""</f>
        <v/>
      </c>
      <c r="W31" s="4" t="str">
        <f>""</f>
        <v/>
      </c>
      <c r="X31" s="4" t="str">
        <f>""</f>
        <v/>
      </c>
      <c r="Y31" s="4" t="str">
        <f>""</f>
        <v/>
      </c>
      <c r="Z31" s="4" t="str">
        <f>""</f>
        <v/>
      </c>
      <c r="AA31" s="4" t="str">
        <f>""</f>
        <v/>
      </c>
      <c r="AB31" s="4" t="str">
        <f>""</f>
        <v/>
      </c>
      <c r="AC31" s="4" t="str">
        <f>""</f>
        <v/>
      </c>
      <c r="AD31" s="4" t="str">
        <f>""</f>
        <v/>
      </c>
      <c r="AE31" s="4" t="str">
        <f>""</f>
        <v/>
      </c>
      <c r="AF31" s="4" t="str">
        <f>""</f>
        <v/>
      </c>
      <c r="AG31" s="4" t="str">
        <f>HLOOKUP(VLOOKUP(Race,Race_stats,2,FALSE),Ethnies_total,31,FALSE)</f>
        <v/>
      </c>
    </row>
    <row r="32" spans="1:33">
      <c r="A32" s="6" t="str">
        <f>""</f>
        <v/>
      </c>
      <c r="B32" s="6" t="str">
        <f>""</f>
        <v/>
      </c>
      <c r="C32" s="6" t="str">
        <f>""</f>
        <v/>
      </c>
      <c r="D32" s="6" t="str">
        <f>""</f>
        <v/>
      </c>
      <c r="E32" s="6" t="str">
        <f>""</f>
        <v/>
      </c>
      <c r="F32" s="6" t="s">
        <v>1295</v>
      </c>
      <c r="G32" s="6" t="str">
        <f>""</f>
        <v/>
      </c>
      <c r="H32" s="6" t="str">
        <f>""</f>
        <v/>
      </c>
      <c r="I32" s="6" t="str">
        <f>""</f>
        <v/>
      </c>
      <c r="J32" s="6" t="str">
        <f>""</f>
        <v/>
      </c>
      <c r="K32" s="6" t="str">
        <f>""</f>
        <v/>
      </c>
      <c r="L32" s="6" t="str">
        <f>""</f>
        <v/>
      </c>
      <c r="M32" s="6" t="str">
        <f>""</f>
        <v/>
      </c>
      <c r="N32" s="6" t="str">
        <f>""</f>
        <v/>
      </c>
      <c r="O32" s="6" t="str">
        <f>""</f>
        <v/>
      </c>
      <c r="P32" s="6" t="str">
        <f>""</f>
        <v/>
      </c>
      <c r="Q32" s="6" t="str">
        <f>""</f>
        <v/>
      </c>
      <c r="R32" s="6" t="str">
        <f>""</f>
        <v/>
      </c>
      <c r="S32" s="6" t="str">
        <f>""</f>
        <v/>
      </c>
      <c r="T32" s="6" t="str">
        <f>""</f>
        <v/>
      </c>
      <c r="U32" s="6" t="str">
        <f>""</f>
        <v/>
      </c>
      <c r="V32" s="6" t="str">
        <f>""</f>
        <v/>
      </c>
      <c r="W32" s="6" t="str">
        <f>""</f>
        <v/>
      </c>
      <c r="X32" s="6" t="str">
        <f>""</f>
        <v/>
      </c>
      <c r="Y32" s="6" t="str">
        <f>""</f>
        <v/>
      </c>
      <c r="Z32" s="6" t="str">
        <f>""</f>
        <v/>
      </c>
      <c r="AA32" s="6" t="str">
        <f>""</f>
        <v/>
      </c>
      <c r="AB32" s="6" t="str">
        <f>""</f>
        <v/>
      </c>
      <c r="AC32" s="6" t="str">
        <f>""</f>
        <v/>
      </c>
      <c r="AD32" s="6" t="str">
        <f>""</f>
        <v/>
      </c>
      <c r="AE32" s="6" t="str">
        <f>""</f>
        <v/>
      </c>
      <c r="AF32" s="6" t="str">
        <f>""</f>
        <v/>
      </c>
      <c r="AG32" s="6" t="str">
        <f>HLOOKUP(VLOOKUP(Race,Race_stats,2,FALSE),Ethnies_total,32,FALSE)</f>
        <v/>
      </c>
    </row>
    <row r="33" spans="1:33">
      <c r="A33" s="4" t="str">
        <f>""</f>
        <v/>
      </c>
      <c r="B33" s="4" t="str">
        <f>""</f>
        <v/>
      </c>
      <c r="C33" s="4" t="str">
        <f>""</f>
        <v/>
      </c>
      <c r="D33" s="4" t="str">
        <f>""</f>
        <v/>
      </c>
      <c r="E33" s="4" t="str">
        <f>""</f>
        <v/>
      </c>
      <c r="F33" s="4" t="s">
        <v>1229</v>
      </c>
      <c r="G33" s="4" t="str">
        <f>""</f>
        <v/>
      </c>
      <c r="H33" s="4" t="str">
        <f>""</f>
        <v/>
      </c>
      <c r="I33" s="4" t="str">
        <f>""</f>
        <v/>
      </c>
      <c r="J33" s="4" t="str">
        <f>""</f>
        <v/>
      </c>
      <c r="K33" s="4" t="str">
        <f>""</f>
        <v/>
      </c>
      <c r="L33" s="4" t="str">
        <f>""</f>
        <v/>
      </c>
      <c r="M33" s="4" t="str">
        <f>""</f>
        <v/>
      </c>
      <c r="N33" s="4" t="str">
        <f>""</f>
        <v/>
      </c>
      <c r="O33" s="4" t="str">
        <f>""</f>
        <v/>
      </c>
      <c r="P33" s="4" t="str">
        <f>""</f>
        <v/>
      </c>
      <c r="Q33" s="4" t="str">
        <f>""</f>
        <v/>
      </c>
      <c r="R33" s="4" t="str">
        <f>""</f>
        <v/>
      </c>
      <c r="S33" s="4" t="str">
        <f>""</f>
        <v/>
      </c>
      <c r="T33" s="4" t="str">
        <f>""</f>
        <v/>
      </c>
      <c r="U33" s="4" t="str">
        <f>""</f>
        <v/>
      </c>
      <c r="V33" s="4" t="str">
        <f>""</f>
        <v/>
      </c>
      <c r="W33" s="4" t="str">
        <f>""</f>
        <v/>
      </c>
      <c r="X33" s="4" t="str">
        <f>""</f>
        <v/>
      </c>
      <c r="Y33" s="4" t="str">
        <f>""</f>
        <v/>
      </c>
      <c r="Z33" s="4" t="str">
        <f>""</f>
        <v/>
      </c>
      <c r="AA33" s="4" t="str">
        <f>""</f>
        <v/>
      </c>
      <c r="AB33" s="4" t="str">
        <f>""</f>
        <v/>
      </c>
      <c r="AC33" s="4" t="str">
        <f>""</f>
        <v/>
      </c>
      <c r="AD33" s="4" t="str">
        <f>""</f>
        <v/>
      </c>
      <c r="AE33" s="4" t="str">
        <f>""</f>
        <v/>
      </c>
      <c r="AF33" s="4" t="str">
        <f>""</f>
        <v/>
      </c>
      <c r="AG33" s="4" t="str">
        <f>HLOOKUP(VLOOKUP(Race,Race_stats,2,FALSE),Ethnies_total,33,FALSE)</f>
        <v/>
      </c>
    </row>
    <row r="34" spans="1:33">
      <c r="A34" s="6" t="str">
        <f>""</f>
        <v/>
      </c>
      <c r="B34" s="6" t="str">
        <f>""</f>
        <v/>
      </c>
      <c r="C34" s="6" t="str">
        <f>""</f>
        <v/>
      </c>
      <c r="D34" s="6" t="str">
        <f>""</f>
        <v/>
      </c>
      <c r="E34" s="6" t="str">
        <f>""</f>
        <v/>
      </c>
      <c r="F34" s="6" t="s">
        <v>3078</v>
      </c>
      <c r="G34" s="6" t="str">
        <f>""</f>
        <v/>
      </c>
      <c r="H34" s="6" t="str">
        <f>""</f>
        <v/>
      </c>
      <c r="I34" s="6" t="str">
        <f>""</f>
        <v/>
      </c>
      <c r="J34" s="6" t="str">
        <f>""</f>
        <v/>
      </c>
      <c r="K34" s="6" t="str">
        <f>""</f>
        <v/>
      </c>
      <c r="L34" s="6" t="str">
        <f>""</f>
        <v/>
      </c>
      <c r="M34" s="6" t="str">
        <f>""</f>
        <v/>
      </c>
      <c r="N34" s="6" t="str">
        <f>""</f>
        <v/>
      </c>
      <c r="O34" s="6" t="str">
        <f>""</f>
        <v/>
      </c>
      <c r="P34" s="6" t="str">
        <f>""</f>
        <v/>
      </c>
      <c r="Q34" s="6" t="str">
        <f>""</f>
        <v/>
      </c>
      <c r="R34" s="6" t="str">
        <f>""</f>
        <v/>
      </c>
      <c r="S34" s="6" t="str">
        <f>""</f>
        <v/>
      </c>
      <c r="T34" s="6" t="str">
        <f>""</f>
        <v/>
      </c>
      <c r="U34" s="6" t="str">
        <f>""</f>
        <v/>
      </c>
      <c r="V34" s="6" t="str">
        <f>""</f>
        <v/>
      </c>
      <c r="W34" s="6" t="str">
        <f>""</f>
        <v/>
      </c>
      <c r="X34" s="6" t="str">
        <f>""</f>
        <v/>
      </c>
      <c r="Y34" s="6" t="str">
        <f>""</f>
        <v/>
      </c>
      <c r="Z34" s="6" t="str">
        <f>""</f>
        <v/>
      </c>
      <c r="AA34" s="6" t="str">
        <f>""</f>
        <v/>
      </c>
      <c r="AB34" s="6" t="str">
        <f>""</f>
        <v/>
      </c>
      <c r="AC34" s="6" t="str">
        <f>""</f>
        <v/>
      </c>
      <c r="AD34" s="6" t="str">
        <f>""</f>
        <v/>
      </c>
      <c r="AE34" s="6" t="str">
        <f>""</f>
        <v/>
      </c>
      <c r="AF34" s="6" t="str">
        <f>""</f>
        <v/>
      </c>
      <c r="AG34" s="6" t="str">
        <f>HLOOKUP(VLOOKUP(Race,Race_stats,2,FALSE),Ethnies_total,34,FALSE)</f>
        <v/>
      </c>
    </row>
    <row r="35" spans="1:33">
      <c r="A35" s="4" t="str">
        <f>""</f>
        <v/>
      </c>
      <c r="B35" s="4" t="str">
        <f>""</f>
        <v/>
      </c>
      <c r="C35" s="4" t="str">
        <f>""</f>
        <v/>
      </c>
      <c r="D35" s="4" t="str">
        <f>""</f>
        <v/>
      </c>
      <c r="E35" s="4" t="str">
        <f>""</f>
        <v/>
      </c>
      <c r="F35" s="4" t="s">
        <v>1313</v>
      </c>
      <c r="G35" s="4" t="str">
        <f>""</f>
        <v/>
      </c>
      <c r="H35" s="4" t="str">
        <f>""</f>
        <v/>
      </c>
      <c r="I35" s="4" t="str">
        <f>""</f>
        <v/>
      </c>
      <c r="J35" s="4" t="str">
        <f>""</f>
        <v/>
      </c>
      <c r="K35" s="4" t="str">
        <f>""</f>
        <v/>
      </c>
      <c r="L35" s="4" t="str">
        <f>""</f>
        <v/>
      </c>
      <c r="M35" s="4" t="str">
        <f>""</f>
        <v/>
      </c>
      <c r="N35" s="4" t="str">
        <f>""</f>
        <v/>
      </c>
      <c r="O35" s="4" t="str">
        <f>""</f>
        <v/>
      </c>
      <c r="P35" s="4" t="str">
        <f>""</f>
        <v/>
      </c>
      <c r="Q35" s="4" t="str">
        <f>""</f>
        <v/>
      </c>
      <c r="R35" s="4" t="str">
        <f>""</f>
        <v/>
      </c>
      <c r="S35" s="4" t="str">
        <f>""</f>
        <v/>
      </c>
      <c r="T35" s="4" t="str">
        <f>""</f>
        <v/>
      </c>
      <c r="U35" s="4" t="str">
        <f>""</f>
        <v/>
      </c>
      <c r="V35" s="4" t="str">
        <f>""</f>
        <v/>
      </c>
      <c r="W35" s="4" t="str">
        <f>""</f>
        <v/>
      </c>
      <c r="X35" s="4" t="str">
        <f>""</f>
        <v/>
      </c>
      <c r="Y35" s="4" t="str">
        <f>""</f>
        <v/>
      </c>
      <c r="Z35" s="4" t="str">
        <f>""</f>
        <v/>
      </c>
      <c r="AA35" s="4" t="str">
        <f>""</f>
        <v/>
      </c>
      <c r="AB35" s="4" t="str">
        <f>""</f>
        <v/>
      </c>
      <c r="AC35" s="4" t="str">
        <f>""</f>
        <v/>
      </c>
      <c r="AD35" s="4" t="str">
        <f>""</f>
        <v/>
      </c>
      <c r="AE35" s="4" t="str">
        <f>""</f>
        <v/>
      </c>
      <c r="AF35" s="4" t="str">
        <f>""</f>
        <v/>
      </c>
      <c r="AG35" s="4" t="str">
        <f>HLOOKUP(VLOOKUP(Race,Race_stats,2,FALSE),Ethnies_total,35,FALSE)</f>
        <v/>
      </c>
    </row>
    <row r="36" spans="1:33">
      <c r="A36" s="6" t="str">
        <f>""</f>
        <v/>
      </c>
      <c r="B36" s="6" t="str">
        <f>""</f>
        <v/>
      </c>
      <c r="C36" s="6" t="str">
        <f>""</f>
        <v/>
      </c>
      <c r="D36" s="6" t="str">
        <f>""</f>
        <v/>
      </c>
      <c r="E36" s="6" t="str">
        <f>""</f>
        <v/>
      </c>
      <c r="F36" s="6" t="s">
        <v>1230</v>
      </c>
      <c r="G36" s="6" t="str">
        <f>""</f>
        <v/>
      </c>
      <c r="H36" s="6" t="str">
        <f>""</f>
        <v/>
      </c>
      <c r="I36" s="6" t="str">
        <f>""</f>
        <v/>
      </c>
      <c r="J36" s="6" t="str">
        <f>""</f>
        <v/>
      </c>
      <c r="K36" s="6" t="str">
        <f>""</f>
        <v/>
      </c>
      <c r="L36" s="6" t="str">
        <f>""</f>
        <v/>
      </c>
      <c r="M36" s="6" t="str">
        <f>""</f>
        <v/>
      </c>
      <c r="N36" s="6" t="str">
        <f>""</f>
        <v/>
      </c>
      <c r="O36" s="6" t="str">
        <f>""</f>
        <v/>
      </c>
      <c r="P36" s="6" t="str">
        <f>""</f>
        <v/>
      </c>
      <c r="Q36" s="6" t="str">
        <f>""</f>
        <v/>
      </c>
      <c r="R36" s="6" t="str">
        <f>""</f>
        <v/>
      </c>
      <c r="S36" s="6" t="str">
        <f>""</f>
        <v/>
      </c>
      <c r="T36" s="6" t="str">
        <f>""</f>
        <v/>
      </c>
      <c r="U36" s="6" t="str">
        <f>""</f>
        <v/>
      </c>
      <c r="V36" s="6" t="str">
        <f>""</f>
        <v/>
      </c>
      <c r="W36" s="6" t="str">
        <f>""</f>
        <v/>
      </c>
      <c r="X36" s="6" t="str">
        <f>""</f>
        <v/>
      </c>
      <c r="Y36" s="6" t="str">
        <f>""</f>
        <v/>
      </c>
      <c r="Z36" s="6" t="str">
        <f>""</f>
        <v/>
      </c>
      <c r="AA36" s="6" t="str">
        <f>""</f>
        <v/>
      </c>
      <c r="AB36" s="6" t="str">
        <f>""</f>
        <v/>
      </c>
      <c r="AC36" s="6" t="str">
        <f>""</f>
        <v/>
      </c>
      <c r="AD36" s="6" t="str">
        <f>""</f>
        <v/>
      </c>
      <c r="AE36" s="6" t="str">
        <f>""</f>
        <v/>
      </c>
      <c r="AF36" s="6" t="str">
        <f>""</f>
        <v/>
      </c>
      <c r="AG36" s="6" t="str">
        <f>HLOOKUP(VLOOKUP(Race,Race_stats,2,FALSE),Ethnies_total,36,FALSE)</f>
        <v/>
      </c>
    </row>
    <row r="37" spans="1:33">
      <c r="D37" s="31"/>
      <c r="E37" s="31"/>
      <c r="F37" s="31"/>
      <c r="G37" s="31"/>
    </row>
    <row r="39" spans="1:33">
      <c r="C39" s="39" t="s">
        <v>197</v>
      </c>
      <c r="D39" s="39" t="s">
        <v>198</v>
      </c>
      <c r="E39" s="39" t="s">
        <v>199</v>
      </c>
      <c r="F39" s="39" t="s">
        <v>194</v>
      </c>
      <c r="G39" s="39" t="s">
        <v>195</v>
      </c>
      <c r="H39" s="39" t="s">
        <v>196</v>
      </c>
      <c r="I39" s="39" t="s">
        <v>3917</v>
      </c>
      <c r="J39" s="39" t="s">
        <v>1363</v>
      </c>
      <c r="K39" s="39" t="s">
        <v>1364</v>
      </c>
      <c r="L39" s="39" t="s">
        <v>1365</v>
      </c>
      <c r="M39" s="39" t="s">
        <v>1366</v>
      </c>
      <c r="N39" s="39" t="s">
        <v>1367</v>
      </c>
      <c r="O39" s="39" t="s">
        <v>1368</v>
      </c>
      <c r="P39" s="39" t="s">
        <v>1369</v>
      </c>
      <c r="Q39" s="39" t="s">
        <v>1375</v>
      </c>
      <c r="R39" s="39" t="s">
        <v>1370</v>
      </c>
      <c r="S39" s="39" t="s">
        <v>1371</v>
      </c>
      <c r="T39" s="39" t="s">
        <v>1372</v>
      </c>
      <c r="U39" s="39" t="s">
        <v>1373</v>
      </c>
      <c r="V39" s="39" t="s">
        <v>1374</v>
      </c>
    </row>
    <row r="40" spans="1:33">
      <c r="A40" s="107" t="s">
        <v>179</v>
      </c>
      <c r="B40" s="108" t="s">
        <v>183</v>
      </c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9"/>
    </row>
    <row r="41" spans="1:33">
      <c r="A41" s="110">
        <v>0</v>
      </c>
      <c r="B41" s="24">
        <v>1</v>
      </c>
      <c r="C41" s="53" t="s">
        <v>305</v>
      </c>
      <c r="D41" s="53" t="s">
        <v>305</v>
      </c>
      <c r="E41" s="53" t="s">
        <v>305</v>
      </c>
      <c r="F41" s="53" t="s">
        <v>305</v>
      </c>
      <c r="G41" s="53" t="s">
        <v>305</v>
      </c>
      <c r="H41" s="53" t="s">
        <v>305</v>
      </c>
      <c r="I41" s="245" t="s">
        <v>3638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8">
        <v>0</v>
      </c>
      <c r="W41">
        <f>IF(B41=1,1,0)</f>
        <v>1</v>
      </c>
      <c r="X41" s="31"/>
    </row>
    <row r="42" spans="1:33">
      <c r="A42" s="121" t="s">
        <v>303</v>
      </c>
      <c r="B42" s="118">
        <v>9</v>
      </c>
      <c r="C42" s="112" t="str">
        <f>IF(OR(Ethnie=0,Ethnie="Standard"),VLOOKUP("Standard",Race_stats_Aarakocra,3,FALSE),VLOOKUP(Ethnie,Race_stats_Aarakocra,3,FALSE))</f>
        <v>–1</v>
      </c>
      <c r="D42" s="112" t="str">
        <f>IF(OR(Ethnie=0,Ethnie="Standard"),VLOOKUP("Standard",Race_stats_Aarakocra,4,FALSE),VLOOKUP(Ethnie,Race_stats_Aarakocra,4,FALSE))</f>
        <v>+1</v>
      </c>
      <c r="E42" s="112" t="str">
        <f>IF(OR(Ethnie=0,Ethnie="Standard"),VLOOKUP("Standard",Race_stats_Aarakocra,5,FALSE),VLOOKUP(Ethnie,Race_stats_Aarakocra,5,FALSE))</f>
        <v>–1</v>
      </c>
      <c r="F42" s="112" t="str">
        <f>IF(OR(Ethnie=0,Ethnie="Standard"),VLOOKUP("Standard",Race_stats_Aarakocra,6,FALSE),VLOOKUP(Ethnie,Race_stats_Aarakocra,6,FALSE))</f>
        <v>—</v>
      </c>
      <c r="G42" s="112" t="str">
        <f>IF(OR(Ethnie=0,Ethnie="Standard"),VLOOKUP("Standard",Race_stats_Aarakocra,7,FALSE),VLOOKUP(Ethnie,Race_stats_Aarakocra,7,FALSE))</f>
        <v>—</v>
      </c>
      <c r="H42" s="112" t="str">
        <f>IF(OR(Ethnie=0,Ethnie="Standard"),VLOOKUP("Standard",Race_stats_Aarakocra,8,FALSE),VLOOKUP(Ethnie,Race_stats_Aarakocra,8,FALSE))</f>
        <v>—</v>
      </c>
      <c r="I42" s="245" t="s">
        <v>3913</v>
      </c>
      <c r="J42" s="127">
        <f>IF(OR(Ethnie=0,Ethnie="Standard"),VLOOKUP("Standard",Race_stats_Aarakocra,10,FALSE),VLOOKUP(Ethnie,Race_stats_Aarakocra,10,FALSE))</f>
        <v>0</v>
      </c>
      <c r="K42" s="127">
        <f>IF(OR(Ethnie=0,Ethnie="Standard"),VLOOKUP("Standard",Race_stats_Aarakocra,11,FALSE),VLOOKUP(Ethnie,Race_stats_Aarakocra,11,FALSE))</f>
        <v>-0.1</v>
      </c>
      <c r="L42" s="127">
        <f>IF(OR(Ethnie=0,Ethnie="Standard"),VLOOKUP("Standard",Race_stats_Aarakocra,12,FALSE),VLOOKUP(Ethnie,Race_stats_Aarakocra,12,FALSE))</f>
        <v>0</v>
      </c>
      <c r="M42" s="127">
        <f>IF(OR(Ethnie=0,Ethnie="Standard"),VLOOKUP("Standard",Race_stats_Aarakocra,13,FALSE),VLOOKUP(Ethnie,Race_stats_Aarakocra,13,FALSE))</f>
        <v>-0.05</v>
      </c>
      <c r="N42" s="127">
        <f>IF(OR(Ethnie=0,Ethnie="Standard"),VLOOKUP("Standard",Race_stats_Aarakocra,14,FALSE),VLOOKUP(Ethnie,Race_stats_Aarakocra,14,FALSE))</f>
        <v>0</v>
      </c>
      <c r="O42" s="127">
        <f>IF(OR(Ethnie=0,Ethnie="Standard"),VLOOKUP("Standard",Race_stats_Aarakocra,15,FALSE),VLOOKUP(Ethnie,Race_stats_Aarakocra,15,FALSE))</f>
        <v>0.15</v>
      </c>
      <c r="P42" s="127">
        <f>IF(OR(Ethnie=0,Ethnie="Standard"),VLOOKUP("Standard",Race_stats_Aarakocra,16,FALSE),VLOOKUP(Ethnie,Race_stats_Aarakocra,16,FALSE))</f>
        <v>0</v>
      </c>
      <c r="Q42" s="127">
        <f>IF(OR(Ethnie=0,Ethnie="Standard"),VLOOKUP("Standard",Race_stats_Aarakocra,17,FALSE),VLOOKUP(Ethnie,Race_stats_Aarakocra,17,FALSE))</f>
        <v>-0.05</v>
      </c>
      <c r="R42" s="127">
        <f>IF(OR(Ethnie=0,Ethnie="Standard"),VLOOKUP("Standard",Race_stats_Aarakocra,18,FALSE),VLOOKUP(Ethnie,Race_stats_Aarakocra,18,FALSE))</f>
        <v>0</v>
      </c>
      <c r="S42" s="127">
        <f>IF(OR(Ethnie=0,Ethnie="Standard"),VLOOKUP("Standard",Race_stats_Aarakocra,19,FALSE),VLOOKUP(Ethnie,Race_stats_Aarakocra,19,FALSE))</f>
        <v>0</v>
      </c>
      <c r="T42" s="127">
        <f>IF(OR(Ethnie=0,Ethnie="Standard"),VLOOKUP("Standard",Race_stats_Aarakocra,20,FALSE),VLOOKUP(Ethnie,Race_stats_Aarakocra,20,FALSE))</f>
        <v>0</v>
      </c>
      <c r="U42" s="127">
        <f>IF(OR(Ethnie=0,Ethnie="Standard"),VLOOKUP("Standard",Race_stats_Aarakocra,21,FALSE),VLOOKUP(Ethnie,Race_stats_Aarakocra,21,FALSE))</f>
        <v>0</v>
      </c>
      <c r="V42" s="128">
        <f>IF(OR(Ethnie=0,Ethnie="Standard"),VLOOKUP("Standard",Race_stats_Aarakocra,22,FALSE),VLOOKUP(Ethnie,Race_stats_Aarakocra,22,FALSE))</f>
        <v>0</v>
      </c>
      <c r="W42">
        <f t="shared" ref="W42:W104" si="0">IF(B42=1,1,0)</f>
        <v>0</v>
      </c>
      <c r="X42" s="31"/>
    </row>
    <row r="43" spans="1:33">
      <c r="A43" s="111" t="s">
        <v>287</v>
      </c>
      <c r="B43" s="113">
        <v>10</v>
      </c>
      <c r="C43" s="112" t="str">
        <f>IF(OR(Ethnie=0,Ethnie="Standard"),VLOOKUP("Standard",Race_stats_Aasimar,3,FALSE),VLOOKUP(Ethnie,Race_stats_Aasimar,3,FALSE))</f>
        <v>*</v>
      </c>
      <c r="D43" s="112" t="str">
        <f>IF(OR(Ethnie=0,Ethnie="Standard"),VLOOKUP("Standard",Race_stats_Aasimar,4,FALSE),VLOOKUP(Ethnie,Race_stats_Aasimar,4,FALSE))</f>
        <v>—</v>
      </c>
      <c r="E43" s="112" t="str">
        <f>IF(OR(Ethnie=0,Ethnie="Standard"),VLOOKUP("Standard",Race_stats_Aasimar,5,FALSE),VLOOKUP(Ethnie,Race_stats_Aasimar,5,FALSE))</f>
        <v>–2</v>
      </c>
      <c r="F43" s="112" t="str">
        <f>IF(OR(Ethnie=0,Ethnie="Standard"),VLOOKUP("Standard",Race_stats_Aasimar,6,FALSE),VLOOKUP(Ethnie,Race_stats_Aasimar,6,FALSE))</f>
        <v>—</v>
      </c>
      <c r="G43" s="112" t="str">
        <f>IF(OR(Ethnie=0,Ethnie="Standard"),VLOOKUP("Standard",Race_stats_Aasimar,7,FALSE),VLOOKUP(Ethnie,Race_stats_Aasimar,7,FALSE))</f>
        <v>+1</v>
      </c>
      <c r="H43" s="112" t="str">
        <f>IF(OR(Ethnie=0,Ethnie="Standard"),VLOOKUP("Standard",Race_stats_Aasimar,8,FALSE),VLOOKUP(Ethnie,Race_stats_Aasimar,8,FALSE))</f>
        <v>*</v>
      </c>
      <c r="I43" s="245" t="str">
        <f>IF(OR(Ethnie=0,Ethnie="Standard"),"Aucune",VLOOKUP(Ethnie,Race_stats_Aasimar,9,FALSE))</f>
        <v>Aucune</v>
      </c>
      <c r="J43" s="127">
        <f>IF(OR(Ethnie=0,Ethnie="Standard"),VLOOKUP("Standard",Race_stats_Aasimar,10,FALSE),VLOOKUP(Ethnie,Race_stats_Aasimar,10,FALSE))</f>
        <v>0</v>
      </c>
      <c r="K43" s="127">
        <f>IF(OR(Ethnie=0,Ethnie="Standard"),VLOOKUP("Standard",Race_stats_Aasimar,11,FALSE),VLOOKUP(Ethnie,Race_stats_Aasimar,11,FALSE))</f>
        <v>0</v>
      </c>
      <c r="L43" s="127">
        <f>IF(OR(Ethnie=0,Ethnie="Standard"),VLOOKUP("Standard",Race_stats_Aasimar,12,FALSE),VLOOKUP(Ethnie,Race_stats_Aasimar,12,FALSE))</f>
        <v>0.1</v>
      </c>
      <c r="M43" s="127">
        <f>IF(OR(Ethnie=0,Ethnie="Standard"),VLOOKUP("Standard",Race_stats_Aasimar,13,FALSE),VLOOKUP(Ethnie,Race_stats_Aasimar,13,FALSE))</f>
        <v>0.05</v>
      </c>
      <c r="N43" s="127">
        <f>IF(OR(Ethnie=0,Ethnie="Standard"),VLOOKUP("Standard",Race_stats_Aasimar,14,FALSE),VLOOKUP(Ethnie,Race_stats_Aasimar,14,FALSE))</f>
        <v>0.1</v>
      </c>
      <c r="O43" s="127">
        <f>IF(OR(Ethnie=0,Ethnie="Standard"),VLOOKUP("Standard",Race_stats_Aasimar,15,FALSE),VLOOKUP(Ethnie,Race_stats_Aasimar,15,FALSE))</f>
        <v>0.05</v>
      </c>
      <c r="P43" s="127">
        <f>IF(OR(Ethnie=0,Ethnie="Standard"),VLOOKUP("Standard",Race_stats_Aasimar,16,FALSE),VLOOKUP(Ethnie,Race_stats_Aasimar,16,FALSE))</f>
        <v>0</v>
      </c>
      <c r="Q43" s="127">
        <f>IF(OR(Ethnie=0,Ethnie="Standard"),VLOOKUP("Standard",Race_stats_Aasimar,17,FALSE),VLOOKUP(Ethnie,Race_stats_Aasimar,17,FALSE))</f>
        <v>0</v>
      </c>
      <c r="R43" s="127">
        <f>IF(OR(Ethnie=0,Ethnie="Standard"),VLOOKUP("Standard",Race_stats_Aasimar,18,FALSE),VLOOKUP(Ethnie,Race_stats_Aasimar,18,FALSE))</f>
        <v>0.1</v>
      </c>
      <c r="S43" s="127">
        <f>IF(OR(Ethnie=0,Ethnie="Standard"),VLOOKUP("Standard",Race_stats_Aasimar,19,FALSE),VLOOKUP(Ethnie,Race_stats_Aasimar,19,FALSE))</f>
        <v>0.1</v>
      </c>
      <c r="T43" s="127">
        <f>IF(OR(Ethnie=0,Ethnie="Standard"),VLOOKUP("Standard",Race_stats_Aasimar,20,FALSE),VLOOKUP(Ethnie,Race_stats_Aasimar,20,FALSE))</f>
        <v>0</v>
      </c>
      <c r="U43" s="127">
        <f>IF(OR(Ethnie=0,Ethnie="Standard"),VLOOKUP("Standard",Race_stats_Aasimar,21,FALSE),VLOOKUP(Ethnie,Race_stats_Aasimar,21,FALSE))</f>
        <v>-0.05</v>
      </c>
      <c r="V43" s="128">
        <f>IF(OR(Ethnie=0,Ethnie="Standard"),VLOOKUP("Standard",Race_stats_Aasimar,22,FALSE),VLOOKUP(Ethnie,Race_stats_Aasimar,22,FALSE))</f>
        <v>0</v>
      </c>
      <c r="W43">
        <f t="shared" si="0"/>
        <v>0</v>
      </c>
      <c r="X43" s="31"/>
    </row>
    <row r="44" spans="1:33">
      <c r="A44" s="121" t="s">
        <v>1330</v>
      </c>
      <c r="B44" s="118">
        <v>1</v>
      </c>
      <c r="C44" s="62" t="s">
        <v>697</v>
      </c>
      <c r="D44" s="53" t="s">
        <v>305</v>
      </c>
      <c r="E44" s="53" t="s">
        <v>305</v>
      </c>
      <c r="F44" s="61" t="s">
        <v>698</v>
      </c>
      <c r="G44" s="53" t="s">
        <v>305</v>
      </c>
      <c r="H44" s="53" t="s">
        <v>305</v>
      </c>
      <c r="I44" s="245" t="s">
        <v>3914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  <c r="U44" s="127">
        <v>0</v>
      </c>
      <c r="V44" s="128">
        <v>0</v>
      </c>
      <c r="W44">
        <f t="shared" si="0"/>
        <v>1</v>
      </c>
      <c r="X44" s="31"/>
    </row>
    <row r="45" spans="1:33">
      <c r="A45" s="114" t="s">
        <v>315</v>
      </c>
      <c r="B45" s="24">
        <v>1</v>
      </c>
      <c r="C45" s="61" t="s">
        <v>698</v>
      </c>
      <c r="D45" s="62" t="s">
        <v>697</v>
      </c>
      <c r="E45" s="61" t="s">
        <v>698</v>
      </c>
      <c r="F45" s="62" t="s">
        <v>697</v>
      </c>
      <c r="G45" s="53" t="s">
        <v>305</v>
      </c>
      <c r="H45" s="53" t="s">
        <v>305</v>
      </c>
      <c r="I45" s="245">
        <v>7</v>
      </c>
      <c r="J45" s="127">
        <v>0</v>
      </c>
      <c r="K45" s="127">
        <v>0</v>
      </c>
      <c r="L45" s="127">
        <v>0</v>
      </c>
      <c r="M45" s="127">
        <v>0.1</v>
      </c>
      <c r="N45" s="127">
        <v>0.05</v>
      </c>
      <c r="O45" s="127">
        <v>0</v>
      </c>
      <c r="P45" s="127">
        <v>0.05</v>
      </c>
      <c r="Q45" s="127">
        <v>0.1</v>
      </c>
      <c r="R45" s="127">
        <v>0</v>
      </c>
      <c r="S45" s="127">
        <v>0</v>
      </c>
      <c r="T45" s="127">
        <v>0</v>
      </c>
      <c r="U45" s="127">
        <v>0</v>
      </c>
      <c r="V45" s="128">
        <v>0</v>
      </c>
      <c r="W45">
        <f t="shared" si="0"/>
        <v>1</v>
      </c>
      <c r="X45" s="31"/>
    </row>
    <row r="46" spans="1:33">
      <c r="A46" s="115" t="s">
        <v>1140</v>
      </c>
      <c r="B46" s="24">
        <v>11</v>
      </c>
      <c r="C46" s="112" t="str">
        <f>IF(OR(Ethnie=0,Ethnie="Standard"),"—",VLOOKUP(Ethnie,Race_stats_Archon,3,FALSE))</f>
        <v>—</v>
      </c>
      <c r="D46" s="112" t="str">
        <f>IF(OR(Ethnie=0,Ethnie="Standard"),"—",VLOOKUP(Ethnie,Race_stats_Archon,4,FALSE))</f>
        <v>—</v>
      </c>
      <c r="E46" s="112" t="str">
        <f>IF(OR(Ethnie=0,Ethnie="Standard"),"—",VLOOKUP(Ethnie,Race_stats_Archon,5,FALSE))</f>
        <v>—</v>
      </c>
      <c r="F46" s="112" t="str">
        <f>IF(OR(Ethnie=0,Ethnie="Standard"),"—",VLOOKUP(Ethnie,Race_stats_Archon,6,FALSE))</f>
        <v>—</v>
      </c>
      <c r="G46" s="112" t="str">
        <f>IF(OR(Ethnie=0,Ethnie="Standard"),"—",VLOOKUP(Ethnie,Race_stats_Archon,7,FALSE))</f>
        <v>—</v>
      </c>
      <c r="H46" s="112" t="str">
        <f>IF(OR(Ethnie=0,Ethnie="Standard"),"—",VLOOKUP(Ethnie,Race_stats_Archon,8,FALSE))</f>
        <v>—</v>
      </c>
      <c r="I46" s="245" t="str">
        <f>IF(OR(Ethnie=0,Ethnie="Standard"),"Aucune",VLOOKUP(Ethnie,Race_stats_Archon,9,FALSE))</f>
        <v>Aucune</v>
      </c>
      <c r="J46" s="127">
        <f>IF(OR(Ethnie=0,Ethnie="Standard"),0,VLOOKUP(Ethnie,Race_stats_Archon,10,FALSE))</f>
        <v>0</v>
      </c>
      <c r="K46" s="127">
        <f>IF(OR(Ethnie=0,Ethnie="Standard"),0,VLOOKUP(Ethnie,Race_stats_Archon,11,FALSE))</f>
        <v>0</v>
      </c>
      <c r="L46" s="127">
        <f>IF(OR(Ethnie=0,Ethnie="Standard"),0,VLOOKUP(Ethnie,Race_stats_Archon,12,FALSE))</f>
        <v>0</v>
      </c>
      <c r="M46" s="127">
        <f>IF(OR(Ethnie=0,Ethnie="Standard"),0,VLOOKUP(Ethnie,Race_stats_Archon,13,FALSE))</f>
        <v>0</v>
      </c>
      <c r="N46" s="127">
        <f>IF(OR(Ethnie=0,Ethnie="Standard"),0,VLOOKUP(Ethnie,Race_stats_Archon,14,FALSE))</f>
        <v>0</v>
      </c>
      <c r="O46" s="127">
        <f>IF(OR(Ethnie=0,Ethnie="Standard"),0,VLOOKUP(Ethnie,Race_stats_Archon,15,FALSE))</f>
        <v>0</v>
      </c>
      <c r="P46" s="127">
        <f>IF(OR(Ethnie=0,Ethnie="Standard"),0,VLOOKUP(Ethnie,Race_stats_Archon,16,FALSE))</f>
        <v>0</v>
      </c>
      <c r="Q46" s="127">
        <f>IF(OR(Ethnie=0,Ethnie="Standard"),0,VLOOKUP(Ethnie,Race_stats_Archon,17,FALSE))</f>
        <v>0</v>
      </c>
      <c r="R46" s="127">
        <f>IF(OR(Ethnie=0,Ethnie="Standard"),0,VLOOKUP(Ethnie,Race_stats_Archon,18,FALSE))</f>
        <v>0</v>
      </c>
      <c r="S46" s="127">
        <f>IF(OR(Ethnie=0,Ethnie="Standard"),0,VLOOKUP(Ethnie,Race_stats_Archon,19,FALSE))</f>
        <v>0</v>
      </c>
      <c r="T46" s="127">
        <f>IF(OR(Ethnie=0,Ethnie="Standard"),0,VLOOKUP(Ethnie,Race_stats_Archon,20,FALSE))</f>
        <v>0</v>
      </c>
      <c r="U46" s="127">
        <f>IF(OR(Ethnie=0,Ethnie="Standard"),0,VLOOKUP(Ethnie,Race_stats_Archon,21,FALSE))</f>
        <v>0</v>
      </c>
      <c r="V46" s="128">
        <f>IF(OR(Ethnie=0,Ethnie="Standard"),0,VLOOKUP(Ethnie,Race_stats_Archon,22,FALSE))</f>
        <v>0</v>
      </c>
      <c r="W46">
        <f t="shared" si="0"/>
        <v>0</v>
      </c>
      <c r="X46" s="31"/>
    </row>
    <row r="47" spans="1:33">
      <c r="A47" s="115" t="s">
        <v>322</v>
      </c>
      <c r="B47" s="24">
        <v>1</v>
      </c>
      <c r="C47" s="62" t="s">
        <v>696</v>
      </c>
      <c r="D47" s="61" t="s">
        <v>695</v>
      </c>
      <c r="E47" s="53" t="s">
        <v>305</v>
      </c>
      <c r="F47" s="61" t="s">
        <v>695</v>
      </c>
      <c r="G47" s="53" t="s">
        <v>305</v>
      </c>
      <c r="H47" s="53" t="s">
        <v>305</v>
      </c>
      <c r="I47" s="247" t="s">
        <v>3912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8">
        <v>0</v>
      </c>
      <c r="W47">
        <f t="shared" si="0"/>
        <v>1</v>
      </c>
      <c r="X47" s="31"/>
    </row>
    <row r="48" spans="1:33">
      <c r="A48" s="115" t="s">
        <v>311</v>
      </c>
      <c r="B48" s="24">
        <v>1</v>
      </c>
      <c r="C48" s="53" t="s">
        <v>305</v>
      </c>
      <c r="D48" s="53" t="s">
        <v>305</v>
      </c>
      <c r="E48" s="53" t="s">
        <v>305</v>
      </c>
      <c r="F48" s="53" t="s">
        <v>305</v>
      </c>
      <c r="G48" s="62" t="s">
        <v>697</v>
      </c>
      <c r="H48" s="53" t="s">
        <v>305</v>
      </c>
      <c r="I48" s="245">
        <v>7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8">
        <v>0</v>
      </c>
      <c r="W48">
        <f t="shared" si="0"/>
        <v>1</v>
      </c>
      <c r="X48" s="31"/>
    </row>
    <row r="49" spans="1:24">
      <c r="A49" s="115" t="s">
        <v>324</v>
      </c>
      <c r="B49" s="24">
        <v>1</v>
      </c>
      <c r="C49" s="53" t="s">
        <v>305</v>
      </c>
      <c r="D49" s="53" t="s">
        <v>305</v>
      </c>
      <c r="E49" s="61" t="s">
        <v>695</v>
      </c>
      <c r="F49" s="62" t="s">
        <v>697</v>
      </c>
      <c r="G49" s="62" t="s">
        <v>700</v>
      </c>
      <c r="H49" s="53" t="s">
        <v>305</v>
      </c>
      <c r="I49" s="245">
        <v>-2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8">
        <v>0</v>
      </c>
      <c r="W49">
        <f t="shared" si="0"/>
        <v>1</v>
      </c>
      <c r="X49" s="31"/>
    </row>
    <row r="50" spans="1:24">
      <c r="A50" s="111" t="s">
        <v>1305</v>
      </c>
      <c r="B50" s="24">
        <v>1</v>
      </c>
      <c r="C50" s="62" t="s">
        <v>696</v>
      </c>
      <c r="D50" s="53" t="s">
        <v>305</v>
      </c>
      <c r="E50" s="62" t="s">
        <v>696</v>
      </c>
      <c r="F50" s="61" t="s">
        <v>695</v>
      </c>
      <c r="G50" s="53" t="s">
        <v>305</v>
      </c>
      <c r="H50" s="61" t="s">
        <v>695</v>
      </c>
      <c r="I50" s="245">
        <v>7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8">
        <v>0</v>
      </c>
      <c r="W50">
        <f t="shared" si="0"/>
        <v>1</v>
      </c>
      <c r="X50" s="31"/>
    </row>
    <row r="51" spans="1:24">
      <c r="A51" s="111" t="s">
        <v>1323</v>
      </c>
      <c r="B51" s="24">
        <v>1</v>
      </c>
      <c r="C51" s="53" t="s">
        <v>305</v>
      </c>
      <c r="D51" s="62" t="s">
        <v>696</v>
      </c>
      <c r="E51" s="53" t="s">
        <v>305</v>
      </c>
      <c r="F51" s="61" t="s">
        <v>695</v>
      </c>
      <c r="G51" s="53" t="s">
        <v>305</v>
      </c>
      <c r="H51" s="61" t="s">
        <v>695</v>
      </c>
      <c r="I51" s="245" t="s">
        <v>1352</v>
      </c>
      <c r="J51" s="127">
        <v>0</v>
      </c>
      <c r="K51" s="127">
        <v>-0.05</v>
      </c>
      <c r="L51" s="127">
        <v>0</v>
      </c>
      <c r="M51" s="127">
        <v>0</v>
      </c>
      <c r="N51" s="127">
        <v>0.05</v>
      </c>
      <c r="O51" s="127">
        <v>0</v>
      </c>
      <c r="P51" s="127">
        <v>0</v>
      </c>
      <c r="Q51" s="127">
        <v>-0.05</v>
      </c>
      <c r="R51" s="127">
        <v>0</v>
      </c>
      <c r="S51" s="127">
        <v>0</v>
      </c>
      <c r="T51" s="127">
        <v>0</v>
      </c>
      <c r="U51" s="127">
        <v>0</v>
      </c>
      <c r="V51" s="128">
        <v>0</v>
      </c>
      <c r="W51">
        <f t="shared" si="0"/>
        <v>1</v>
      </c>
      <c r="X51" s="31"/>
    </row>
    <row r="52" spans="1:24">
      <c r="A52" s="111" t="s">
        <v>1348</v>
      </c>
      <c r="B52" s="24">
        <v>1</v>
      </c>
      <c r="C52" s="61" t="s">
        <v>695</v>
      </c>
      <c r="D52" s="62" t="s">
        <v>697</v>
      </c>
      <c r="E52" s="61" t="s">
        <v>695</v>
      </c>
      <c r="F52" s="53" t="s">
        <v>305</v>
      </c>
      <c r="G52" s="53" t="s">
        <v>305</v>
      </c>
      <c r="H52" s="53" t="s">
        <v>305</v>
      </c>
      <c r="I52" s="245" t="s">
        <v>3638</v>
      </c>
      <c r="J52" s="127">
        <v>0.05</v>
      </c>
      <c r="K52" s="127">
        <v>-0.1</v>
      </c>
      <c r="L52" s="127">
        <v>0</v>
      </c>
      <c r="M52" s="127">
        <v>0.2</v>
      </c>
      <c r="N52" s="127">
        <v>0.2</v>
      </c>
      <c r="O52" s="127">
        <v>0.15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8">
        <v>0</v>
      </c>
      <c r="W52">
        <f t="shared" si="0"/>
        <v>1</v>
      </c>
      <c r="X52" s="31"/>
    </row>
    <row r="53" spans="1:24">
      <c r="A53" s="111" t="s">
        <v>1324</v>
      </c>
      <c r="B53" s="24">
        <v>1</v>
      </c>
      <c r="C53" s="53" t="s">
        <v>305</v>
      </c>
      <c r="D53" s="61" t="s">
        <v>698</v>
      </c>
      <c r="E53" s="62" t="s">
        <v>696</v>
      </c>
      <c r="F53" s="53" t="s">
        <v>305</v>
      </c>
      <c r="G53" s="62" t="s">
        <v>696</v>
      </c>
      <c r="H53" s="53" t="s">
        <v>305</v>
      </c>
      <c r="I53" s="245" t="s">
        <v>3915</v>
      </c>
      <c r="J53" s="127">
        <v>0</v>
      </c>
      <c r="K53" s="127">
        <v>0</v>
      </c>
      <c r="L53" s="127">
        <v>0</v>
      </c>
      <c r="M53" s="127">
        <v>-0.1</v>
      </c>
      <c r="N53" s="127">
        <v>-0.05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8">
        <v>0</v>
      </c>
      <c r="W53">
        <f t="shared" si="0"/>
        <v>1</v>
      </c>
      <c r="X53" s="31"/>
    </row>
    <row r="54" spans="1:24">
      <c r="A54" s="111" t="s">
        <v>337</v>
      </c>
      <c r="B54" s="24">
        <v>1</v>
      </c>
      <c r="C54" s="53" t="s">
        <v>305</v>
      </c>
      <c r="D54" s="62" t="s">
        <v>696</v>
      </c>
      <c r="E54" s="62" t="s">
        <v>696</v>
      </c>
      <c r="F54" s="53" t="s">
        <v>305</v>
      </c>
      <c r="G54" s="53" t="s">
        <v>305</v>
      </c>
      <c r="H54" s="61" t="s">
        <v>698</v>
      </c>
      <c r="I54" s="245">
        <v>9</v>
      </c>
      <c r="J54" s="127">
        <v>-0.05</v>
      </c>
      <c r="K54" s="127">
        <v>-0.05</v>
      </c>
      <c r="L54" s="127">
        <v>0.1</v>
      </c>
      <c r="M54" s="127">
        <v>0</v>
      </c>
      <c r="N54" s="127">
        <v>0</v>
      </c>
      <c r="O54" s="127">
        <v>0.05</v>
      </c>
      <c r="P54" s="127">
        <v>0.8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8">
        <v>0</v>
      </c>
      <c r="W54">
        <f t="shared" si="0"/>
        <v>1</v>
      </c>
      <c r="X54" s="31"/>
    </row>
    <row r="55" spans="1:24">
      <c r="A55" s="111" t="s">
        <v>3991</v>
      </c>
      <c r="B55" s="24">
        <v>1</v>
      </c>
      <c r="C55" s="62" t="s">
        <v>696</v>
      </c>
      <c r="D55" s="53" t="s">
        <v>305</v>
      </c>
      <c r="E55" s="62" t="s">
        <v>696</v>
      </c>
      <c r="F55" s="61" t="s">
        <v>695</v>
      </c>
      <c r="G55" s="53" t="s">
        <v>305</v>
      </c>
      <c r="H55" s="61" t="s">
        <v>695</v>
      </c>
      <c r="I55" s="245">
        <v>4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  <c r="U55" s="127">
        <v>0</v>
      </c>
      <c r="V55" s="128">
        <v>0</v>
      </c>
      <c r="W55">
        <f t="shared" si="0"/>
        <v>1</v>
      </c>
      <c r="X55" s="31"/>
    </row>
    <row r="56" spans="1:24">
      <c r="A56" s="116" t="s">
        <v>1331</v>
      </c>
      <c r="B56" s="24">
        <v>31</v>
      </c>
      <c r="C56" s="112" t="str">
        <f>IF(OR(Ethnie=0,Ethnie="Standard"),VLOOKUP("Standard",Race_stats_Dame_cygne,3,FALSE),VLOOKUP(Ethnie,Race_stats_Dame_cygne,3,FALSE))</f>
        <v>—</v>
      </c>
      <c r="D56" s="112" t="str">
        <f>IF(OR(Ethnie=0,Ethnie="Standard"),VLOOKUP("Standard",Race_stats_Dame_cygne,4,FALSE),VLOOKUP(Ethnie,Race_stats_Dame_cygne,4,FALSE))</f>
        <v>+1</v>
      </c>
      <c r="E56" s="112" t="str">
        <f>IF(OR(Ethnie=0,Ethnie="Standard"),VLOOKUP("Standard",Race_stats_Dame_cygne,5,FALSE),VLOOKUP(Ethnie,Race_stats_Dame_cygne,5,FALSE))</f>
        <v>—</v>
      </c>
      <c r="F56" s="112" t="str">
        <f>IF(OR(Ethnie=0,Ethnie="Standard"),VLOOKUP("Standard",Race_stats_Dame_cygne,6,FALSE),VLOOKUP(Ethnie,Race_stats_Dame_cygne,6,FALSE))</f>
        <v>—</v>
      </c>
      <c r="G56" s="112" t="str">
        <f>IF(OR(Ethnie=0,Ethnie="Standard"),VLOOKUP("Standard",Race_stats_Dame_cygne,7,FALSE),VLOOKUP(Ethnie,Race_stats_Dame_cygne,7,FALSE))</f>
        <v>+1</v>
      </c>
      <c r="H56" s="112" t="str">
        <f>IF(OR(Ethnie=0,Ethnie="Standard"),VLOOKUP("Standard",Race_stats_Dame_cygne,8,FALSE),VLOOKUP(Ethnie,Race_stats_Dame_cygne,8,FALSE))</f>
        <v>—</v>
      </c>
      <c r="I56" s="245">
        <f>IF(OR(Ethnie=0,Ethnie="Standard"),7,VLOOKUP(Ethnie,Race_stats_Dame_cygne,9,FALSE))</f>
        <v>7</v>
      </c>
      <c r="J56" s="127">
        <f>IF(OR(Ethnie=0,Ethnie="Standard"),0,VLOOKUP(Ethnie,Race_stats_Dame_cygne,10,FALSE))</f>
        <v>0</v>
      </c>
      <c r="K56" s="127">
        <f>IF(OR(Ethnie=0,Ethnie="Standard"),0,VLOOKUP(Ethnie,Race_stats_Dame_cygne,11,FALSE))</f>
        <v>0</v>
      </c>
      <c r="L56" s="127">
        <f>IF(OR(Ethnie=0,Ethnie="Standard"),0,VLOOKUP(Ethnie,Race_stats_Dame_cygne,12,FALSE))</f>
        <v>0</v>
      </c>
      <c r="M56" s="127">
        <f>IF(OR(Ethnie=0,Ethnie="Standard"),0,VLOOKUP(Ethnie,Race_stats_Dame_cygne,13,FALSE))</f>
        <v>0</v>
      </c>
      <c r="N56" s="127">
        <f>IF(OR(Ethnie=0,Ethnie="Standard"),0,VLOOKUP(Ethnie,Race_stats_Dame_cygne,14,FALSE))</f>
        <v>0</v>
      </c>
      <c r="O56" s="127">
        <f>IF(OR(Ethnie=0,Ethnie="Standard"),0,VLOOKUP(Ethnie,Race_stats_Dame_cygne,15,FALSE))</f>
        <v>0</v>
      </c>
      <c r="P56" s="127">
        <f>IF(OR(Ethnie=0,Ethnie="Standard"),0,VLOOKUP(Ethnie,Race_stats_Dame_cygne,16,FALSE))</f>
        <v>0</v>
      </c>
      <c r="Q56" s="127">
        <f>IF(OR(Ethnie=0,Ethnie="Standard"),0,VLOOKUP(Ethnie,Race_stats_Dame_cygne,17,FALSE))</f>
        <v>0</v>
      </c>
      <c r="R56" s="127">
        <f>IF(OR(Ethnie=0,Ethnie="Standard"),0,VLOOKUP(Ethnie,Race_stats_Dame_cygne,18,FALSE))</f>
        <v>0</v>
      </c>
      <c r="S56" s="127">
        <f>IF(OR(Ethnie=0,Ethnie="Standard"),0,VLOOKUP(Ethnie,Race_stats_Dame_cygne,19,FALSE))</f>
        <v>0</v>
      </c>
      <c r="T56" s="127">
        <f>IF(OR(Ethnie=0,Ethnie="Standard"),0,VLOOKUP(Ethnie,Race_stats_Dame_cygne,20,FALSE))</f>
        <v>0</v>
      </c>
      <c r="U56" s="127">
        <f>IF(OR(Ethnie=0,Ethnie="Standard"),0,VLOOKUP(Ethnie,Race_stats_Dame_cygne,21,FALSE))</f>
        <v>0</v>
      </c>
      <c r="V56" s="128">
        <f>IF(OR(Ethnie=0,Ethnie="Standard"),0,VLOOKUP(Ethnie,Race_stats_Dame_cygne,22,FALSE))</f>
        <v>0</v>
      </c>
      <c r="W56">
        <f t="shared" si="0"/>
        <v>0</v>
      </c>
      <c r="X56" s="31"/>
    </row>
    <row r="57" spans="1:24">
      <c r="A57" s="111" t="s">
        <v>1326</v>
      </c>
      <c r="B57" s="24">
        <v>19</v>
      </c>
      <c r="C57" s="112" t="str">
        <f>IF(OR(Ethnie=0,Ethnie="Standard"),"—",VLOOKUP(Ethnie,Race_stats_dDragon,3,FALSE))</f>
        <v>—</v>
      </c>
      <c r="D57" s="112" t="str">
        <f>IF(OR(Ethnie=0,Ethnie="Standard"),"—",VLOOKUP(Ethnie,Race_stats_dDragon,4,FALSE))</f>
        <v>—</v>
      </c>
      <c r="E57" s="112" t="str">
        <f>IF(OR(Ethnie=0,Ethnie="Standard"),"—",VLOOKUP(Ethnie,Race_stats_dDragon,5,FALSE))</f>
        <v>—</v>
      </c>
      <c r="F57" s="112" t="str">
        <f>IF(OR(Ethnie=0,Ethnie="Standard"),"—",VLOOKUP(Ethnie,Race_stats_dDragon,6,FALSE))</f>
        <v>—</v>
      </c>
      <c r="G57" s="112" t="str">
        <f>IF(OR(Ethnie=0,Ethnie="Standard"),"—",VLOOKUP(Ethnie,Race_stats_dDragon,7,FALSE))</f>
        <v>—</v>
      </c>
      <c r="H57" s="112" t="str">
        <f>IF(OR(Ethnie=0,Ethnie="Standard"),"—",VLOOKUP(Ethnie,Race_stats_dDragon,8,FALSE))</f>
        <v>—</v>
      </c>
      <c r="I57" s="245" t="str">
        <f>IF(OR(Ethnie=0,Ethnie="Standard"),"Aucune",VLOOKUP(Ethnie,Race_stats_dDragon,10,FALSE))</f>
        <v>Aucune</v>
      </c>
      <c r="J57" s="127">
        <f>IF(OR(Ethnie=0,Ethnie="Standard"),0,VLOOKUP(Ethnie,Race_stats_dDragon,10,FALSE))</f>
        <v>0</v>
      </c>
      <c r="K57" s="127">
        <f>IF(OR(Ethnie=0,Ethnie="Standard"),0,VLOOKUP(Ethnie,Race_stats_dDragon,11,FALSE))</f>
        <v>0</v>
      </c>
      <c r="L57" s="127">
        <f>IF(OR(Ethnie=0,Ethnie="Standard"),0,VLOOKUP(Ethnie,Race_stats_dDragon,12,FALSE))</f>
        <v>0</v>
      </c>
      <c r="M57" s="127">
        <f>IF(OR(Ethnie=0,Ethnie="Standard"),0,VLOOKUP(Ethnie,Race_stats_dDragon,13,FALSE))</f>
        <v>0</v>
      </c>
      <c r="N57" s="127">
        <f>IF(OR(Ethnie=0,Ethnie="Standard"),0,VLOOKUP(Ethnie,Race_stats_dDragon,14,FALSE))</f>
        <v>0</v>
      </c>
      <c r="O57" s="127">
        <f>IF(OR(Ethnie=0,Ethnie="Standard"),0,VLOOKUP(Ethnie,Race_stats_dDragon,15,FALSE))</f>
        <v>0</v>
      </c>
      <c r="P57" s="127">
        <f>IF(OR(Ethnie=0,Ethnie="Standard"),0,VLOOKUP(Ethnie,Race_stats_dDragon,16,FALSE))</f>
        <v>0</v>
      </c>
      <c r="Q57" s="127">
        <f>IF(OR(Ethnie=0,Ethnie="Standard"),0,VLOOKUP(Ethnie,Race_stats_dDragon,17,FALSE))</f>
        <v>0</v>
      </c>
      <c r="R57" s="127">
        <f>IF(OR(Ethnie=0,Ethnie="Standard"),0,VLOOKUP(Ethnie,Race_stats_dDragon,18,FALSE))</f>
        <v>0</v>
      </c>
      <c r="S57" s="127">
        <f>IF(OR(Ethnie=0,Ethnie="Standard"),0,VLOOKUP(Ethnie,Race_stats_dDragon,19,FALSE))</f>
        <v>0</v>
      </c>
      <c r="T57" s="127">
        <f>IF(OR(Ethnie=0,Ethnie="Standard"),0,VLOOKUP(Ethnie,Race_stats_dDragon,20,FALSE))</f>
        <v>0</v>
      </c>
      <c r="U57" s="127">
        <f>IF(OR(Ethnie=0,Ethnie="Standard"),0,VLOOKUP(Ethnie,Race_stats_dDragon,21,FALSE))</f>
        <v>0</v>
      </c>
      <c r="V57" s="128">
        <f>IF(OR(Ethnie=0,Ethnie="Standard"),0,VLOOKUP(Ethnie,Race_stats_dDragon,22,FALSE))</f>
        <v>0</v>
      </c>
      <c r="W57">
        <f t="shared" si="0"/>
        <v>0</v>
      </c>
      <c r="X57" s="31"/>
    </row>
    <row r="58" spans="1:24">
      <c r="A58" s="111" t="s">
        <v>3844</v>
      </c>
      <c r="B58" s="24">
        <v>2</v>
      </c>
      <c r="C58" s="112" t="str">
        <f>IF(OR(Ethnie=0,Ethnie="Standard"),VLOOKUP("Standard",Race_stats_demi_elfe,3,FALSE),VLOOKUP(Ethnie,Race_stats_demi_elfe,3,FALSE))</f>
        <v>—</v>
      </c>
      <c r="D58" s="112" t="str">
        <f>IF(OR(Ethnie=0,Ethnie="Standard"),VLOOKUP("Standard",Race_stats_demi_elfe,4,FALSE),VLOOKUP(Ethnie,Race_stats_demi_elfe,4,FALSE))</f>
        <v>—</v>
      </c>
      <c r="E58" s="112" t="str">
        <f>IF(OR(Ethnie=0,Ethnie="Standard"),VLOOKUP("Standard",Race_stats_demi_elfe,5,FALSE),VLOOKUP(Ethnie,Race_stats_demi_elfe,5,FALSE))</f>
        <v>—</v>
      </c>
      <c r="F58" s="112" t="str">
        <f>IF(OR(Ethnie=0,Ethnie="Standard"),VLOOKUP("Standard",Race_stats_demi_elfe,6,FALSE),VLOOKUP(Ethnie,Race_stats_demi_elfe,6,FALSE))</f>
        <v>—</v>
      </c>
      <c r="G58" s="112" t="str">
        <f>IF(OR(Ethnie=0,Ethnie="Standard"),VLOOKUP("Standard",Race_stats_demi_elfe,7,FALSE),VLOOKUP(Ethnie,Race_stats_demi_elfe,7,FALSE))</f>
        <v>—</v>
      </c>
      <c r="H58" s="112" t="str">
        <f>IF(OR(Ethnie=0,Ethnie="Standard"),VLOOKUP("Standard",Race_stats_demi_elfe,8,FALSE),VLOOKUP(Ethnie,Race_stats_demi_elfe,8,FALSE))</f>
        <v>—</v>
      </c>
      <c r="I58" s="245" t="str">
        <f>IF(OR(Ethnie=0,Ethnie="Standard"),"Aucune",VLOOKUP(Ethnie,Race_stats_demi_elfe,9,FALSE))</f>
        <v>Aucune</v>
      </c>
      <c r="J58" s="127">
        <f>IF(OR(Ethnie=0,Ethnie="Standard"),VLOOKUP("Standard",Race_stats_demi_elfe,10,FALSE),VLOOKUP(Ethnie,Race_stats_demi_elfe,10,FALSE))</f>
        <v>0.1</v>
      </c>
      <c r="K58" s="127">
        <f>IF(OR(Ethnie=0,Ethnie="Standard"),VLOOKUP("Standard",Race_stats_demi_elfe,11,FALSE),VLOOKUP(Ethnie,Race_stats_demi_elfe,11,FALSE))</f>
        <v>0</v>
      </c>
      <c r="L58" s="127">
        <f>IF(OR(Ethnie=0,Ethnie="Standard"),VLOOKUP("Standard",Race_stats_demi_elfe,12,FALSE),VLOOKUP(Ethnie,Race_stats_demi_elfe,12,FALSE))</f>
        <v>0</v>
      </c>
      <c r="M58" s="127">
        <f>IF(OR(Ethnie=0,Ethnie="Standard"),VLOOKUP("Standard",Race_stats_demi_elfe,13,FALSE),VLOOKUP(Ethnie,Race_stats_demi_elfe,13,FALSE))</f>
        <v>0</v>
      </c>
      <c r="N58" s="127">
        <f>IF(OR(Ethnie=0,Ethnie="Standard"),VLOOKUP("Standard",Race_stats_demi_elfe,14,FALSE),VLOOKUP(Ethnie,Race_stats_demi_elfe,14,FALSE))</f>
        <v>0.05</v>
      </c>
      <c r="O58" s="127">
        <f>IF(OR(Ethnie=0,Ethnie="Standard"),VLOOKUP("Standard",Race_stats_demi_elfe,15,FALSE),VLOOKUP(Ethnie,Race_stats_demi_elfe,15,FALSE))</f>
        <v>0</v>
      </c>
      <c r="P58" s="127">
        <f>IF(OR(Ethnie=0,Ethnie="Standard"),VLOOKUP("Standard",Race_stats_demi_elfe,16,FALSE),VLOOKUP(Ethnie,Race_stats_demi_elfe,16,FALSE))</f>
        <v>0</v>
      </c>
      <c r="Q58" s="127">
        <f>IF(OR(Ethnie=0,Ethnie="Standard"),VLOOKUP("Standard",Race_stats_demi_elfe,17,FALSE),VLOOKUP(Ethnie,Race_stats_demi_elfe,17,FALSE))</f>
        <v>0</v>
      </c>
      <c r="R58" s="127">
        <f>IF(OR(Ethnie=0,Ethnie="Standard"),VLOOKUP("Standard",Race_stats_demi_elfe,18,FALSE),VLOOKUP(Ethnie,Race_stats_demi_elfe,18,FALSE))</f>
        <v>0.05</v>
      </c>
      <c r="S58" s="127">
        <f>IF(OR(Ethnie=0,Ethnie="Standard"),VLOOKUP("Standard",Race_stats_demi_elfe,19,FALSE),VLOOKUP(Ethnie,Race_stats_demi_elfe,19,FALSE))</f>
        <v>0.05</v>
      </c>
      <c r="T58" s="127">
        <f>IF(OR(Ethnie=0,Ethnie="Standard"),VLOOKUP("Standard",Race_stats_demi_elfe,20,FALSE),VLOOKUP(Ethnie,Race_stats_demi_elfe,20,FALSE))</f>
        <v>0.05</v>
      </c>
      <c r="U58" s="127">
        <f>IF(OR(Ethnie=0,Ethnie="Standard"),VLOOKUP("Standard",Race_stats_demi_elfe,21,FALSE),VLOOKUP(Ethnie,Race_stats_demi_elfe,21,FALSE))</f>
        <v>-0.05</v>
      </c>
      <c r="V58" s="128">
        <f>IF(OR(Ethnie=0,Ethnie="Standard"),VLOOKUP("Standard",Race_stats_demi_elfe,22,FALSE),VLOOKUP(Ethnie,Race_stats_demi_elfe,22,FALSE))</f>
        <v>0</v>
      </c>
      <c r="W58">
        <f t="shared" si="0"/>
        <v>0</v>
      </c>
      <c r="X58" s="31"/>
    </row>
    <row r="59" spans="1:24">
      <c r="A59" s="111" t="s">
        <v>181</v>
      </c>
      <c r="B59" s="24">
        <v>1</v>
      </c>
      <c r="C59" s="62" t="s">
        <v>696</v>
      </c>
      <c r="D59" s="53" t="s">
        <v>305</v>
      </c>
      <c r="E59" s="62" t="s">
        <v>696</v>
      </c>
      <c r="F59" s="61" t="s">
        <v>695</v>
      </c>
      <c r="G59" s="53" t="s">
        <v>305</v>
      </c>
      <c r="H59" s="61" t="s">
        <v>695</v>
      </c>
      <c r="I59" s="245">
        <v>8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-0.05</v>
      </c>
      <c r="S59" s="127">
        <v>-0.1</v>
      </c>
      <c r="T59" s="127">
        <v>0.05</v>
      </c>
      <c r="U59" s="127">
        <v>-0.05</v>
      </c>
      <c r="V59" s="128">
        <v>0.05</v>
      </c>
      <c r="W59">
        <f t="shared" si="0"/>
        <v>1</v>
      </c>
      <c r="X59" s="31"/>
    </row>
    <row r="60" spans="1:24">
      <c r="A60" s="111" t="s">
        <v>1327</v>
      </c>
      <c r="B60" s="24">
        <v>1</v>
      </c>
      <c r="C60" s="62" t="s">
        <v>696</v>
      </c>
      <c r="D60" s="53" t="s">
        <v>305</v>
      </c>
      <c r="E60" s="62" t="s">
        <v>696</v>
      </c>
      <c r="F60" s="53" t="s">
        <v>305</v>
      </c>
      <c r="G60" s="53" t="s">
        <v>305</v>
      </c>
      <c r="H60" s="61" t="s">
        <v>698</v>
      </c>
      <c r="I60" s="245" t="s">
        <v>3638</v>
      </c>
      <c r="J60" s="127">
        <v>-0.05</v>
      </c>
      <c r="K60" s="127">
        <v>0.05</v>
      </c>
      <c r="L60" s="127">
        <v>0.05</v>
      </c>
      <c r="M60" s="127">
        <v>0</v>
      </c>
      <c r="N60" s="127">
        <v>0</v>
      </c>
      <c r="O60" s="127">
        <v>0.05</v>
      </c>
      <c r="P60" s="127">
        <v>0.05</v>
      </c>
      <c r="Q60" s="127">
        <v>-0.1</v>
      </c>
      <c r="R60" s="127">
        <v>0</v>
      </c>
      <c r="S60" s="127">
        <v>-0.05</v>
      </c>
      <c r="T60" s="127">
        <v>0.1</v>
      </c>
      <c r="U60" s="127">
        <v>0</v>
      </c>
      <c r="V60" s="128">
        <v>0</v>
      </c>
      <c r="W60">
        <f t="shared" si="0"/>
        <v>1</v>
      </c>
      <c r="X60" s="31"/>
    </row>
    <row r="61" spans="1:24">
      <c r="A61" s="114" t="s">
        <v>342</v>
      </c>
      <c r="B61" s="24">
        <v>1</v>
      </c>
      <c r="C61" s="62" t="s">
        <v>696</v>
      </c>
      <c r="D61" s="53" t="s">
        <v>305</v>
      </c>
      <c r="E61" s="53" t="s">
        <v>305</v>
      </c>
      <c r="F61" s="53" t="s">
        <v>305</v>
      </c>
      <c r="G61" s="53" t="s">
        <v>305</v>
      </c>
      <c r="H61" s="61" t="s">
        <v>695</v>
      </c>
      <c r="I61" s="245">
        <v>4</v>
      </c>
      <c r="J61" s="127">
        <v>0.05</v>
      </c>
      <c r="K61" s="127">
        <v>0</v>
      </c>
      <c r="L61" s="127">
        <v>0</v>
      </c>
      <c r="M61" s="127">
        <v>0</v>
      </c>
      <c r="N61" s="127">
        <v>0</v>
      </c>
      <c r="O61" s="127">
        <v>0.1</v>
      </c>
      <c r="P61" s="127">
        <v>0</v>
      </c>
      <c r="Q61" s="127">
        <v>-0.15</v>
      </c>
      <c r="R61" s="127">
        <v>0</v>
      </c>
      <c r="S61" s="127">
        <v>0</v>
      </c>
      <c r="T61" s="127">
        <v>0</v>
      </c>
      <c r="U61" s="127">
        <v>0</v>
      </c>
      <c r="V61" s="128">
        <v>0</v>
      </c>
      <c r="W61">
        <f t="shared" si="0"/>
        <v>1</v>
      </c>
      <c r="X61" s="31"/>
    </row>
    <row r="62" spans="1:24">
      <c r="A62" s="111" t="s">
        <v>344</v>
      </c>
      <c r="B62" s="24">
        <v>1</v>
      </c>
      <c r="C62" s="62" t="s">
        <v>696</v>
      </c>
      <c r="D62" s="61" t="s">
        <v>695</v>
      </c>
      <c r="E62" s="53" t="s">
        <v>305</v>
      </c>
      <c r="F62" s="53" t="s">
        <v>305</v>
      </c>
      <c r="G62" s="53" t="s">
        <v>305</v>
      </c>
      <c r="H62" s="53" t="s">
        <v>305</v>
      </c>
      <c r="I62" s="245">
        <v>5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8">
        <v>0</v>
      </c>
      <c r="W62">
        <f t="shared" si="0"/>
        <v>1</v>
      </c>
      <c r="X62" s="31"/>
    </row>
    <row r="63" spans="1:24">
      <c r="A63" s="114" t="s">
        <v>1349</v>
      </c>
      <c r="B63" s="24">
        <v>1</v>
      </c>
      <c r="C63" s="61" t="s">
        <v>695</v>
      </c>
      <c r="D63" s="61" t="s">
        <v>695</v>
      </c>
      <c r="E63" s="53" t="s">
        <v>305</v>
      </c>
      <c r="F63" s="62" t="s">
        <v>697</v>
      </c>
      <c r="G63" s="53" t="s">
        <v>305</v>
      </c>
      <c r="H63" s="53" t="s">
        <v>305</v>
      </c>
      <c r="I63" s="247" t="s">
        <v>3912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8">
        <v>0</v>
      </c>
      <c r="W63">
        <f t="shared" si="0"/>
        <v>1</v>
      </c>
      <c r="X63" s="31"/>
    </row>
    <row r="64" spans="1:24">
      <c r="A64" s="111" t="s">
        <v>1141</v>
      </c>
      <c r="B64" s="24">
        <v>12</v>
      </c>
      <c r="C64" s="112" t="str">
        <f>IF(OR(Ethnie=0,Ethnie="Standard"),"—",VLOOKUP(Ethnie,Race_stats_Dragon,3,FALSE))</f>
        <v>—</v>
      </c>
      <c r="D64" s="112" t="str">
        <f>IF(OR(Ethnie=0,Ethnie="Standard"),"—",VLOOKUP(Ethnie,Race_stats_Dragon,4,FALSE))</f>
        <v>—</v>
      </c>
      <c r="E64" s="112" t="str">
        <f>IF(OR(Ethnie=0,Ethnie="Standard"),"—",VLOOKUP(Ethnie,Race_stats_Dragon,5,FALSE))</f>
        <v>—</v>
      </c>
      <c r="F64" s="112" t="str">
        <f>IF(OR(Ethnie=0,Ethnie="Standard"),"—",VLOOKUP(Ethnie,Race_stats_Dragon,6,FALSE))</f>
        <v>—</v>
      </c>
      <c r="G64" s="112" t="str">
        <f>IF(OR(Ethnie=0,Ethnie="Standard"),"—",VLOOKUP(Ethnie,Race_stats_Dragon,7,FALSE))</f>
        <v>—</v>
      </c>
      <c r="H64" s="112" t="str">
        <f>IF(OR(Ethnie=0,Ethnie="Standard"),"—",VLOOKUP(Ethnie,Race_stats_Dragon,8,FALSE))</f>
        <v>—</v>
      </c>
      <c r="I64" s="245" t="str">
        <f>IF(OR(Ethnie=0,Ethnie="Standard"),"relatif",VLOOKUP(Ethnie,Race_stats_Dragon,9,FALSE))</f>
        <v>relatif</v>
      </c>
      <c r="J64" s="127">
        <f>IF(OR(Ethnie=0,Ethnie="Standard"),0,VLOOKUP(Ethnie,Race_stats_Dragon,10,FALSE))</f>
        <v>0</v>
      </c>
      <c r="K64" s="127">
        <f>IF(OR(Ethnie=0,Ethnie="Standard"),0,VLOOKUP(Ethnie,Race_stats_Dragon,11,FALSE))</f>
        <v>0</v>
      </c>
      <c r="L64" s="127">
        <f>IF(OR(Ethnie=0,Ethnie="Standard"),0,VLOOKUP(Ethnie,Race_stats_Dragon,12,FALSE))</f>
        <v>0</v>
      </c>
      <c r="M64" s="127">
        <f>IF(OR(Ethnie=0,Ethnie="Standard"),0,VLOOKUP(Ethnie,Race_stats_Dragon,13,FALSE))</f>
        <v>0</v>
      </c>
      <c r="N64" s="127">
        <f>IF(OR(Ethnie=0,Ethnie="Standard"),0,VLOOKUP(Ethnie,Race_stats_Dragon,14,FALSE))</f>
        <v>0</v>
      </c>
      <c r="O64" s="127">
        <f>IF(OR(Ethnie=0,Ethnie="Standard"),0,VLOOKUP(Ethnie,Race_stats_Dragon,15,FALSE))</f>
        <v>0</v>
      </c>
      <c r="P64" s="127">
        <f>IF(OR(Ethnie=0,Ethnie="Standard"),0,VLOOKUP(Ethnie,Race_stats_Dragon,16,FALSE))</f>
        <v>0</v>
      </c>
      <c r="Q64" s="127">
        <f>IF(OR(Ethnie=0,Ethnie="Standard"),0,VLOOKUP(Ethnie,Race_stats_Dragon,17,FALSE))</f>
        <v>0</v>
      </c>
      <c r="R64" s="127">
        <f>IF(OR(Ethnie=0,Ethnie="Standard"),0,VLOOKUP(Ethnie,Race_stats_Dragon,18,FALSE))</f>
        <v>0</v>
      </c>
      <c r="S64" s="127">
        <f>IF(OR(Ethnie=0,Ethnie="Standard"),0,VLOOKUP(Ethnie,Race_stats_Dragon,19,FALSE))</f>
        <v>0</v>
      </c>
      <c r="T64" s="127">
        <f>IF(OR(Ethnie=0,Ethnie="Standard"),0,VLOOKUP(Ethnie,Race_stats_Dragon,20,FALSE))</f>
        <v>0</v>
      </c>
      <c r="U64" s="127">
        <f>IF(OR(Ethnie=0,Ethnie="Standard"),0,VLOOKUP(Ethnie,Race_stats_Dragon,21,FALSE))</f>
        <v>0</v>
      </c>
      <c r="V64" s="128">
        <f>IF(OR(Ethnie=0,Ethnie="Standard"),0,VLOOKUP(Ethnie,Race_stats_Dragon,22,FALSE))</f>
        <v>0</v>
      </c>
      <c r="W64">
        <f t="shared" si="0"/>
        <v>0</v>
      </c>
      <c r="X64" s="31"/>
    </row>
    <row r="65" spans="1:24">
      <c r="A65" s="115" t="s">
        <v>1142</v>
      </c>
      <c r="B65" s="24">
        <v>13</v>
      </c>
      <c r="C65" s="112" t="str">
        <f>IF(OR(Ethnie=0,Ethnie="Standard"),"—",VLOOKUP(Ethnie,Race_stats_Eladrin,3,FALSE))</f>
        <v>—</v>
      </c>
      <c r="D65" s="112" t="str">
        <f>IF(OR(Ethnie=0,Ethnie="Standard"),"—",VLOOKUP(Ethnie,Race_stats_Eladrin,4,FALSE))</f>
        <v>—</v>
      </c>
      <c r="E65" s="112" t="str">
        <f>IF(OR(Ethnie=0,Ethnie="Standard"),"—",VLOOKUP(Ethnie,Race_stats_Eladrin,5,FALSE))</f>
        <v>—</v>
      </c>
      <c r="F65" s="112" t="str">
        <f>IF(OR(Ethnie=0,Ethnie="Standard"),"—",VLOOKUP(Ethnie,Race_stats_Eladrin,6,FALSE))</f>
        <v>—</v>
      </c>
      <c r="G65" s="112" t="str">
        <f>IF(OR(Ethnie=0,Ethnie="Standard"),"—",VLOOKUP(Ethnie,Race_stats_Eladrin,7,FALSE))</f>
        <v>—</v>
      </c>
      <c r="H65" s="112" t="str">
        <f>IF(OR(Ethnie=0,Ethnie="Standard"),"—",VLOOKUP(Ethnie,Race_stats_Eladrin,8,FALSE))</f>
        <v>—</v>
      </c>
      <c r="I65" s="245" t="str">
        <f>IF(OR(Ethnie=0,Ethnie="Standard"),"Aucune",VLOOKUP(Ethnie,Race_stats_Eladrin,9,FALSE))</f>
        <v>Aucune</v>
      </c>
      <c r="J65" s="127">
        <f>IF(OR(Ethnie=0,Ethnie="Standard"),0,VLOOKUP(Ethnie,Race_stats_Eladrin,10,FALSE))</f>
        <v>0</v>
      </c>
      <c r="K65" s="127">
        <f>IF(OR(Ethnie=0,Ethnie="Standard"),0,VLOOKUP(Ethnie,Race_stats_Eladrin,11,FALSE))</f>
        <v>0</v>
      </c>
      <c r="L65" s="127">
        <f>IF(OR(Ethnie=0,Ethnie="Standard"),0,VLOOKUP(Ethnie,Race_stats_Eladrin,12,FALSE))</f>
        <v>0</v>
      </c>
      <c r="M65" s="127">
        <f>IF(OR(Ethnie=0,Ethnie="Standard"),0,VLOOKUP(Ethnie,Race_stats_Eladrin,13,FALSE))</f>
        <v>0</v>
      </c>
      <c r="N65" s="127">
        <f>IF(OR(Ethnie=0,Ethnie="Standard"),0,VLOOKUP(Ethnie,Race_stats_Eladrin,14,FALSE))</f>
        <v>0</v>
      </c>
      <c r="O65" s="127">
        <f>IF(OR(Ethnie=0,Ethnie="Standard"),0,VLOOKUP(Ethnie,Race_stats_Eladrin,15,FALSE))</f>
        <v>0</v>
      </c>
      <c r="P65" s="127">
        <f>IF(OR(Ethnie=0,Ethnie="Standard"),0,VLOOKUP(Ethnie,Race_stats_Eladrin,16,FALSE))</f>
        <v>0</v>
      </c>
      <c r="Q65" s="127">
        <f>IF(OR(Ethnie=0,Ethnie="Standard"),0,VLOOKUP(Ethnie,Race_stats_Eladrin,17,FALSE))</f>
        <v>0</v>
      </c>
      <c r="R65" s="127">
        <f>IF(OR(Ethnie=0,Ethnie="Standard"),0,VLOOKUP(Ethnie,Race_stats_Eladrin,18,FALSE))</f>
        <v>0</v>
      </c>
      <c r="S65" s="127">
        <f>IF(OR(Ethnie=0,Ethnie="Standard"),0,VLOOKUP(Ethnie,Race_stats_Eladrin,19,FALSE))</f>
        <v>0</v>
      </c>
      <c r="T65" s="127">
        <f>IF(OR(Ethnie=0,Ethnie="Standard"),0,VLOOKUP(Ethnie,Race_stats_Eladrin,20,FALSE))</f>
        <v>0</v>
      </c>
      <c r="U65" s="127">
        <f>IF(OR(Ethnie=0,Ethnie="Standard"),0,VLOOKUP(Ethnie,Race_stats_Eladrin,21,FALSE))</f>
        <v>0</v>
      </c>
      <c r="V65" s="128">
        <f>IF(OR(Ethnie=0,Ethnie="Standard"),0,VLOOKUP(Ethnie,Race_stats_Eladrin,22,FALSE))</f>
        <v>0</v>
      </c>
      <c r="W65">
        <f t="shared" si="0"/>
        <v>0</v>
      </c>
      <c r="X65" s="31"/>
    </row>
    <row r="66" spans="1:24">
      <c r="A66" s="111" t="s">
        <v>180</v>
      </c>
      <c r="B66" s="24">
        <v>6</v>
      </c>
      <c r="C66" s="112" t="str">
        <f>IF(OR(Ethnie=0,Ethnie="Standard"),VLOOKUP("Standard",Race_stats_Elfe,3,FALSE),VLOOKUP(Ethnie,Race_stats_Elfe,3,FALSE))</f>
        <v>—</v>
      </c>
      <c r="D66" s="112" t="str">
        <f>IF(OR(Ethnie=0,Ethnie="Standard"),VLOOKUP("Standard",Race_stats_Elfe,4,FALSE),VLOOKUP(Ethnie,Race_stats_Elfe,4,FALSE))</f>
        <v>+1</v>
      </c>
      <c r="E66" s="112" t="str">
        <f>IF(OR(Ethnie=0,Ethnie="Standard"),VLOOKUP("Standard",Race_stats_Elfe,5,FALSE),VLOOKUP(Ethnie,Race_stats_Elfe,5,FALSE))</f>
        <v>–1</v>
      </c>
      <c r="F66" s="112" t="str">
        <f>IF(OR(Ethnie=0,Ethnie="Standard"),VLOOKUP("Standard",Race_stats_Elfe,6,FALSE),VLOOKUP(Ethnie,Race_stats_Elfe,6,FALSE))</f>
        <v>—</v>
      </c>
      <c r="G66" s="112" t="str">
        <f>IF(OR(Ethnie=0,Ethnie="Standard"),VLOOKUP("Standard",Race_stats_Elfe,7,FALSE),VLOOKUP(Ethnie,Race_stats_Elfe,7,FALSE))</f>
        <v>—</v>
      </c>
      <c r="H66" s="112" t="str">
        <f>IF(OR(Ethnie=0,Ethnie="Standard"),VLOOKUP("Standard",Race_stats_Elfe,8,FALSE),VLOOKUP(Ethnie,Race_stats_Elfe,8,FALSE))</f>
        <v>—</v>
      </c>
      <c r="I66" s="245" t="str">
        <f>IF(OR(Ethnie=0,Ethnie="Standard"),VLOOKUP("Standard",Race_stats_Elfe,9,FALSE),VLOOKUP(Ethnie,Race_stats_Elfe,9,FALSE))</f>
        <v>Aucune</v>
      </c>
      <c r="J66" s="127">
        <f>IF(OR(Ethnie=0,Ethnie="Standard"),VLOOKUP("Standard",Race_stats_Elfe,10,FALSE),VLOOKUP(Ethnie,Race_stats_Elfe,10,FALSE))</f>
        <v>0.05</v>
      </c>
      <c r="K66" s="127">
        <f>IF(OR(Ethnie=0,Ethnie="Standard"),VLOOKUP("Standard",Race_stats_Elfe,11,FALSE),VLOOKUP(Ethnie,Race_stats_Elfe,11,FALSE))</f>
        <v>-0.05</v>
      </c>
      <c r="L66" s="127">
        <f>IF(OR(Ethnie=0,Ethnie="Standard"),VLOOKUP("Standard",Race_stats_Elfe,12,FALSE),VLOOKUP(Ethnie,Race_stats_Elfe,12,FALSE))</f>
        <v>0</v>
      </c>
      <c r="M66" s="127">
        <f>IF(OR(Ethnie=0,Ethnie="Standard"),VLOOKUP("Standard",Race_stats_Elfe,13,FALSE),VLOOKUP(Ethnie,Race_stats_Elfe,13,FALSE))</f>
        <v>0.05</v>
      </c>
      <c r="N66" s="127">
        <f>IF(OR(Ethnie=0,Ethnie="Standard"),VLOOKUP("Standard",Race_stats_Elfe,14,FALSE),VLOOKUP(Ethnie,Race_stats_Elfe,14,FALSE))</f>
        <v>0.1</v>
      </c>
      <c r="O66" s="127">
        <f>IF(OR(Ethnie=0,Ethnie="Standard"),VLOOKUP("Standard",Race_stats_Elfe,15,FALSE),VLOOKUP(Ethnie,Race_stats_Elfe,15,FALSE))</f>
        <v>0.05</v>
      </c>
      <c r="P66" s="127">
        <f>IF(OR(Ethnie=0,Ethnie="Standard"),VLOOKUP("Standard",Race_stats_Elfe,16,FALSE),VLOOKUP(Ethnie,Race_stats_Elfe,16,FALSE))</f>
        <v>0</v>
      </c>
      <c r="Q66" s="127">
        <f>IF(OR(Ethnie=0,Ethnie="Standard"),VLOOKUP("Standard",Race_stats_Elfe,17,FALSE),VLOOKUP(Ethnie,Race_stats_Elfe,17,FALSE))</f>
        <v>0</v>
      </c>
      <c r="R66" s="127">
        <f>IF(OR(Ethnie=0,Ethnie="Standard"),VLOOKUP("Standard",Race_stats_Elfe,18,FALSE),VLOOKUP(Ethnie,Race_stats_Elfe,18,FALSE))</f>
        <v>0</v>
      </c>
      <c r="S66" s="127">
        <f>IF(OR(Ethnie=0,Ethnie="Standard"),VLOOKUP("Standard",Race_stats_Elfe,19,FALSE),VLOOKUP(Ethnie,Race_stats_Elfe,19,FALSE))</f>
        <v>0</v>
      </c>
      <c r="T66" s="127">
        <f>IF(OR(Ethnie=0,Ethnie="Standard"),VLOOKUP("Standard",Race_stats_Elfe,20,FALSE),VLOOKUP(Ethnie,Race_stats_Elfe,20,FALSE))</f>
        <v>0</v>
      </c>
      <c r="U66" s="127">
        <f>IF(OR(Ethnie=0,Ethnie="Standard"),VLOOKUP("Standard",Race_stats_Elfe,21,FALSE),VLOOKUP(Ethnie,Race_stats_Elfe,21,FALSE))</f>
        <v>0</v>
      </c>
      <c r="V66" s="128">
        <f>IF(OR(Ethnie=0,Ethnie="Standard"),VLOOKUP("Standard",Race_stats_Elfe,22,FALSE),VLOOKUP(Ethnie,Race_stats_Elfe,22,FALSE))</f>
        <v>0</v>
      </c>
      <c r="W66">
        <f t="shared" si="0"/>
        <v>0</v>
      </c>
      <c r="X66" s="31"/>
    </row>
    <row r="67" spans="1:24">
      <c r="A67" s="115" t="s">
        <v>461</v>
      </c>
      <c r="B67" s="24">
        <v>1</v>
      </c>
      <c r="C67" s="61" t="s">
        <v>695</v>
      </c>
      <c r="D67" s="62" t="s">
        <v>696</v>
      </c>
      <c r="E67" s="61" t="s">
        <v>695</v>
      </c>
      <c r="F67" s="53" t="s">
        <v>305</v>
      </c>
      <c r="G67" s="53" t="s">
        <v>305</v>
      </c>
      <c r="H67" s="53" t="s">
        <v>305</v>
      </c>
      <c r="I67" s="247" t="s">
        <v>3912</v>
      </c>
      <c r="J67" s="127">
        <v>0</v>
      </c>
      <c r="K67" s="127">
        <v>0</v>
      </c>
      <c r="L67" s="127">
        <v>0</v>
      </c>
      <c r="M67" s="127">
        <v>-0.15</v>
      </c>
      <c r="N67" s="127">
        <v>0.1</v>
      </c>
      <c r="O67" s="127">
        <v>0.05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  <c r="U67" s="127">
        <v>0</v>
      </c>
      <c r="V67" s="128">
        <v>0</v>
      </c>
      <c r="W67">
        <f t="shared" si="0"/>
        <v>1</v>
      </c>
      <c r="X67" s="31"/>
    </row>
    <row r="68" spans="1:24">
      <c r="A68" s="117" t="s">
        <v>275</v>
      </c>
      <c r="B68" s="118">
        <v>8</v>
      </c>
      <c r="C68" s="112" t="str">
        <f>IF(OR(Ethnie=0,Ethnie="Standard"),"—",VLOOKUP(Ethnie,Race_stats_Genasis,3,FALSE))</f>
        <v>—</v>
      </c>
      <c r="D68" s="112" t="str">
        <f>IF(OR(Ethnie=0,Ethnie="Standard"),"—",VLOOKUP(Ethnie,Race_stats_Genasis,4,FALSE))</f>
        <v>—</v>
      </c>
      <c r="E68" s="112" t="str">
        <f>IF(OR(Ethnie=0,Ethnie="Standard"),"—",VLOOKUP(Ethnie,Race_stats_Genasis,5,FALSE))</f>
        <v>—</v>
      </c>
      <c r="F68" s="112" t="str">
        <f>IF(OR(Ethnie=0,Ethnie="Standard"),"—",VLOOKUP(Ethnie,Race_stats_Genasis,6,FALSE))</f>
        <v>—</v>
      </c>
      <c r="G68" s="112" t="str">
        <f>IF(OR(Ethnie=0,Ethnie="Standard"),"—",VLOOKUP(Ethnie,Race_stats_Genasis,7,FALSE))</f>
        <v>—</v>
      </c>
      <c r="H68" s="112" t="str">
        <f>IF(OR(Ethnie=0,Ethnie="Standard"),"—",VLOOKUP(Ethnie,Race_stats_Genasis,8,FALSE))</f>
        <v>—</v>
      </c>
      <c r="I68" s="245" t="str">
        <f>IF(OR(Ethnie=0,Ethnie="Standard"),"Aucune",VLOOKUP(Ethnie,Race_stats_Genasis,9,FALSE))</f>
        <v>Aucune</v>
      </c>
      <c r="J68" s="127">
        <f>IF(OR(Ethnie=0,Ethnie="Standard"),0,VLOOKUP(Ethnie,Race_stats_Genasis,10,FALSE))</f>
        <v>0</v>
      </c>
      <c r="K68" s="127">
        <f>IF(OR(Ethnie=0,Ethnie="Standard"),0,VLOOKUP(Ethnie,Race_stats_Genasis,11,FALSE))</f>
        <v>0</v>
      </c>
      <c r="L68" s="127">
        <f>IF(OR(Ethnie=0,Ethnie="Standard"),0,VLOOKUP(Ethnie,Race_stats_Genasis,12,FALSE))</f>
        <v>0</v>
      </c>
      <c r="M68" s="127">
        <f>IF(OR(Ethnie=0,Ethnie="Standard"),0,VLOOKUP(Ethnie,Race_stats_Genasis,13,FALSE))</f>
        <v>0</v>
      </c>
      <c r="N68" s="127">
        <f>IF(OR(Ethnie=0,Ethnie="Standard"),0,VLOOKUP(Ethnie,Race_stats_Genasis,14,FALSE))</f>
        <v>0</v>
      </c>
      <c r="O68" s="127">
        <f>IF(OR(Ethnie=0,Ethnie="Standard"),0,VLOOKUP(Ethnie,Race_stats_Genasis,15,FALSE))</f>
        <v>0</v>
      </c>
      <c r="P68" s="127">
        <f>IF(OR(Ethnie=0,Ethnie="Standard"),0,VLOOKUP(Ethnie,Race_stats_Genasis,16,FALSE))</f>
        <v>0</v>
      </c>
      <c r="Q68" s="127">
        <f>IF(OR(Ethnie=0,Ethnie="Standard"),0,VLOOKUP(Ethnie,Race_stats_Genasis,17,FALSE))</f>
        <v>0</v>
      </c>
      <c r="R68" s="127">
        <f>IF(OR(Ethnie=0,Ethnie="Standard"),0,VLOOKUP(Ethnie,Race_stats_Genasis,18,FALSE))</f>
        <v>0</v>
      </c>
      <c r="S68" s="127">
        <f>IF(OR(Ethnie=0,Ethnie="Standard"),0,VLOOKUP(Ethnie,Race_stats_Genasis,19,FALSE))</f>
        <v>0</v>
      </c>
      <c r="T68" s="127">
        <f>IF(OR(Ethnie=0,Ethnie="Standard"),0,VLOOKUP(Ethnie,Race_stats_Genasis,20,FALSE))</f>
        <v>0</v>
      </c>
      <c r="U68" s="127">
        <f>IF(OR(Ethnie=0,Ethnie="Standard"),0,VLOOKUP(Ethnie,Race_stats_Genasis,21,FALSE))</f>
        <v>0</v>
      </c>
      <c r="V68" s="128">
        <f>IF(OR(Ethnie=0,Ethnie="Standard"),0,VLOOKUP(Ethnie,Race_stats_Genasis,22,FALSE))</f>
        <v>0</v>
      </c>
      <c r="W68">
        <f t="shared" si="0"/>
        <v>0</v>
      </c>
      <c r="X68" s="31"/>
    </row>
    <row r="69" spans="1:24">
      <c r="A69" s="111" t="s">
        <v>3247</v>
      </c>
      <c r="B69" s="24">
        <v>1</v>
      </c>
      <c r="C69" s="53" t="s">
        <v>305</v>
      </c>
      <c r="D69" s="53" t="s">
        <v>305</v>
      </c>
      <c r="E69" s="62" t="s">
        <v>696</v>
      </c>
      <c r="F69" s="61" t="s">
        <v>695</v>
      </c>
      <c r="G69" s="53" t="s">
        <v>305</v>
      </c>
      <c r="H69" s="61" t="s">
        <v>695</v>
      </c>
      <c r="I69" s="245" t="s">
        <v>3638</v>
      </c>
      <c r="J69" s="127">
        <v>0</v>
      </c>
      <c r="K69" s="127">
        <v>0</v>
      </c>
      <c r="L69" s="127">
        <v>0</v>
      </c>
      <c r="M69" s="127">
        <v>-0.05</v>
      </c>
      <c r="N69" s="127">
        <v>0.05</v>
      </c>
      <c r="O69" s="127">
        <v>0</v>
      </c>
      <c r="P69" s="127">
        <v>0.05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8">
        <v>0</v>
      </c>
      <c r="W69">
        <f t="shared" si="0"/>
        <v>1</v>
      </c>
      <c r="X69" s="31"/>
    </row>
    <row r="70" spans="1:24">
      <c r="A70" s="111" t="s">
        <v>475</v>
      </c>
      <c r="B70" s="24">
        <v>1</v>
      </c>
      <c r="C70" s="62" t="s">
        <v>697</v>
      </c>
      <c r="D70" s="53" t="s">
        <v>305</v>
      </c>
      <c r="E70" s="53" t="s">
        <v>305</v>
      </c>
      <c r="F70" s="61" t="s">
        <v>695</v>
      </c>
      <c r="G70" s="53" t="s">
        <v>305</v>
      </c>
      <c r="H70" s="53" t="s">
        <v>305</v>
      </c>
      <c r="I70" s="245">
        <v>6</v>
      </c>
      <c r="J70" s="127">
        <v>0</v>
      </c>
      <c r="K70" s="127">
        <v>0.05</v>
      </c>
      <c r="L70" s="127">
        <v>0.1</v>
      </c>
      <c r="M70" s="127">
        <v>-0.05</v>
      </c>
      <c r="N70" s="127">
        <v>-0.05</v>
      </c>
      <c r="O70" s="127">
        <v>0</v>
      </c>
      <c r="P70" s="127">
        <v>-0.2</v>
      </c>
      <c r="Q70" s="127">
        <v>0.05</v>
      </c>
      <c r="R70" s="127">
        <v>0</v>
      </c>
      <c r="S70" s="127">
        <v>0</v>
      </c>
      <c r="T70" s="127">
        <v>0</v>
      </c>
      <c r="U70" s="127">
        <v>0</v>
      </c>
      <c r="V70" s="128">
        <v>0</v>
      </c>
      <c r="W70">
        <f t="shared" si="0"/>
        <v>1</v>
      </c>
      <c r="X70" s="31"/>
    </row>
    <row r="71" spans="1:24">
      <c r="A71" s="111" t="s">
        <v>289</v>
      </c>
      <c r="B71" s="24">
        <v>1</v>
      </c>
      <c r="C71" s="61" t="s">
        <v>695</v>
      </c>
      <c r="D71" s="62" t="s">
        <v>696</v>
      </c>
      <c r="E71" s="53" t="s">
        <v>305</v>
      </c>
      <c r="F71" s="62" t="s">
        <v>696</v>
      </c>
      <c r="G71" s="61" t="s">
        <v>695</v>
      </c>
      <c r="H71" s="53" t="s">
        <v>305</v>
      </c>
      <c r="I71" s="245" t="s">
        <v>3638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  <c r="U71" s="127">
        <v>0</v>
      </c>
      <c r="V71" s="128">
        <v>0</v>
      </c>
      <c r="W71">
        <f t="shared" si="0"/>
        <v>1</v>
      </c>
      <c r="X71" s="31"/>
    </row>
    <row r="72" spans="1:24">
      <c r="A72" s="111" t="s">
        <v>477</v>
      </c>
      <c r="B72" s="24">
        <v>16</v>
      </c>
      <c r="C72" s="112" t="str">
        <f>IF(OR(Ethnie=0,Ethnie="Standard"),VLOOKUP("Gnoll",Race_stats_Gnoll,3,FALSE),VLOOKUP(Ethnie,Race_stats_Gnoll,3,FALSE))</f>
        <v>+1</v>
      </c>
      <c r="D72" s="112" t="str">
        <f>IF(OR(Ethnie=0,Ethnie="Standard"),VLOOKUP("Gnoll",Race_stats_Gnoll,4,FALSE),VLOOKUP(Ethnie,Race_stats_Gnoll,4,FALSE))</f>
        <v>—</v>
      </c>
      <c r="E72" s="112" t="str">
        <f>IF(OR(Ethnie=0,Ethnie="Standard"),VLOOKUP("Gnoll",Race_stats_Gnoll,5,FALSE),VLOOKUP(Ethnie,Race_stats_Gnoll,5,FALSE))</f>
        <v>—</v>
      </c>
      <c r="F72" s="112" t="str">
        <f>IF(OR(Ethnie=0,Ethnie="Standard"),VLOOKUP("Gnoll",Race_stats_Gnoll,6,FALSE),VLOOKUP(Ethnie,Race_stats_Gnoll,6,FALSE))</f>
        <v>–1</v>
      </c>
      <c r="G72" s="112" t="str">
        <f>IF(OR(Ethnie=0,Ethnie="Standard"),VLOOKUP("Gnoll",Race_stats_Gnoll,7,FALSE),VLOOKUP(Ethnie,Race_stats_Gnoll,7,FALSE))</f>
        <v>—</v>
      </c>
      <c r="H72" s="112" t="str">
        <f>IF(OR(Ethnie=0,Ethnie="Standard"),VLOOKUP("Gnoll",Race_stats_Gnoll,8,FALSE),VLOOKUP(Ethnie,Race_stats_Gnoll,8,FALSE))</f>
        <v>–1</v>
      </c>
      <c r="I72" s="245" t="str">
        <f>IF(OR(Ethnie=0,Ethnie="Standard"),"Aucune",VLOOKUP(Ethnie,Race_stats_Gnoll,9,FALSE))</f>
        <v>Aucune</v>
      </c>
      <c r="J72" s="127">
        <f>IF(OR(Ethnie=0,Ethnie="Standard"),VLOOKUP("Gnoll",Race_stats_Gnoll,10,FALSE),VLOOKUP(Ethnie,Race_stats_Gnoll,10,FALSE))</f>
        <v>-0.05</v>
      </c>
      <c r="K72" s="127">
        <f>IF(OR(Ethnie=0,Ethnie="Standard"),VLOOKUP("Gnoll",Race_stats_Gnoll,11,FALSE),VLOOKUP(Ethnie,Race_stats_Gnoll,11,FALSE))</f>
        <v>-0.05</v>
      </c>
      <c r="L72" s="127">
        <f>IF(OR(Ethnie=0,Ethnie="Standard"),VLOOKUP("Gnoll",Race_stats_Gnoll,12,FALSE),VLOOKUP(Ethnie,Race_stats_Gnoll,12,FALSE))</f>
        <v>0</v>
      </c>
      <c r="M72" s="127">
        <f>IF(OR(Ethnie=0,Ethnie="Standard"),VLOOKUP("Gnoll",Race_stats_Gnoll,13,FALSE),VLOOKUP(Ethnie,Race_stats_Gnoll,13,FALSE))</f>
        <v>0</v>
      </c>
      <c r="N72" s="127">
        <f>IF(OR(Ethnie=0,Ethnie="Standard"),VLOOKUP("Gnoll",Race_stats_Gnoll,14,FALSE),VLOOKUP(Ethnie,Race_stats_Gnoll,14,FALSE))</f>
        <v>0.05</v>
      </c>
      <c r="O72" s="127">
        <f>IF(OR(Ethnie=0,Ethnie="Standard"),VLOOKUP("Gnoll",Race_stats_Gnoll,15,FALSE),VLOOKUP(Ethnie,Race_stats_Gnoll,15,FALSE))</f>
        <v>0.05</v>
      </c>
      <c r="P72" s="127">
        <f>IF(OR(Ethnie=0,Ethnie="Standard"),VLOOKUP("Gnoll",Race_stats_Gnoll,16,FALSE),VLOOKUP(Ethnie,Race_stats_Gnoll,16,FALSE))</f>
        <v>0</v>
      </c>
      <c r="Q72" s="127">
        <f>IF(OR(Ethnie=0,Ethnie="Standard"),VLOOKUP("Gnoll",Race_stats_Gnoll,17,FALSE),VLOOKUP(Ethnie,Race_stats_Gnoll,17,FALSE))</f>
        <v>-0.1</v>
      </c>
      <c r="R72" s="127">
        <f>IF(OR(Ethnie=0,Ethnie="Standard"),VLOOKUP("Gnoll",Race_stats_Gnoll,18,FALSE),VLOOKUP(Ethnie,Race_stats_Gnoll,18,FALSE))</f>
        <v>0</v>
      </c>
      <c r="S72" s="127">
        <f>IF(OR(Ethnie=0,Ethnie="Standard"),VLOOKUP("Gnoll",Race_stats_Gnoll,19,FALSE),VLOOKUP(Ethnie,Race_stats_Gnoll,19,FALSE))</f>
        <v>0</v>
      </c>
      <c r="T72" s="127">
        <f>IF(OR(Ethnie=0,Ethnie="Standard"),VLOOKUP("Gnoll",Race_stats_Gnoll,20,FALSE),VLOOKUP(Ethnie,Race_stats_Gnoll,20,FALSE))</f>
        <v>0</v>
      </c>
      <c r="U72" s="127">
        <f>IF(OR(Ethnie=0,Ethnie="Standard"),VLOOKUP("Gnoll",Race_stats_Gnoll,21,FALSE),VLOOKUP(Ethnie,Race_stats_Gnoll,21,FALSE))</f>
        <v>0</v>
      </c>
      <c r="V72" s="128">
        <f>IF(OR(Ethnie=0,Ethnie="Standard"),VLOOKUP("Gnoll",Race_stats_Gnoll,22,FALSE),VLOOKUP(Ethnie,Race_stats_Gnoll,22,FALSE))</f>
        <v>0</v>
      </c>
      <c r="W72">
        <f t="shared" si="0"/>
        <v>0</v>
      </c>
      <c r="X72" s="31"/>
    </row>
    <row r="73" spans="1:24">
      <c r="A73" s="111" t="s">
        <v>61</v>
      </c>
      <c r="B73" s="24">
        <v>7</v>
      </c>
      <c r="C73" s="112" t="str">
        <f>IF(OR(Ethnie=0,Ethnie="Standard"),VLOOKUP("Standard",Race_stats_Gnome,3,FALSE),VLOOKUP(Ethnie,Race_stats_Gnome,3,FALSE))</f>
        <v>—</v>
      </c>
      <c r="D73" s="112" t="str">
        <f>IF(OR(Ethnie=0,Ethnie="Standard"),VLOOKUP("Standard",Race_stats_Gnome,4,FALSE),VLOOKUP(Ethnie,Race_stats_Gnome,4,FALSE))</f>
        <v>—</v>
      </c>
      <c r="E73" s="112" t="str">
        <f>IF(OR(Ethnie=0,Ethnie="Standard"),VLOOKUP("Standard",Race_stats_Gnome,5,FALSE),VLOOKUP(Ethnie,Race_stats_Gnome,5,FALSE))</f>
        <v>—</v>
      </c>
      <c r="F73" s="112" t="str">
        <f>IF(OR(Ethnie=0,Ethnie="Standard"),VLOOKUP("Standard",Race_stats_Gnome,6,FALSE),VLOOKUP(Ethnie,Race_stats_Gnome,6,FALSE))</f>
        <v>+1</v>
      </c>
      <c r="G73" s="112" t="str">
        <f>IF(OR(Ethnie=0,Ethnie="Standard"),VLOOKUP("Standard",Race_stats_Gnome,7,FALSE),VLOOKUP(Ethnie,Race_stats_Gnome,7,FALSE))</f>
        <v>–1</v>
      </c>
      <c r="H73" s="112" t="str">
        <f>IF(OR(Ethnie=0,Ethnie="Standard"),VLOOKUP("Standard",Race_stats_Gnome,8,FALSE),VLOOKUP(Ethnie,Race_stats_Gnome,8,FALSE))</f>
        <v>—</v>
      </c>
      <c r="I73" s="245" t="str">
        <f>IF(OR(Ethnie=0,Ethnie="Standard"),VLOOKUP("Standard",Race_stats_Gnome,9,FALSE),VLOOKUP(Ethnie,Race_stats_Gnome,9,FALSE))</f>
        <v>Aucune</v>
      </c>
      <c r="J73" s="127">
        <f>IF(OR(Ethnie=0,Ethnie="Standard"),VLOOKUP("Standard",Race_stats_Gnome,10,FALSE),VLOOKUP(Ethnie,Race_stats_Gnome,10,FALSE))</f>
        <v>0</v>
      </c>
      <c r="K73" s="127">
        <f>IF(OR(Ethnie=0,Ethnie="Standard"),VLOOKUP("Standard",Race_stats_Gnome,11,FALSE),VLOOKUP(Ethnie,Race_stats_Gnome,11,FALSE))</f>
        <v>0.05</v>
      </c>
      <c r="L73" s="127">
        <f>IF(OR(Ethnie=0,Ethnie="Standard"),VLOOKUP("Standard",Race_stats_Gnome,12,FALSE),VLOOKUP(Ethnie,Race_stats_Gnome,12,FALSE))</f>
        <v>0.1</v>
      </c>
      <c r="M73" s="127">
        <f>IF(OR(Ethnie=0,Ethnie="Standard"),VLOOKUP("Standard",Race_stats_Gnome,13,FALSE),VLOOKUP(Ethnie,Race_stats_Gnome,13,FALSE))</f>
        <v>0.05</v>
      </c>
      <c r="N73" s="127">
        <f>IF(OR(Ethnie=0,Ethnie="Standard"),VLOOKUP("Standard",Race_stats_Gnome,14,FALSE),VLOOKUP(Ethnie,Race_stats_Gnome,14,FALSE))</f>
        <v>0.05</v>
      </c>
      <c r="O73" s="127">
        <f>IF(OR(Ethnie=0,Ethnie="Standard"),VLOOKUP("Standard",Race_stats_Gnome,15,FALSE),VLOOKUP(Ethnie,Race_stats_Gnome,15,FALSE))</f>
        <v>0.1</v>
      </c>
      <c r="P73" s="127">
        <f>IF(OR(Ethnie=0,Ethnie="Standard"),VLOOKUP("Standard",Race_stats_Gnome,16,FALSE),VLOOKUP(Ethnie,Race_stats_Gnome,16,FALSE))</f>
        <v>-0.15</v>
      </c>
      <c r="Q73" s="127">
        <f>IF(OR(Ethnie=0,Ethnie="Standard"),VLOOKUP("Standard",Race_stats_Gnome,17,FALSE),VLOOKUP(Ethnie,Race_stats_Gnome,17,FALSE))</f>
        <v>0</v>
      </c>
      <c r="R73" s="127">
        <f>IF(OR(Ethnie=0,Ethnie="Standard"),VLOOKUP("Standard",Race_stats_Gnome,18,FALSE),VLOOKUP(Ethnie,Race_stats_Gnome,18,FALSE))</f>
        <v>0.05</v>
      </c>
      <c r="S73" s="127">
        <f>IF(OR(Ethnie=0,Ethnie="Standard"),VLOOKUP("Standard",Race_stats_Gnome,19,FALSE),VLOOKUP(Ethnie,Race_stats_Gnome,19,FALSE))</f>
        <v>0.1</v>
      </c>
      <c r="T73" s="127">
        <f>IF(OR(Ethnie=0,Ethnie="Standard"),VLOOKUP("Standard",Race_stats_Gnome,20,FALSE),VLOOKUP(Ethnie,Race_stats_Gnome,20,FALSE))</f>
        <v>0.05</v>
      </c>
      <c r="U73" s="127">
        <f>IF(OR(Ethnie=0,Ethnie="Standard"),VLOOKUP("Standard",Race_stats_Gnome,21,FALSE),VLOOKUP(Ethnie,Race_stats_Gnome,21,FALSE))</f>
        <v>0.05</v>
      </c>
      <c r="V73" s="128">
        <f>IF(OR(Ethnie=0,Ethnie="Standard"),VLOOKUP("Standard",Race_stats_Gnome,22,FALSE),VLOOKUP(Ethnie,Race_stats_Gnome,22,FALSE))</f>
        <v>0</v>
      </c>
      <c r="W73">
        <f t="shared" si="0"/>
        <v>0</v>
      </c>
      <c r="X73" s="31"/>
    </row>
    <row r="74" spans="1:24">
      <c r="A74" s="111" t="s">
        <v>1153</v>
      </c>
      <c r="B74" s="24">
        <v>17</v>
      </c>
      <c r="C74" s="112" t="str">
        <f>IF(OR(Ethnie=0,Ethnie="Standard"),VLOOKUP("Standard",Race_stats_Gobelin,3,FALSE),VLOOKUP(Ethnie,Race_stats_Gobelin,3,FALSE))</f>
        <v>–1</v>
      </c>
      <c r="D74" s="112" t="str">
        <f>IF(OR(Ethnie=0,Ethnie="Standard"),VLOOKUP("Standard",Race_stats_Gobelin,4,FALSE),VLOOKUP(Ethnie,Race_stats_Gobelin,4,FALSE))</f>
        <v>—</v>
      </c>
      <c r="E74" s="112" t="str">
        <f>IF(OR(Ethnie=0,Ethnie="Standard"),VLOOKUP("Standard",Race_stats_Gobelin,5,FALSE),VLOOKUP(Ethnie,Race_stats_Gobelin,5,FALSE))</f>
        <v>—</v>
      </c>
      <c r="F74" s="112" t="str">
        <f>IF(OR(Ethnie=0,Ethnie="Standard"),VLOOKUP("Standard",Race_stats_Gobelin,6,FALSE),VLOOKUP(Ethnie,Race_stats_Gobelin,6,FALSE))</f>
        <v>—</v>
      </c>
      <c r="G74" s="112" t="str">
        <f>IF(OR(Ethnie=0,Ethnie="Standard"),VLOOKUP("Standard",Race_stats_Gobelin,7,FALSE),VLOOKUP(Ethnie,Race_stats_Gobelin,7,FALSE))</f>
        <v>—</v>
      </c>
      <c r="H74" s="112" t="str">
        <f>IF(OR(Ethnie=0,Ethnie="Standard"),VLOOKUP("Standard",Race_stats_Gobelin,8,FALSE),VLOOKUP(Ethnie,Race_stats_Gobelin,8,FALSE))</f>
        <v>–1</v>
      </c>
      <c r="I74" s="245" t="str">
        <f>IF(OR(Ethnie=0,Ethnie="Standard"),"Aucune",VLOOKUP(Ethnie,Race_stats_Gobelin,9,FALSE))</f>
        <v>Aucune</v>
      </c>
      <c r="J74" s="127">
        <f>IF(OR(Ethnie=0,Ethnie="Standard"),VLOOKUP("Standard",Race_stats_Gobelin,10,FALSE),VLOOKUP(Ethnie,Race_stats_Gobelin,10,FALSE))</f>
        <v>0.05</v>
      </c>
      <c r="K74" s="127">
        <f>IF(OR(Ethnie=0,Ethnie="Standard"),VLOOKUP("Standard",Race_stats_Gobelin,11,FALSE),VLOOKUP(Ethnie,Race_stats_Gobelin,11,FALSE))</f>
        <v>0</v>
      </c>
      <c r="L74" s="127">
        <f>IF(OR(Ethnie=0,Ethnie="Standard"),VLOOKUP("Standard",Race_stats_Gobelin,12,FALSE),VLOOKUP(Ethnie,Race_stats_Gobelin,12,FALSE))</f>
        <v>0.1</v>
      </c>
      <c r="M74" s="127">
        <f>IF(OR(Ethnie=0,Ethnie="Standard"),VLOOKUP("Standard",Race_stats_Gobelin,13,FALSE),VLOOKUP(Ethnie,Race_stats_Gobelin,13,FALSE))</f>
        <v>0.05</v>
      </c>
      <c r="N74" s="127">
        <f>IF(OR(Ethnie=0,Ethnie="Standard"),VLOOKUP("Standard",Race_stats_Gobelin,14,FALSE),VLOOKUP(Ethnie,Race_stats_Gobelin,14,FALSE))</f>
        <v>0.05</v>
      </c>
      <c r="O74" s="127">
        <f>IF(OR(Ethnie=0,Ethnie="Standard"),VLOOKUP("Standard",Race_stats_Gobelin,15,FALSE),VLOOKUP(Ethnie,Race_stats_Gobelin,15,FALSE))</f>
        <v>0</v>
      </c>
      <c r="P74" s="127">
        <f>IF(OR(Ethnie=0,Ethnie="Standard"),VLOOKUP("Standard",Race_stats_Gobelin,16,FALSE),VLOOKUP(Ethnie,Race_stats_Gobelin,16,FALSE))</f>
        <v>-0.1</v>
      </c>
      <c r="Q74" s="127">
        <f>IF(OR(Ethnie=0,Ethnie="Standard"),VLOOKUP("Standard",Race_stats_Gobelin,17,FALSE),VLOOKUP(Ethnie,Race_stats_Gobelin,17,FALSE))</f>
        <v>-0.1</v>
      </c>
      <c r="R74" s="127">
        <f>IF(OR(Ethnie=0,Ethnie="Standard"),VLOOKUP("Standard",Race_stats_Gobelin,18,FALSE),VLOOKUP(Ethnie,Race_stats_Gobelin,18,FALSE))</f>
        <v>0</v>
      </c>
      <c r="S74" s="127">
        <f>IF(OR(Ethnie=0,Ethnie="Standard"),VLOOKUP("Standard",Race_stats_Gobelin,19,FALSE),VLOOKUP(Ethnie,Race_stats_Gobelin,19,FALSE))</f>
        <v>0</v>
      </c>
      <c r="T74" s="127">
        <f>IF(OR(Ethnie=0,Ethnie="Standard"),VLOOKUP("Standard",Race_stats_Gobelin,20,FALSE),VLOOKUP(Ethnie,Race_stats_Gobelin,20,FALSE))</f>
        <v>0</v>
      </c>
      <c r="U74" s="127">
        <f>IF(OR(Ethnie=0,Ethnie="Standard"),VLOOKUP("Standard",Race_stats_Gobelin,21,FALSE),VLOOKUP(Ethnie,Race_stats_Gobelin,21,FALSE))</f>
        <v>0</v>
      </c>
      <c r="V74" s="128">
        <f>IF(OR(Ethnie=0,Ethnie="Standard"),VLOOKUP("Standard",Race_stats_Gobelin,22,FALSE),VLOOKUP(Ethnie,Race_stats_Gobelin,22,FALSE))</f>
        <v>0</v>
      </c>
      <c r="W74">
        <f t="shared" si="0"/>
        <v>0</v>
      </c>
      <c r="X74" s="31"/>
    </row>
    <row r="75" spans="1:24">
      <c r="A75" s="111" t="s">
        <v>1151</v>
      </c>
      <c r="B75" s="24">
        <v>1</v>
      </c>
      <c r="C75" s="62" t="s">
        <v>696</v>
      </c>
      <c r="D75" s="53" t="s">
        <v>305</v>
      </c>
      <c r="E75" s="53" t="s">
        <v>305</v>
      </c>
      <c r="F75" s="61" t="s">
        <v>695</v>
      </c>
      <c r="G75" s="53" t="s">
        <v>305</v>
      </c>
      <c r="H75" s="61" t="s">
        <v>695</v>
      </c>
      <c r="I75" s="245" t="s">
        <v>3638</v>
      </c>
      <c r="J75" s="127">
        <v>-0.05</v>
      </c>
      <c r="K75" s="127">
        <v>-0.05</v>
      </c>
      <c r="L75" s="127">
        <v>0</v>
      </c>
      <c r="M75" s="127">
        <v>0.1</v>
      </c>
      <c r="N75" s="127">
        <v>0.1</v>
      </c>
      <c r="O75" s="127">
        <v>0.05</v>
      </c>
      <c r="P75" s="127">
        <v>-0.05</v>
      </c>
      <c r="Q75" s="127">
        <v>-0.1</v>
      </c>
      <c r="R75" s="127">
        <v>0</v>
      </c>
      <c r="S75" s="127">
        <v>0</v>
      </c>
      <c r="T75" s="127">
        <v>0</v>
      </c>
      <c r="U75" s="127">
        <v>0</v>
      </c>
      <c r="V75" s="128">
        <v>0</v>
      </c>
      <c r="W75">
        <f t="shared" si="0"/>
        <v>1</v>
      </c>
      <c r="X75" s="31"/>
    </row>
    <row r="76" spans="1:24">
      <c r="A76" s="116" t="s">
        <v>495</v>
      </c>
      <c r="B76" s="24">
        <v>15</v>
      </c>
      <c r="C76" s="112" t="str">
        <f>IF(OR(Ethnie=0,Ethnie="Standard"),"—",VLOOKUP(Ethnie,Race_stats_Gremlin,3,FALSE))</f>
        <v>—</v>
      </c>
      <c r="D76" s="112" t="str">
        <f>IF(OR(Ethnie=0,Ethnie="Standard"),"—",VLOOKUP(Ethnie,Race_stats_Gremlin,4,FALSE))</f>
        <v>—</v>
      </c>
      <c r="E76" s="112" t="str">
        <f>IF(OR(Ethnie=0,Ethnie="Standard"),"—",VLOOKUP(Ethnie,Race_stats_Gremlin,5,FALSE))</f>
        <v>—</v>
      </c>
      <c r="F76" s="112" t="str">
        <f>IF(OR(Ethnie=0,Ethnie="Standard"),"—",VLOOKUP(Ethnie,Race_stats_Gremlin,6,FALSE))</f>
        <v>—</v>
      </c>
      <c r="G76" s="112" t="str">
        <f>IF(OR(Ethnie=0,Ethnie="Standard"),"—",VLOOKUP(Ethnie,Race_stats_Gremlin,7,FALSE))</f>
        <v>—</v>
      </c>
      <c r="H76" s="112" t="str">
        <f>IF(OR(Ethnie=0,Ethnie="Standard"),"—",VLOOKUP(Ethnie,Race_stats_Gremlin,8,FALSE))</f>
        <v>—</v>
      </c>
      <c r="I76" s="245">
        <f>IF(OR(Ethnie=0,Ethnie="Standard"),7,VLOOKUP(Ethnie,Race_stats_Gremlin,9,FALSE))</f>
        <v>7</v>
      </c>
      <c r="J76" s="127">
        <f>IF(OR(Ethnie=0,Ethnie="Standard"),0,VLOOKUP(Ethnie,Race_stats_Gremlin,10,FALSE))</f>
        <v>0</v>
      </c>
      <c r="K76" s="127">
        <f>IF(OR(Ethnie=0,Ethnie="Standard"),0,VLOOKUP(Ethnie,Race_stats_Gremlin,11,FALSE))</f>
        <v>0</v>
      </c>
      <c r="L76" s="127">
        <f>IF(OR(Ethnie=0,Ethnie="Standard"),0,VLOOKUP(Ethnie,Race_stats_Gremlin,12,FALSE))</f>
        <v>0</v>
      </c>
      <c r="M76" s="127">
        <f>IF(OR(Ethnie=0,Ethnie="Standard"),0,VLOOKUP(Ethnie,Race_stats_Gremlin,13,FALSE))</f>
        <v>0</v>
      </c>
      <c r="N76" s="127">
        <f>IF(OR(Ethnie=0,Ethnie="Standard"),0,VLOOKUP(Ethnie,Race_stats_Gremlin,14,FALSE))</f>
        <v>0</v>
      </c>
      <c r="O76" s="127">
        <f>IF(OR(Ethnie=0,Ethnie="Standard"),0,VLOOKUP(Ethnie,Race_stats_Gremlin,15,FALSE))</f>
        <v>0</v>
      </c>
      <c r="P76" s="127">
        <f>IF(OR(Ethnie=0,Ethnie="Standard"),0,VLOOKUP(Ethnie,Race_stats_Gremlin,16,FALSE))</f>
        <v>0</v>
      </c>
      <c r="Q76" s="127">
        <f>IF(OR(Ethnie=0,Ethnie="Standard"),0,VLOOKUP(Ethnie,Race_stats_Gremlin,17,FALSE))</f>
        <v>0</v>
      </c>
      <c r="R76" s="127">
        <f>IF(OR(Ethnie=0,Ethnie="Standard"),0,VLOOKUP(Ethnie,Race_stats_Gremlin,18,FALSE))</f>
        <v>0</v>
      </c>
      <c r="S76" s="127">
        <f>IF(OR(Ethnie=0,Ethnie="Standard"),0,VLOOKUP(Ethnie,Race_stats_Gremlin,19,FALSE))</f>
        <v>0</v>
      </c>
      <c r="T76" s="127">
        <f>IF(OR(Ethnie=0,Ethnie="Standard"),0,VLOOKUP(Ethnie,Race_stats_Gremlin,20,FALSE))</f>
        <v>0</v>
      </c>
      <c r="U76" s="127">
        <f>IF(OR(Ethnie=0,Ethnie="Standard"),0,VLOOKUP(Ethnie,Race_stats_Gremlin,21,FALSE))</f>
        <v>0</v>
      </c>
      <c r="V76" s="128">
        <f>IF(OR(Ethnie=0,Ethnie="Standard"),0,VLOOKUP(Ethnie,Race_stats_Gremlin,22,FALSE))</f>
        <v>0</v>
      </c>
      <c r="W76">
        <f t="shared" si="0"/>
        <v>0</v>
      </c>
      <c r="X76" s="31"/>
    </row>
    <row r="77" spans="1:24">
      <c r="A77" s="111" t="s">
        <v>3992</v>
      </c>
      <c r="B77" s="24">
        <v>1</v>
      </c>
      <c r="C77" s="53" t="s">
        <v>305</v>
      </c>
      <c r="D77" s="53" t="s">
        <v>305</v>
      </c>
      <c r="E77" s="62" t="s">
        <v>696</v>
      </c>
      <c r="F77" s="53" t="s">
        <v>305</v>
      </c>
      <c r="G77" s="61" t="s">
        <v>695</v>
      </c>
      <c r="H77" s="53" t="s">
        <v>305</v>
      </c>
      <c r="I77" s="245">
        <v>5</v>
      </c>
      <c r="J77" s="127">
        <v>0</v>
      </c>
      <c r="K77" s="127">
        <v>0.05</v>
      </c>
      <c r="L77" s="127">
        <v>-0.1</v>
      </c>
      <c r="M77" s="127">
        <v>0.05</v>
      </c>
      <c r="N77" s="127">
        <v>0</v>
      </c>
      <c r="O77" s="127">
        <v>0.2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8">
        <v>0</v>
      </c>
      <c r="W77">
        <f t="shared" si="0"/>
        <v>1</v>
      </c>
      <c r="X77" s="31"/>
    </row>
    <row r="78" spans="1:24">
      <c r="A78" s="111" t="s">
        <v>500</v>
      </c>
      <c r="B78" s="24">
        <v>1</v>
      </c>
      <c r="C78" s="53" t="s">
        <v>305</v>
      </c>
      <c r="D78" s="53" t="s">
        <v>305</v>
      </c>
      <c r="E78" s="53" t="s">
        <v>305</v>
      </c>
      <c r="F78" s="62" t="s">
        <v>696</v>
      </c>
      <c r="G78" s="53" t="s">
        <v>305</v>
      </c>
      <c r="H78" s="61" t="s">
        <v>695</v>
      </c>
      <c r="I78" s="245">
        <v>9</v>
      </c>
      <c r="J78" s="127">
        <v>0.05</v>
      </c>
      <c r="K78" s="127">
        <v>-0.1</v>
      </c>
      <c r="L78" s="127">
        <v>0</v>
      </c>
      <c r="M78" s="127">
        <v>0.05</v>
      </c>
      <c r="N78" s="127">
        <v>0.1</v>
      </c>
      <c r="O78" s="127">
        <v>-0.05</v>
      </c>
      <c r="P78" s="127">
        <v>0.6</v>
      </c>
      <c r="Q78" s="127">
        <v>-0.15</v>
      </c>
      <c r="R78" s="127">
        <v>0</v>
      </c>
      <c r="S78" s="127">
        <v>0</v>
      </c>
      <c r="T78" s="127">
        <v>0</v>
      </c>
      <c r="U78" s="127">
        <v>0</v>
      </c>
      <c r="V78" s="128">
        <v>0</v>
      </c>
      <c r="W78">
        <f t="shared" si="0"/>
        <v>1</v>
      </c>
      <c r="X78" s="31"/>
    </row>
    <row r="79" spans="1:24">
      <c r="A79" s="111" t="s">
        <v>1143</v>
      </c>
      <c r="B79" s="24">
        <v>1</v>
      </c>
      <c r="C79" s="112" t="str">
        <f>IF(OR(Genre=0,Genre="Autre"),"—",VLOOKUP(Genre,Race_stats_Grommam,3,FALSE))</f>
        <v>—</v>
      </c>
      <c r="D79" s="112" t="str">
        <f>IF(OR(Genre=0,Genre="Autre"),"—",VLOOKUP(Genre,Race_stats_Grommam,4,FALSE))</f>
        <v>—</v>
      </c>
      <c r="E79" s="112" t="str">
        <f>IF(OR(Genre=0,Genre="Autre"),"—",VLOOKUP(Genre,Race_stats_Grommam,5,FALSE))</f>
        <v>—</v>
      </c>
      <c r="F79" s="112" t="str">
        <f>IF(OR(Genre=0,Genre="Autre"),"—",VLOOKUP(Genre,Race_stats_Grommam,6,FALSE))</f>
        <v>—</v>
      </c>
      <c r="G79" s="112" t="str">
        <f>IF(OR(Genre=0,Genre="Autre"),"—",VLOOKUP(Genre,Race_stats_Grommam,7,FALSE))</f>
        <v>—</v>
      </c>
      <c r="H79" s="112" t="str">
        <f>IF(OR(Genre=0,Genre="Autre"),"—",VLOOKUP(Genre,Race_stats_Grommam,8,FALSE))</f>
        <v>—</v>
      </c>
      <c r="I79" s="245" t="s">
        <v>3638</v>
      </c>
      <c r="J79" s="127">
        <v>0.1</v>
      </c>
      <c r="K79" s="127">
        <v>-0.05</v>
      </c>
      <c r="L79" s="127">
        <v>-0.05</v>
      </c>
      <c r="M79" s="127">
        <v>0</v>
      </c>
      <c r="N79" s="127">
        <v>0</v>
      </c>
      <c r="O79" s="127">
        <v>0</v>
      </c>
      <c r="P79" s="127">
        <v>0.25</v>
      </c>
      <c r="Q79" s="127">
        <v>-0.05</v>
      </c>
      <c r="R79" s="127">
        <v>0</v>
      </c>
      <c r="S79" s="127">
        <v>0</v>
      </c>
      <c r="T79" s="127">
        <v>0</v>
      </c>
      <c r="U79" s="127">
        <v>0</v>
      </c>
      <c r="V79" s="128">
        <v>0</v>
      </c>
      <c r="W79">
        <f t="shared" si="0"/>
        <v>1</v>
      </c>
      <c r="X79" s="31"/>
    </row>
    <row r="80" spans="1:24">
      <c r="A80" s="115" t="s">
        <v>1144</v>
      </c>
      <c r="B80" s="24">
        <v>18</v>
      </c>
      <c r="C80" s="112" t="str">
        <f>IF(OR(Ethnie=0,Ethnie="Standard"),"—",VLOOKUP(Ethnie,Race_stats_Guardinal,3,FALSE))</f>
        <v>—</v>
      </c>
      <c r="D80" s="112" t="str">
        <f>IF(OR(Ethnie=0,Ethnie="Standard"),"—",VLOOKUP(Ethnie,Race_stats_Guardinal,4,FALSE))</f>
        <v>—</v>
      </c>
      <c r="E80" s="112" t="str">
        <f>IF(OR(Ethnie=0,Ethnie="Standard"),"—",VLOOKUP(Ethnie,Race_stats_Guardinal,5,FALSE))</f>
        <v>—</v>
      </c>
      <c r="F80" s="112" t="str">
        <f>IF(OR(Ethnie=0,Ethnie="Standard"),"—",VLOOKUP(Ethnie,Race_stats_Guardinal,6,FALSE))</f>
        <v>—</v>
      </c>
      <c r="G80" s="112" t="str">
        <f>IF(OR(Ethnie=0,Ethnie="Standard"),"—",VLOOKUP(Ethnie,Race_stats_Guardinal,7,FALSE))</f>
        <v>—</v>
      </c>
      <c r="H80" s="112" t="str">
        <f>IF(OR(Ethnie=0,Ethnie="Standard"),"—",VLOOKUP(Ethnie,Race_stats_Guardinal,8,FALSE))</f>
        <v>—</v>
      </c>
      <c r="I80" s="245" t="str">
        <f>IF(OR(Ethnie=0,Ethnie="Standard"),"Aucune",VLOOKUP(Ethnie,Race_stats_Guardinal,9,FALSE))</f>
        <v>Aucune</v>
      </c>
      <c r="J80" s="127">
        <f>IF(OR(Ethnie=0,Ethnie="Standard"),0,VLOOKUP(Ethnie,Race_stats_Guardinal,10,FALSE))</f>
        <v>0</v>
      </c>
      <c r="K80" s="127">
        <f>IF(OR(Ethnie=0,Ethnie="Standard"),0,VLOOKUP(Ethnie,Race_stats_Guardinal,11,FALSE))</f>
        <v>0</v>
      </c>
      <c r="L80" s="127">
        <f>IF(OR(Ethnie=0,Ethnie="Standard"),0,VLOOKUP(Ethnie,Race_stats_Guardinal,12,FALSE))</f>
        <v>0</v>
      </c>
      <c r="M80" s="127">
        <f>IF(OR(Ethnie=0,Ethnie="Standard"),0,VLOOKUP(Ethnie,Race_stats_Guardinal,13,FALSE))</f>
        <v>0</v>
      </c>
      <c r="N80" s="127">
        <f>IF(OR(Ethnie=0,Ethnie="Standard"),0,VLOOKUP(Ethnie,Race_stats_Guardinal,14,FALSE))</f>
        <v>0</v>
      </c>
      <c r="O80" s="127">
        <f>IF(OR(Ethnie=0,Ethnie="Standard"),0,VLOOKUP(Ethnie,Race_stats_Guardinal,15,FALSE))</f>
        <v>0</v>
      </c>
      <c r="P80" s="127">
        <f>IF(OR(Ethnie=0,Ethnie="Standard"),0,VLOOKUP(Ethnie,Race_stats_Guardinal,16,FALSE))</f>
        <v>0</v>
      </c>
      <c r="Q80" s="127">
        <f>IF(OR(Ethnie=0,Ethnie="Standard"),0,VLOOKUP(Ethnie,Race_stats_Guardinal,17,FALSE))</f>
        <v>0</v>
      </c>
      <c r="R80" s="127">
        <f>IF(OR(Ethnie=0,Ethnie="Standard"),0,VLOOKUP(Ethnie,Race_stats_Guardinal,18,FALSE))</f>
        <v>0</v>
      </c>
      <c r="S80" s="127">
        <f>IF(OR(Ethnie=0,Ethnie="Standard"),0,VLOOKUP(Ethnie,Race_stats_Guardinal,19,FALSE))</f>
        <v>0</v>
      </c>
      <c r="T80" s="127">
        <f>IF(OR(Ethnie=0,Ethnie="Standard"),0,VLOOKUP(Ethnie,Race_stats_Guardinal,20,FALSE))</f>
        <v>0</v>
      </c>
      <c r="U80" s="127">
        <f>IF(OR(Ethnie=0,Ethnie="Standard"),0,VLOOKUP(Ethnie,Race_stats_Guardinal,21,FALSE))</f>
        <v>0</v>
      </c>
      <c r="V80" s="128">
        <f>IF(OR(Ethnie=0,Ethnie="Standard"),0,VLOOKUP(Ethnie,Race_stats_Guardinal,22,FALSE))</f>
        <v>0</v>
      </c>
      <c r="W80">
        <f t="shared" si="0"/>
        <v>0</v>
      </c>
      <c r="X80" s="31"/>
    </row>
    <row r="81" spans="1:24">
      <c r="A81" s="111" t="s">
        <v>509</v>
      </c>
      <c r="B81" s="24">
        <v>1</v>
      </c>
      <c r="C81" s="53" t="s">
        <v>305</v>
      </c>
      <c r="D81" s="62" t="s">
        <v>696</v>
      </c>
      <c r="E81" s="53" t="s">
        <v>305</v>
      </c>
      <c r="F81" s="53" t="s">
        <v>305</v>
      </c>
      <c r="G81" s="53" t="s">
        <v>305</v>
      </c>
      <c r="H81" s="61" t="s">
        <v>695</v>
      </c>
      <c r="I81" s="245">
        <v>6</v>
      </c>
      <c r="J81" s="127">
        <v>0.05</v>
      </c>
      <c r="K81" s="127">
        <v>0.05</v>
      </c>
      <c r="L81" s="127">
        <v>0.05</v>
      </c>
      <c r="M81" s="127">
        <v>-0.05</v>
      </c>
      <c r="N81" s="127">
        <v>0</v>
      </c>
      <c r="O81" s="127">
        <v>0</v>
      </c>
      <c r="P81" s="127">
        <v>0.2</v>
      </c>
      <c r="Q81" s="127">
        <v>-0.05</v>
      </c>
      <c r="R81" s="127">
        <v>0</v>
      </c>
      <c r="S81" s="127">
        <v>0</v>
      </c>
      <c r="T81" s="127">
        <v>0</v>
      </c>
      <c r="U81" s="127">
        <v>0</v>
      </c>
      <c r="V81" s="128">
        <v>0</v>
      </c>
      <c r="W81">
        <f t="shared" si="0"/>
        <v>1</v>
      </c>
      <c r="X81" s="31"/>
    </row>
    <row r="82" spans="1:24">
      <c r="A82" s="111" t="s">
        <v>1145</v>
      </c>
      <c r="B82" s="24">
        <v>20</v>
      </c>
      <c r="C82" s="112" t="str">
        <f>IF(OR(Ethnie=0,Ethnie="Standard"),"—",VLOOKUP(Ethnie,Race_stats_Hengeyokai,3,FALSE))</f>
        <v>—</v>
      </c>
      <c r="D82" s="112" t="str">
        <f>IF(OR(Ethnie=0,Ethnie="Standard"),"—",VLOOKUP(Ethnie,Race_stats_Hengeyokai,4,FALSE))</f>
        <v>—</v>
      </c>
      <c r="E82" s="112" t="str">
        <f>IF(OR(Ethnie=0,Ethnie="Standard"),"—",VLOOKUP(Ethnie,Race_stats_Hengeyokai,5,FALSE))</f>
        <v>—</v>
      </c>
      <c r="F82" s="112" t="str">
        <f>IF(OR(Ethnie=0,Ethnie="Standard"),"—",VLOOKUP(Ethnie,Race_stats_Hengeyokai,6,FALSE))</f>
        <v>—</v>
      </c>
      <c r="G82" s="112" t="str">
        <f>IF(OR(Ethnie=0,Ethnie="Standard"),"—",VLOOKUP(Ethnie,Race_stats_Hengeyokai,7,FALSE))</f>
        <v>—</v>
      </c>
      <c r="H82" s="112" t="str">
        <f>IF(OR(Ethnie=0,Ethnie="Standard"),"—",VLOOKUP(Ethnie,Race_stats_Hengeyokai,8,FALSE))</f>
        <v>—</v>
      </c>
      <c r="I82" s="245" t="str">
        <f>IF(OR(Ethnie=0,Ethnie="Standard"),"Aucune",VLOOKUP(Ethnie,Race_stats_Hengeyokai,9,FALSE))</f>
        <v>Aucune</v>
      </c>
      <c r="J82" s="127">
        <f>IF(OR(Ethnie=0,Ethnie="Standard"),0,VLOOKUP(Ethnie,Race_stats_Hengeyokai,10,FALSE))</f>
        <v>0</v>
      </c>
      <c r="K82" s="127">
        <f>IF(OR(Ethnie=0,Ethnie="Standard"),0,VLOOKUP(Ethnie,Race_stats_Hengeyokai,11,FALSE))</f>
        <v>0</v>
      </c>
      <c r="L82" s="127">
        <f>IF(OR(Ethnie=0,Ethnie="Standard"),0,VLOOKUP(Ethnie,Race_stats_Hengeyokai,12,FALSE))</f>
        <v>0</v>
      </c>
      <c r="M82" s="127">
        <f>IF(OR(Ethnie=0,Ethnie="Standard"),0,VLOOKUP(Ethnie,Race_stats_Hengeyokai,13,FALSE))</f>
        <v>0</v>
      </c>
      <c r="N82" s="127">
        <f>IF(OR(Ethnie=0,Ethnie="Standard"),0,VLOOKUP(Ethnie,Race_stats_Hengeyokai,14,FALSE))</f>
        <v>0</v>
      </c>
      <c r="O82" s="127">
        <f>IF(OR(Ethnie=0,Ethnie="Standard"),0,VLOOKUP(Ethnie,Race_stats_Hengeyokai,15,FALSE))</f>
        <v>0</v>
      </c>
      <c r="P82" s="127">
        <f>IF(OR(Ethnie=0,Ethnie="Standard"),0,VLOOKUP(Ethnie,Race_stats_Hengeyokai,16,FALSE))</f>
        <v>0</v>
      </c>
      <c r="Q82" s="127">
        <f>IF(OR(Ethnie=0,Ethnie="Standard"),0,VLOOKUP(Ethnie,Race_stats_Hengeyokai,17,FALSE))</f>
        <v>0</v>
      </c>
      <c r="R82" s="127">
        <f>IF(OR(Ethnie=0,Ethnie="Standard"),0,VLOOKUP(Ethnie,Race_stats_Hengeyokai,18,FALSE))</f>
        <v>0</v>
      </c>
      <c r="S82" s="127">
        <f>IF(OR(Ethnie=0,Ethnie="Standard"),0,VLOOKUP(Ethnie,Race_stats_Hengeyokai,19,FALSE))</f>
        <v>0</v>
      </c>
      <c r="T82" s="127">
        <f>IF(OR(Ethnie=0,Ethnie="Standard"),0,VLOOKUP(Ethnie,Race_stats_Hengeyokai,20,FALSE))</f>
        <v>0</v>
      </c>
      <c r="U82" s="127">
        <f>IF(OR(Ethnie=0,Ethnie="Standard"),0,VLOOKUP(Ethnie,Race_stats_Hengeyokai,21,FALSE))</f>
        <v>0</v>
      </c>
      <c r="V82" s="128">
        <f>IF(OR(Ethnie=0,Ethnie="Standard"),0,VLOOKUP(Ethnie,Race_stats_Hengeyokai,22,FALSE))</f>
        <v>0</v>
      </c>
      <c r="W82">
        <f t="shared" si="0"/>
        <v>0</v>
      </c>
      <c r="X82" s="31"/>
    </row>
    <row r="83" spans="1:24">
      <c r="A83" s="111" t="s">
        <v>1154</v>
      </c>
      <c r="B83" s="24">
        <v>21</v>
      </c>
      <c r="C83" s="112" t="str">
        <f>IF(OR(Ethnie=0,Ethnie="Standard"),VLOOKUP("Standard",Race_stats_Hobgobelin,3,FALSE),VLOOKUP(Ethnie,Race_stats_Hobgobelin,3,FALSE))</f>
        <v>—</v>
      </c>
      <c r="D83" s="112" t="str">
        <f>IF(OR(Ethnie=0,Ethnie="Standard"),VLOOKUP("Standard",Race_stats_Hobgobelin,4,FALSE),VLOOKUP(Ethnie,Race_stats_Hobgobelin,4,FALSE))</f>
        <v>—</v>
      </c>
      <c r="E83" s="112" t="str">
        <f>IF(OR(Ethnie=0,Ethnie="Standard"),VLOOKUP("Standard",Race_stats_Hobgobelin,5,FALSE),VLOOKUP(Ethnie,Race_stats_Hobgobelin,5,FALSE))</f>
        <v>—</v>
      </c>
      <c r="F83" s="112" t="str">
        <f>IF(OR(Ethnie=0,Ethnie="Standard"),VLOOKUP("Standard",Race_stats_Hobgobelin,6,FALSE),VLOOKUP(Ethnie,Race_stats_Hobgobelin,6,FALSE))</f>
        <v>—</v>
      </c>
      <c r="G83" s="112" t="str">
        <f>IF(OR(Ethnie=0,Ethnie="Standard"),VLOOKUP("Standard",Race_stats_Hobgobelin,7,FALSE),VLOOKUP(Ethnie,Race_stats_Hobgobelin,7,FALSE))</f>
        <v>—</v>
      </c>
      <c r="H83" s="112" t="str">
        <f>IF(OR(Ethnie=0,Ethnie="Standard"),VLOOKUP("Standard",Race_stats_Hobgobelin,8,FALSE),VLOOKUP(Ethnie,Race_stats_Hobgobelin,8,FALSE))</f>
        <v>–1</v>
      </c>
      <c r="I83" s="245" t="str">
        <f>IF(OR(Ethnie=0,Ethnie="Standard"),VLOOKUP("Standard",Race_stats_Hobgobelin,9,FALSE),VLOOKUP(Ethnie,Race_stats_Hobgobelin,9,FALSE))</f>
        <v>Aucune</v>
      </c>
      <c r="J83" s="127">
        <f>IF(OR(Ethnie=0,Ethnie="Standard"),VLOOKUP("Standard",Race_stats_Hobgobelin,10,FALSE),VLOOKUP(Ethnie,Race_stats_Hobgobelin,10,FALSE))</f>
        <v>0</v>
      </c>
      <c r="K83" s="127">
        <f>IF(OR(Ethnie=0,Ethnie="Standard"),VLOOKUP("Standard",Race_stats_Hobgobelin,11,FALSE),VLOOKUP(Ethnie,Race_stats_Hobgobelin,11,FALSE))</f>
        <v>0.05</v>
      </c>
      <c r="L83" s="127">
        <f>IF(OR(Ethnie=0,Ethnie="Standard"),VLOOKUP("Standard",Race_stats_Hobgobelin,12,FALSE),VLOOKUP(Ethnie,Race_stats_Hobgobelin,12,FALSE))</f>
        <v>0.05</v>
      </c>
      <c r="M83" s="127">
        <f>IF(OR(Ethnie=0,Ethnie="Standard"),VLOOKUP("Standard",Race_stats_Hobgobelin,13,FALSE),VLOOKUP(Ethnie,Race_stats_Hobgobelin,13,FALSE))</f>
        <v>0</v>
      </c>
      <c r="N83" s="127">
        <f>IF(OR(Ethnie=0,Ethnie="Standard"),VLOOKUP("Standard",Race_stats_Hobgobelin,14,FALSE),VLOOKUP(Ethnie,Race_stats_Hobgobelin,14,FALSE))</f>
        <v>0</v>
      </c>
      <c r="O83" s="127">
        <f>IF(OR(Ethnie=0,Ethnie="Standard"),VLOOKUP("Standard",Race_stats_Hobgobelin,15,FALSE),VLOOKUP(Ethnie,Race_stats_Hobgobelin,15,FALSE))</f>
        <v>0</v>
      </c>
      <c r="P83" s="127">
        <f>IF(OR(Ethnie=0,Ethnie="Standard"),VLOOKUP("Standard",Race_stats_Hobgobelin,16,FALSE),VLOOKUP(Ethnie,Race_stats_Hobgobelin,16,FALSE))</f>
        <v>0</v>
      </c>
      <c r="Q83" s="127">
        <f>IF(OR(Ethnie=0,Ethnie="Standard"),VLOOKUP("Standard",Race_stats_Hobgobelin,17,FALSE),VLOOKUP(Ethnie,Race_stats_Hobgobelin,17,FALSE))</f>
        <v>-0.1</v>
      </c>
      <c r="R83" s="127">
        <f>IF(OR(Ethnie=0,Ethnie="Standard"),VLOOKUP("Standard",Race_stats_Hobgobelin,18,FALSE),VLOOKUP(Ethnie,Race_stats_Hobgobelin,18,FALSE))</f>
        <v>0</v>
      </c>
      <c r="S83" s="127">
        <f>IF(OR(Ethnie=0,Ethnie="Standard"),VLOOKUP("Standard",Race_stats_Hobgobelin,19,FALSE),VLOOKUP(Ethnie,Race_stats_Hobgobelin,19,FALSE))</f>
        <v>0</v>
      </c>
      <c r="T83" s="127">
        <f>IF(OR(Ethnie=0,Ethnie="Standard"),VLOOKUP("Standard",Race_stats_Hobgobelin,20,FALSE),VLOOKUP(Ethnie,Race_stats_Hobgobelin,20,FALSE))</f>
        <v>0</v>
      </c>
      <c r="U83" s="127">
        <f>IF(OR(Ethnie=0,Ethnie="Standard"),VLOOKUP("Standard",Race_stats_Hobgobelin,21,FALSE),VLOOKUP(Ethnie,Race_stats_Hobgobelin,21,FALSE))</f>
        <v>0</v>
      </c>
      <c r="V83" s="128">
        <f>IF(OR(Ethnie=0,Ethnie="Standard"),VLOOKUP("Standard",Race_stats_Hobgobelin,22,FALSE),VLOOKUP(Ethnie,Race_stats_Hobgobelin,22,FALSE))</f>
        <v>0</v>
      </c>
      <c r="W83">
        <f t="shared" si="0"/>
        <v>0</v>
      </c>
      <c r="X83" s="31"/>
    </row>
    <row r="84" spans="1:24">
      <c r="A84" s="111" t="s">
        <v>1328</v>
      </c>
      <c r="B84" s="24">
        <v>1</v>
      </c>
      <c r="C84" s="119" t="s">
        <v>710</v>
      </c>
      <c r="D84" s="119" t="s">
        <v>710</v>
      </c>
      <c r="E84" s="119" t="s">
        <v>710</v>
      </c>
      <c r="F84" s="61" t="s">
        <v>695</v>
      </c>
      <c r="G84" s="119" t="s">
        <v>710</v>
      </c>
      <c r="H84" s="61" t="s">
        <v>695</v>
      </c>
      <c r="I84" s="245" t="s">
        <v>3915</v>
      </c>
      <c r="J84" s="127">
        <v>0.05</v>
      </c>
      <c r="K84" s="127">
        <v>0</v>
      </c>
      <c r="L84" s="127">
        <v>0</v>
      </c>
      <c r="M84" s="127">
        <v>0.05</v>
      </c>
      <c r="N84" s="127">
        <v>0.05</v>
      </c>
      <c r="O84" s="127">
        <v>0.05</v>
      </c>
      <c r="P84" s="127">
        <v>-0.05</v>
      </c>
      <c r="Q84" s="127">
        <v>-0.05</v>
      </c>
      <c r="R84" s="127">
        <v>0</v>
      </c>
      <c r="S84" s="127">
        <v>0</v>
      </c>
      <c r="T84" s="127">
        <v>0</v>
      </c>
      <c r="U84" s="127">
        <v>0</v>
      </c>
      <c r="V84" s="128">
        <v>0</v>
      </c>
      <c r="W84">
        <f t="shared" si="0"/>
        <v>1</v>
      </c>
      <c r="X84" s="31"/>
    </row>
    <row r="85" spans="1:24">
      <c r="A85" s="111" t="s">
        <v>1329</v>
      </c>
      <c r="B85" s="24">
        <v>1</v>
      </c>
      <c r="C85" s="53" t="s">
        <v>305</v>
      </c>
      <c r="D85" s="62" t="s">
        <v>697</v>
      </c>
      <c r="E85" s="53" t="s">
        <v>305</v>
      </c>
      <c r="F85" s="53" t="s">
        <v>305</v>
      </c>
      <c r="G85" s="53" t="s">
        <v>305</v>
      </c>
      <c r="H85" s="61" t="s">
        <v>698</v>
      </c>
      <c r="I85" s="245" t="s">
        <v>3916</v>
      </c>
      <c r="J85" s="127">
        <v>0</v>
      </c>
      <c r="K85" s="127">
        <v>-0.05</v>
      </c>
      <c r="L85" s="127">
        <v>-0.05</v>
      </c>
      <c r="M85" s="127">
        <v>0.05</v>
      </c>
      <c r="N85" s="127">
        <v>0.05</v>
      </c>
      <c r="O85" s="127">
        <v>0</v>
      </c>
      <c r="P85" s="127">
        <v>0.05</v>
      </c>
      <c r="Q85" s="127">
        <v>-0.05</v>
      </c>
      <c r="R85" s="127">
        <v>0</v>
      </c>
      <c r="S85" s="127">
        <v>0</v>
      </c>
      <c r="T85" s="127">
        <v>0</v>
      </c>
      <c r="U85" s="127">
        <v>0</v>
      </c>
      <c r="V85" s="128">
        <v>0</v>
      </c>
      <c r="W85">
        <f t="shared" si="0"/>
        <v>1</v>
      </c>
      <c r="X85" s="31"/>
    </row>
    <row r="86" spans="1:24">
      <c r="A86" s="111" t="s">
        <v>1332</v>
      </c>
      <c r="B86" s="24">
        <v>24</v>
      </c>
      <c r="C86" s="112" t="str">
        <f>IF(OR(Ethnie=0,Ethnie="Standard"),"—",VLOOKUP(Ethnie,Race_stats_Lézard,3,FALSE))</f>
        <v>—</v>
      </c>
      <c r="D86" s="112" t="str">
        <f>IF(OR(Ethnie=0,Ethnie="Standard"),"—",VLOOKUP(Ethnie,Race_stats_Lézard,4,FALSE))</f>
        <v>—</v>
      </c>
      <c r="E86" s="112" t="str">
        <f>IF(OR(Ethnie=0,Ethnie="Standard"),"—",VLOOKUP(Ethnie,Race_stats_Lézard,5,FALSE))</f>
        <v>—</v>
      </c>
      <c r="F86" s="112" t="str">
        <f>IF(OR(Ethnie=0,Ethnie="Standard"),"—",VLOOKUP(Ethnie,Race_stats_Lézard,6,FALSE))</f>
        <v>—</v>
      </c>
      <c r="G86" s="112" t="str">
        <f>IF(OR(Ethnie=0,Ethnie="Standard"),"—",VLOOKUP(Ethnie,Race_stats_Lézard,7,FALSE))</f>
        <v>—</v>
      </c>
      <c r="H86" s="112" t="str">
        <f>IF(OR(Ethnie=0,Ethnie="Standard"),"—",VLOOKUP(Ethnie,Race_stats_Lézard,8,FALSE))</f>
        <v>—</v>
      </c>
      <c r="I86" s="245" t="s">
        <v>3915</v>
      </c>
      <c r="J86" s="127">
        <f>IF(OR(Ethnie=0,Ethnie="Standard"),VLOOKUP("Standard",Race_stats_Lézard,10,FALSE),VLOOKUP(Ethnie,Race_stats_Lézard,10,FALSE))</f>
        <v>-0.05</v>
      </c>
      <c r="K86" s="127">
        <f>IF(OR(Ethnie=0,Ethnie="Standard"),VLOOKUP("Standard",Race_stats_Lézard,11,FALSE),VLOOKUP(Ethnie,Race_stats_Lézard,11,FALSE))</f>
        <v>-0.05</v>
      </c>
      <c r="L86" s="127">
        <f>IF(OR(Ethnie=0,Ethnie="Standard"),VLOOKUP("Standard",Race_stats_Lézard,12,FALSE),VLOOKUP(Ethnie,Race_stats_Lézard,12,FALSE))</f>
        <v>0</v>
      </c>
      <c r="M86" s="127">
        <f>IF(OR(Ethnie=0,Ethnie="Standard"),VLOOKUP("Standard",Race_stats_Lézard,13,FALSE),VLOOKUP(Ethnie,Race_stats_Lézard,13,FALSE))</f>
        <v>0.05</v>
      </c>
      <c r="N86" s="127">
        <f>IF(OR(Ethnie=0,Ethnie="Standard"),VLOOKUP("Standard",Race_stats_Lézard,14,FALSE),VLOOKUP(Ethnie,Race_stats_Lézard,14,FALSE))</f>
        <v>0.05</v>
      </c>
      <c r="O86" s="127">
        <f>IF(OR(Ethnie=0,Ethnie="Standard"),VLOOKUP("Standard",Race_stats_Lézard,15,FALSE),VLOOKUP(Ethnie,Race_stats_Lézard,15,FALSE))</f>
        <v>0.05</v>
      </c>
      <c r="P86" s="127">
        <f>IF(OR(Ethnie=0,Ethnie="Standard"),VLOOKUP("Standard",Race_stats_Lézard,16,FALSE),VLOOKUP(Ethnie,Race_stats_Lézard,16,FALSE))</f>
        <v>-0.05</v>
      </c>
      <c r="Q86" s="127">
        <f>IF(OR(Ethnie=0,Ethnie="Standard"),VLOOKUP("Standard",Race_stats_Lézard,17,FALSE),VLOOKUP(Ethnie,Race_stats_Lézard,17,FALSE))</f>
        <v>-0.05</v>
      </c>
      <c r="R86" s="127">
        <f>IF(OR(Ethnie=0,Ethnie="Standard"),VLOOKUP("Standard",Race_stats_Lézard,18,FALSE),VLOOKUP(Ethnie,Race_stats_Lézard,18,FALSE))</f>
        <v>0</v>
      </c>
      <c r="S86" s="127">
        <f>IF(OR(Ethnie=0,Ethnie="Standard"),VLOOKUP("Standard",Race_stats_Lézard,19,FALSE),VLOOKUP(Ethnie,Race_stats_Lézard,19,FALSE))</f>
        <v>0</v>
      </c>
      <c r="T86" s="127">
        <f>IF(OR(Ethnie=0,Ethnie="Standard"),VLOOKUP("Standard",Race_stats_Lézard,20,FALSE),VLOOKUP(Ethnie,Race_stats_Lézard,20,FALSE))</f>
        <v>0</v>
      </c>
      <c r="U86" s="127">
        <f>IF(OR(Ethnie=0,Ethnie="Standard"),VLOOKUP("Standard",Race_stats_Lézard,21,FALSE),VLOOKUP(Ethnie,Race_stats_Lézard,21,FALSE))</f>
        <v>0</v>
      </c>
      <c r="V86" s="128">
        <f>IF(OR(Ethnie=0,Ethnie="Standard"),VLOOKUP("Standard",Race_stats_Lézard,22,FALSE),VLOOKUP(Ethnie,Race_stats_Lézard,22,FALSE))</f>
        <v>0</v>
      </c>
      <c r="W86">
        <f t="shared" si="0"/>
        <v>0</v>
      </c>
      <c r="X86" s="31"/>
    </row>
    <row r="87" spans="1:24">
      <c r="A87" s="116" t="s">
        <v>60</v>
      </c>
      <c r="B87" s="24">
        <v>5</v>
      </c>
      <c r="C87" s="112" t="str">
        <f>IF(OR(Ethnie=0,Ethnie="Standard"),VLOOKUP("Standard",Race_stats_Humain,3,FALSE),VLOOKUP(Ethnie,Race_stats_Humain,3,FALSE))</f>
        <v>—</v>
      </c>
      <c r="D87" s="112" t="str">
        <f>IF(OR(Ethnie=0,Ethnie="Standard"),VLOOKUP("Standard",Race_stats_Humain,4,FALSE),VLOOKUP(Ethnie,Race_stats_Humain,4,FALSE))</f>
        <v>—</v>
      </c>
      <c r="E87" s="112" t="str">
        <f>IF(OR(Ethnie=0,Ethnie="Standard"),VLOOKUP("Standard",Race_stats_Humain,5,FALSE),VLOOKUP(Ethnie,Race_stats_Humain,5,FALSE))</f>
        <v>—</v>
      </c>
      <c r="F87" s="112" t="str">
        <f>IF(OR(Ethnie=0,Ethnie="Standard"),VLOOKUP("Standard",Race_stats_Humain,6,FALSE),VLOOKUP(Ethnie,Race_stats_Humain,6,FALSE))</f>
        <v>—</v>
      </c>
      <c r="G87" s="112" t="str">
        <f>IF(OR(Ethnie=0,Ethnie="Standard"),VLOOKUP("Standard",Race_stats_Humain,7,FALSE),VLOOKUP(Ethnie,Race_stats_Humain,7,FALSE))</f>
        <v>—</v>
      </c>
      <c r="H87" s="112" t="str">
        <f>IF(OR(Ethnie=0,Ethnie="Standard"),VLOOKUP("Standard",Race_stats_Humain,8,FALSE),VLOOKUP(Ethnie,Race_stats_Humain,8,FALSE))</f>
        <v>—</v>
      </c>
      <c r="I87" s="245" t="str">
        <f>IF(OR(Ethnie=0,Ethnie="Standard"),VLOOKUP("Standard",Race_stats_Humain,9,FALSE),VLOOKUP(Ethnie,Race_stats_Humain,9,FALSE))</f>
        <v>Aucune</v>
      </c>
      <c r="J87" s="127">
        <f>IF(OR(Ethnie=0,Ethnie="Standard"),VLOOKUP("Standard",Race_stats_Humain,10,FALSE),VLOOKUP(Ethnie,Race_stats_Humain,10,FALSE))</f>
        <v>0</v>
      </c>
      <c r="K87" s="127">
        <f>IF(OR(Ethnie=0,Ethnie="Standard"),VLOOKUP("Standard",Race_stats_Humain,11,FALSE),VLOOKUP(Ethnie,Race_stats_Humain,11,FALSE))</f>
        <v>0</v>
      </c>
      <c r="L87" s="127">
        <f>IF(OR(Ethnie=0,Ethnie="Standard"),VLOOKUP("Standard",Race_stats_Humain,12,FALSE),VLOOKUP(Ethnie,Race_stats_Humain,12,FALSE))</f>
        <v>0</v>
      </c>
      <c r="M87" s="127">
        <f>IF(OR(Ethnie=0,Ethnie="Standard"),VLOOKUP("Standard",Race_stats_Humain,13,FALSE),VLOOKUP(Ethnie,Race_stats_Humain,13,FALSE))</f>
        <v>0</v>
      </c>
      <c r="N87" s="127">
        <f>IF(OR(Ethnie=0,Ethnie="Standard"),VLOOKUP("Standard",Race_stats_Humain,14,FALSE),VLOOKUP(Ethnie,Race_stats_Humain,14,FALSE))</f>
        <v>0</v>
      </c>
      <c r="O87" s="127">
        <f>IF(OR(Ethnie=0,Ethnie="Standard"),VLOOKUP("Standard",Race_stats_Humain,15,FALSE),VLOOKUP(Ethnie,Race_stats_Humain,15,FALSE))</f>
        <v>0</v>
      </c>
      <c r="P87" s="127">
        <f>IF(OR(Ethnie=0,Ethnie="Standard"),VLOOKUP("Standard",Race_stats_Humain,16,FALSE),VLOOKUP(Ethnie,Race_stats_Humain,16,FALSE))</f>
        <v>0</v>
      </c>
      <c r="Q87" s="127">
        <f>IF(OR(Ethnie=0,Ethnie="Standard"),VLOOKUP("Standard",Race_stats_Humain,17,FALSE),VLOOKUP(Ethnie,Race_stats_Humain,17,FALSE))</f>
        <v>0</v>
      </c>
      <c r="R87" s="127">
        <f>IF(OR(Ethnie=0,Ethnie="Standard"),VLOOKUP("Standard",Race_stats_Humain,18,FALSE),VLOOKUP(Ethnie,Race_stats_Humain,18,FALSE))</f>
        <v>0</v>
      </c>
      <c r="S87" s="127">
        <f>IF(OR(Ethnie=0,Ethnie="Standard"),VLOOKUP("Standard",Race_stats_Humain,19,FALSE),VLOOKUP(Ethnie,Race_stats_Humain,19,FALSE))</f>
        <v>0</v>
      </c>
      <c r="T87" s="127">
        <f>IF(OR(Ethnie=0,Ethnie="Standard"),VLOOKUP("Standard",Race_stats_Humain,20,FALSE),VLOOKUP(Ethnie,Race_stats_Humain,20,FALSE))</f>
        <v>0</v>
      </c>
      <c r="U87" s="127">
        <f>IF(OR(Ethnie=0,Ethnie="Standard"),VLOOKUP("Standard",Race_stats_Humain,21,FALSE),VLOOKUP(Ethnie,Race_stats_Humain,21,FALSE))</f>
        <v>0</v>
      </c>
      <c r="V87" s="128">
        <f>IF(OR(Ethnie=0,Ethnie="Standard"),VLOOKUP("Standard",Race_stats_Humain,22,FALSE),VLOOKUP(Ethnie,Race_stats_Humain,22,FALSE))</f>
        <v>0</v>
      </c>
      <c r="W87">
        <f t="shared" si="0"/>
        <v>0</v>
      </c>
      <c r="X87" s="31"/>
    </row>
    <row r="88" spans="1:24">
      <c r="A88" s="115" t="s">
        <v>583</v>
      </c>
      <c r="B88" s="24">
        <v>1</v>
      </c>
      <c r="C88" s="53" t="s">
        <v>305</v>
      </c>
      <c r="D88" s="53" t="s">
        <v>305</v>
      </c>
      <c r="E88" s="61" t="s">
        <v>695</v>
      </c>
      <c r="F88" s="53" t="s">
        <v>305</v>
      </c>
      <c r="G88" s="62" t="s">
        <v>696</v>
      </c>
      <c r="H88" s="53" t="s">
        <v>305</v>
      </c>
      <c r="I88" s="245">
        <v>5</v>
      </c>
      <c r="J88" s="127">
        <v>0</v>
      </c>
      <c r="K88" s="127">
        <v>0.05</v>
      </c>
      <c r="L88" s="127">
        <v>0.05</v>
      </c>
      <c r="M88" s="127">
        <v>0.05</v>
      </c>
      <c r="N88" s="127">
        <v>-0.05</v>
      </c>
      <c r="O88" s="127">
        <v>0</v>
      </c>
      <c r="P88" s="127">
        <v>-0.1</v>
      </c>
      <c r="Q88" s="127">
        <v>0.05</v>
      </c>
      <c r="R88" s="127">
        <v>0</v>
      </c>
      <c r="S88" s="127">
        <v>0</v>
      </c>
      <c r="T88" s="127">
        <v>0</v>
      </c>
      <c r="U88" s="127">
        <v>0</v>
      </c>
      <c r="V88" s="128">
        <v>0</v>
      </c>
      <c r="W88">
        <f t="shared" si="0"/>
        <v>1</v>
      </c>
      <c r="X88" s="31"/>
    </row>
    <row r="89" spans="1:24">
      <c r="A89" s="111" t="s">
        <v>584</v>
      </c>
      <c r="B89" s="24">
        <v>22</v>
      </c>
      <c r="C89" s="112" t="str">
        <f>IF(OR(Ethnie=0,Ethnie="Standard"),VLOOKUP("Standard",Race_stats_Kender,3,FALSE),VLOOKUP(Ethnie,Race_stats_Kender,3,FALSE))</f>
        <v>–1</v>
      </c>
      <c r="D89" s="112" t="str">
        <f>IF(OR(Ethnie=0,Ethnie="Standard"),VLOOKUP("Standard",Race_stats_Kender,4,FALSE),VLOOKUP(Ethnie,Race_stats_Kender,4,FALSE))</f>
        <v>+2</v>
      </c>
      <c r="E89" s="112" t="str">
        <f>IF(OR(Ethnie=0,Ethnie="Standard"),VLOOKUP("Standard",Race_stats_Kender,5,FALSE),VLOOKUP(Ethnie,Race_stats_Kender,5,FALSE))</f>
        <v>—</v>
      </c>
      <c r="F89" s="112" t="str">
        <f>IF(OR(Ethnie=0,Ethnie="Standard"),VLOOKUP("Standard",Race_stats_Kender,6,FALSE),VLOOKUP(Ethnie,Race_stats_Kender,6,FALSE))</f>
        <v>—</v>
      </c>
      <c r="G89" s="112" t="str">
        <f>IF(OR(Ethnie=0,Ethnie="Standard"),VLOOKUP("Standard",Race_stats_Kender,7,FALSE),VLOOKUP(Ethnie,Race_stats_Kender,7,FALSE))</f>
        <v>—</v>
      </c>
      <c r="H89" s="112" t="str">
        <f>IF(OR(Ethnie=0,Ethnie="Standard"),VLOOKUP("Standard",Race_stats_Kender,8,FALSE),VLOOKUP(Ethnie,Race_stats_Kender,8,FALSE))</f>
        <v>—</v>
      </c>
      <c r="I89" s="245" t="str">
        <f>IF(OR(Ethnie=0,Ethnie="Standard"),VLOOKUP("Standard",Race_stats_Kender,9,FALSE),VLOOKUP(Ethnie,Race_stats_Kender,9,FALSE))</f>
        <v>Aucune</v>
      </c>
      <c r="J89" s="127">
        <f>IF(OR(Ethnie=0,Ethnie="Standard"),VLOOKUP("Standard",Race_stats_Kender,10,FALSE),VLOOKUP(Ethnie,Race_stats_Kender,10,FALSE))</f>
        <v>0</v>
      </c>
      <c r="K89" s="127">
        <f>IF(OR(Ethnie=0,Ethnie="Standard"),VLOOKUP("Standard",Race_stats_Kender,11,FALSE),VLOOKUP(Ethnie,Race_stats_Kender,11,FALSE))</f>
        <v>0</v>
      </c>
      <c r="L89" s="127">
        <f>IF(OR(Ethnie=0,Ethnie="Standard"),VLOOKUP("Standard",Race_stats_Kender,12,FALSE),VLOOKUP(Ethnie,Race_stats_Kender,12,FALSE))</f>
        <v>0</v>
      </c>
      <c r="M89" s="127">
        <f>IF(OR(Ethnie=0,Ethnie="Standard"),VLOOKUP("Standard",Race_stats_Kender,13,FALSE),VLOOKUP(Ethnie,Race_stats_Kender,13,FALSE))</f>
        <v>0</v>
      </c>
      <c r="N89" s="127">
        <f>IF(OR(Ethnie=0,Ethnie="Standard"),VLOOKUP("Standard",Race_stats_Kender,14,FALSE),VLOOKUP(Ethnie,Race_stats_Kender,14,FALSE))</f>
        <v>0</v>
      </c>
      <c r="O89" s="127">
        <f>IF(OR(Ethnie=0,Ethnie="Standard"),VLOOKUP("Standard",Race_stats_Kender,15,FALSE),VLOOKUP(Ethnie,Race_stats_Kender,15,FALSE))</f>
        <v>0</v>
      </c>
      <c r="P89" s="127">
        <f>IF(OR(Ethnie=0,Ethnie="Standard"),VLOOKUP("Standard",Race_stats_Kender,16,FALSE),VLOOKUP(Ethnie,Race_stats_Kender,16,FALSE))</f>
        <v>0</v>
      </c>
      <c r="Q89" s="127">
        <f>IF(OR(Ethnie=0,Ethnie="Standard"),VLOOKUP("Standard",Race_stats_Kender,17,FALSE),VLOOKUP(Ethnie,Race_stats_Kender,17,FALSE))</f>
        <v>0</v>
      </c>
      <c r="R89" s="127">
        <f>IF(OR(Ethnie=0,Ethnie="Standard"),VLOOKUP("Standard",Race_stats_Kender,18,FALSE),VLOOKUP(Ethnie,Race_stats_Kender,18,FALSE))</f>
        <v>0</v>
      </c>
      <c r="S89" s="127">
        <f>IF(OR(Ethnie=0,Ethnie="Standard"),VLOOKUP("Standard",Race_stats_Kender,19,FALSE),VLOOKUP(Ethnie,Race_stats_Kender,19,FALSE))</f>
        <v>0</v>
      </c>
      <c r="T89" s="127">
        <f>IF(OR(Ethnie=0,Ethnie="Standard"),VLOOKUP("Standard",Race_stats_Kender,20,FALSE),VLOOKUP(Ethnie,Race_stats_Kender,20,FALSE))</f>
        <v>0</v>
      </c>
      <c r="U89" s="127">
        <f>IF(OR(Ethnie=0,Ethnie="Standard"),VLOOKUP("Standard",Race_stats_Kender,21,FALSE),VLOOKUP(Ethnie,Race_stats_Kender,21,FALSE))</f>
        <v>0</v>
      </c>
      <c r="V89" s="128">
        <f>IF(OR(Ethnie=0,Ethnie="Standard"),VLOOKUP("Standard",Race_stats_Kender,22,FALSE),VLOOKUP(Ethnie,Race_stats_Kender,22,FALSE))</f>
        <v>0</v>
      </c>
      <c r="W89">
        <f t="shared" si="0"/>
        <v>0</v>
      </c>
      <c r="X89" s="31"/>
    </row>
    <row r="90" spans="1:24">
      <c r="A90" s="115" t="s">
        <v>586</v>
      </c>
      <c r="B90" s="24">
        <v>1</v>
      </c>
      <c r="C90" s="62" t="s">
        <v>696</v>
      </c>
      <c r="D90" s="61" t="s">
        <v>695</v>
      </c>
      <c r="E90" s="53" t="s">
        <v>305</v>
      </c>
      <c r="F90" s="53" t="s">
        <v>305</v>
      </c>
      <c r="G90" s="53" t="s">
        <v>305</v>
      </c>
      <c r="H90" s="53" t="s">
        <v>305</v>
      </c>
      <c r="I90" s="247" t="s">
        <v>3912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8">
        <v>0</v>
      </c>
      <c r="W90">
        <f t="shared" si="0"/>
        <v>1</v>
      </c>
      <c r="X90" s="31"/>
    </row>
    <row r="91" spans="1:24">
      <c r="A91" s="111" t="s">
        <v>587</v>
      </c>
      <c r="B91" s="24">
        <v>1</v>
      </c>
      <c r="C91" s="61" t="s">
        <v>695</v>
      </c>
      <c r="D91" s="53" t="s">
        <v>305</v>
      </c>
      <c r="E91" s="61" t="s">
        <v>695</v>
      </c>
      <c r="F91" s="53" t="s">
        <v>305</v>
      </c>
      <c r="G91" s="53" t="s">
        <v>305</v>
      </c>
      <c r="H91" s="53" t="s">
        <v>305</v>
      </c>
      <c r="I91" s="245" t="s">
        <v>3638</v>
      </c>
      <c r="J91" s="127">
        <v>0.05</v>
      </c>
      <c r="K91" s="127">
        <v>0</v>
      </c>
      <c r="L91" s="127">
        <v>0</v>
      </c>
      <c r="M91" s="127">
        <v>0.05</v>
      </c>
      <c r="N91" s="127">
        <v>0.1</v>
      </c>
      <c r="O91" s="127">
        <v>0.1</v>
      </c>
      <c r="P91" s="127">
        <v>-0.15</v>
      </c>
      <c r="Q91" s="127">
        <v>0.1</v>
      </c>
      <c r="R91" s="127">
        <v>0</v>
      </c>
      <c r="S91" s="127">
        <v>0</v>
      </c>
      <c r="T91" s="127">
        <v>0</v>
      </c>
      <c r="U91" s="127">
        <v>0</v>
      </c>
      <c r="V91" s="128">
        <v>0</v>
      </c>
      <c r="W91">
        <f t="shared" si="0"/>
        <v>1</v>
      </c>
      <c r="X91" s="31"/>
    </row>
    <row r="92" spans="1:24">
      <c r="A92" s="114" t="s">
        <v>589</v>
      </c>
      <c r="B92" s="24">
        <v>1</v>
      </c>
      <c r="C92" s="53" t="s">
        <v>305</v>
      </c>
      <c r="D92" s="53" t="s">
        <v>305</v>
      </c>
      <c r="E92" s="62" t="s">
        <v>696</v>
      </c>
      <c r="F92" s="53" t="s">
        <v>305</v>
      </c>
      <c r="G92" s="53" t="s">
        <v>305</v>
      </c>
      <c r="H92" s="61" t="s">
        <v>695</v>
      </c>
      <c r="I92" s="247" t="s">
        <v>3912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  <c r="U92" s="127">
        <v>0</v>
      </c>
      <c r="V92" s="128">
        <v>0</v>
      </c>
      <c r="W92">
        <f t="shared" si="0"/>
        <v>1</v>
      </c>
      <c r="X92" s="31"/>
    </row>
    <row r="93" spans="1:24">
      <c r="A93" s="120" t="s">
        <v>590</v>
      </c>
      <c r="B93" s="24">
        <v>1</v>
      </c>
      <c r="C93" s="53" t="s">
        <v>305</v>
      </c>
      <c r="D93" s="62" t="s">
        <v>696</v>
      </c>
      <c r="E93" s="53" t="s">
        <v>305</v>
      </c>
      <c r="F93" s="53" t="s">
        <v>305</v>
      </c>
      <c r="G93" s="61" t="s">
        <v>695</v>
      </c>
      <c r="H93" s="53" t="s">
        <v>305</v>
      </c>
      <c r="I93" s="247" t="s">
        <v>3912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8">
        <v>0</v>
      </c>
      <c r="W93">
        <f t="shared" si="0"/>
        <v>1</v>
      </c>
      <c r="X93" s="31"/>
    </row>
    <row r="94" spans="1:24">
      <c r="A94" s="115" t="s">
        <v>591</v>
      </c>
      <c r="B94" s="24">
        <v>1</v>
      </c>
      <c r="C94" s="62" t="s">
        <v>696</v>
      </c>
      <c r="D94" s="53" t="s">
        <v>305</v>
      </c>
      <c r="E94" s="61" t="s">
        <v>695</v>
      </c>
      <c r="F94" s="53" t="s">
        <v>305</v>
      </c>
      <c r="G94" s="53" t="s">
        <v>305</v>
      </c>
      <c r="H94" s="53" t="s">
        <v>305</v>
      </c>
      <c r="I94" s="247" t="s">
        <v>3912</v>
      </c>
      <c r="J94" s="127">
        <v>0</v>
      </c>
      <c r="K94" s="127">
        <v>-0.1</v>
      </c>
      <c r="L94" s="127">
        <v>0</v>
      </c>
      <c r="M94" s="127">
        <v>0.05</v>
      </c>
      <c r="N94" s="127">
        <v>0</v>
      </c>
      <c r="O94" s="127">
        <v>0.05</v>
      </c>
      <c r="P94" s="127">
        <v>0</v>
      </c>
      <c r="Q94" s="127">
        <v>-0.1</v>
      </c>
      <c r="R94" s="127">
        <v>0</v>
      </c>
      <c r="S94" s="127">
        <v>0</v>
      </c>
      <c r="T94" s="127">
        <v>0</v>
      </c>
      <c r="U94" s="127">
        <v>0</v>
      </c>
      <c r="V94" s="128">
        <v>0</v>
      </c>
      <c r="W94">
        <f t="shared" si="0"/>
        <v>1</v>
      </c>
      <c r="X94" s="31"/>
    </row>
    <row r="95" spans="1:24">
      <c r="A95" s="120" t="s">
        <v>592</v>
      </c>
      <c r="B95" s="24">
        <v>1</v>
      </c>
      <c r="C95" s="53" t="s">
        <v>305</v>
      </c>
      <c r="D95" s="53" t="s">
        <v>305</v>
      </c>
      <c r="E95" s="61" t="s">
        <v>698</v>
      </c>
      <c r="F95" s="53" t="s">
        <v>305</v>
      </c>
      <c r="G95" s="62" t="s">
        <v>696</v>
      </c>
      <c r="H95" s="62" t="s">
        <v>696</v>
      </c>
      <c r="I95" s="247" t="s">
        <v>3912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8">
        <v>0</v>
      </c>
      <c r="W95">
        <f t="shared" si="0"/>
        <v>1</v>
      </c>
      <c r="X95" s="31"/>
    </row>
    <row r="96" spans="1:24">
      <c r="A96" s="114" t="s">
        <v>1146</v>
      </c>
      <c r="B96" s="24">
        <v>23</v>
      </c>
      <c r="C96" s="112" t="str">
        <f>IF(OR(Ethnie=0,Ethnie="Standard"),"—",VLOOKUP(Ethnie,Race_stats_sLézard,3,FALSE))</f>
        <v>—</v>
      </c>
      <c r="D96" s="112" t="str">
        <f>IF(OR(Ethnie=0,Ethnie="Standard"),"—",VLOOKUP(Ethnie,Race_stats_sLézard,4,FALSE))</f>
        <v>—</v>
      </c>
      <c r="E96" s="112" t="str">
        <f>IF(OR(Ethnie=0,Ethnie="Standard"),"—",VLOOKUP(Ethnie,Race_stats_sLézard,5,FALSE))</f>
        <v>—</v>
      </c>
      <c r="F96" s="112" t="str">
        <f>IF(OR(Ethnie=0,Ethnie="Standard"),"—",VLOOKUP(Ethnie,Race_stats_sLézard,6,FALSE))</f>
        <v>—</v>
      </c>
      <c r="G96" s="112" t="str">
        <f>IF(OR(Ethnie=0,Ethnie="Standard"),"—",VLOOKUP(Ethnie,Race_stats_sLézard,7,FALSE))</f>
        <v>—</v>
      </c>
      <c r="H96" s="112" t="str">
        <f>IF(OR(Ethnie=0,Ethnie="Standard"),"—",VLOOKUP(Ethnie,Race_stats_sLézard,8,FALSE))</f>
        <v>—</v>
      </c>
      <c r="I96" s="245">
        <f>IF(OR(Ethnie=0,Ethnie="Standard"),5,VLOOKUP(Ethnie,Race_stats_sLézard,9,FALSE))</f>
        <v>5</v>
      </c>
      <c r="J96" s="127">
        <f>IF(OR(Ethnie=0,Ethnie="Standard"),0,VLOOKUP(Ethnie,Race_stats_sLézard,10,FALSE))</f>
        <v>0</v>
      </c>
      <c r="K96" s="127">
        <f>IF(OR(Ethnie=0,Ethnie="Standard"),0,VLOOKUP(Ethnie,Race_stats_sLézard,11,FALSE))</f>
        <v>0</v>
      </c>
      <c r="L96" s="127">
        <f>IF(OR(Ethnie=0,Ethnie="Standard"),0,VLOOKUP(Ethnie,Race_stats_sLézard,12,FALSE))</f>
        <v>0</v>
      </c>
      <c r="M96" s="127">
        <f>IF(OR(Ethnie=0,Ethnie="Standard"),0,VLOOKUP(Ethnie,Race_stats_sLézard,13,FALSE))</f>
        <v>0</v>
      </c>
      <c r="N96" s="127">
        <f>IF(OR(Ethnie=0,Ethnie="Standard"),0,VLOOKUP(Ethnie,Race_stats_sLézard,14,FALSE))</f>
        <v>0</v>
      </c>
      <c r="O96" s="127">
        <f>IF(OR(Ethnie=0,Ethnie="Standard"),0,VLOOKUP(Ethnie,Race_stats_sLézard,15,FALSE))</f>
        <v>0</v>
      </c>
      <c r="P96" s="127">
        <f>IF(OR(Ethnie=0,Ethnie="Standard"),0,VLOOKUP(Ethnie,Race_stats_sLézard,16,FALSE))</f>
        <v>0</v>
      </c>
      <c r="Q96" s="127">
        <f>IF(OR(Ethnie=0,Ethnie="Standard"),0,VLOOKUP(Ethnie,Race_stats_sLézard,17,FALSE))</f>
        <v>0</v>
      </c>
      <c r="R96" s="127">
        <f>IF(OR(Ethnie=0,Ethnie="Standard"),0,VLOOKUP(Ethnie,Race_stats_sLézard,18,FALSE))</f>
        <v>0</v>
      </c>
      <c r="S96" s="127">
        <f>IF(OR(Ethnie=0,Ethnie="Standard"),0,VLOOKUP(Ethnie,Race_stats_sLézard,19,FALSE))</f>
        <v>0</v>
      </c>
      <c r="T96" s="127">
        <f>IF(OR(Ethnie=0,Ethnie="Standard"),0,VLOOKUP(Ethnie,Race_stats_sLézard,20,FALSE))</f>
        <v>0</v>
      </c>
      <c r="U96" s="127">
        <f>IF(OR(Ethnie=0,Ethnie="Standard"),0,VLOOKUP(Ethnie,Race_stats_sLézard,21,FALSE))</f>
        <v>0</v>
      </c>
      <c r="V96" s="128">
        <f>IF(OR(Ethnie=0,Ethnie="Standard"),0,VLOOKUP(Ethnie,Race_stats_sLézard,22,FALSE))</f>
        <v>0</v>
      </c>
      <c r="W96">
        <f t="shared" si="0"/>
        <v>0</v>
      </c>
      <c r="X96" s="31"/>
    </row>
    <row r="97" spans="1:24">
      <c r="A97" s="111" t="s">
        <v>609</v>
      </c>
      <c r="B97" s="24">
        <v>26</v>
      </c>
      <c r="C97" s="112" t="str">
        <f>IF(OR(Ethnie=0,Ethnie="Standard"),VLOOKUP("Standard",Race_stats_Locathah,3,FALSE),VLOOKUP(Ethnie,Race_stats_Locathah,3,FALSE))</f>
        <v>—</v>
      </c>
      <c r="D97" s="112" t="str">
        <f>IF(OR(Ethnie=0,Ethnie="Standard"),VLOOKUP("Standard",Race_stats_Locathah,4,FALSE),VLOOKUP(Ethnie,Race_stats_Locathah,4,FALSE))</f>
        <v>—</v>
      </c>
      <c r="E97" s="112" t="str">
        <f>IF(OR(Ethnie=0,Ethnie="Standard"),VLOOKUP("Standard",Race_stats_Locathah,5,FALSE),VLOOKUP(Ethnie,Race_stats_Locathah,5,FALSE))</f>
        <v>–1</v>
      </c>
      <c r="F97" s="112" t="str">
        <f>IF(OR(Ethnie=0,Ethnie="Standard"),VLOOKUP("Standard",Race_stats_Locathah,6,FALSE),VLOOKUP(Ethnie,Race_stats_Locathah,6,FALSE))</f>
        <v>+1</v>
      </c>
      <c r="G97" s="112" t="str">
        <f>IF(OR(Ethnie=0,Ethnie="Standard"),VLOOKUP("Standard",Race_stats_Locathah,7,FALSE),VLOOKUP(Ethnie,Race_stats_Locathah,7,FALSE))</f>
        <v>—</v>
      </c>
      <c r="H97" s="112" t="str">
        <f>IF(OR(Ethnie=0,Ethnie="Standard"),VLOOKUP("Standard",Race_stats_Locathah,8,FALSE),VLOOKUP(Ethnie,Race_stats_Locathah,8,FALSE))</f>
        <v>—</v>
      </c>
      <c r="I97" s="245">
        <f>IF(OR(Ethnie=0,Ethnie="Standard"),VLOOKUP("Standard",Race_stats_Locathah,9,FALSE),VLOOKUP(Ethnie,Race_stats_Locathah,9,FALSE))</f>
        <v>6</v>
      </c>
      <c r="J97" s="127">
        <f>IF(OR(Ethnie=0,Ethnie="Standard"),VLOOKUP("Standard",Race_stats_Locathah,10,FALSE),VLOOKUP(Ethnie,Race_stats_Locathah,10,FALSE))</f>
        <v>0</v>
      </c>
      <c r="K97" s="127">
        <f>IF(OR(Ethnie=0,Ethnie="Standard"),VLOOKUP("Standard",Race_stats_Locathah,11,FALSE),VLOOKUP(Ethnie,Race_stats_Locathah,11,FALSE))</f>
        <v>0</v>
      </c>
      <c r="L97" s="127">
        <f>IF(OR(Ethnie=0,Ethnie="Standard"),VLOOKUP("Standard",Race_stats_Locathah,12,FALSE),VLOOKUP(Ethnie,Race_stats_Locathah,12,FALSE))</f>
        <v>0</v>
      </c>
      <c r="M97" s="127">
        <f>IF(OR(Ethnie=0,Ethnie="Standard"),VLOOKUP("Standard",Race_stats_Locathah,13,FALSE),VLOOKUP(Ethnie,Race_stats_Locathah,13,FALSE))</f>
        <v>0</v>
      </c>
      <c r="N97" s="127">
        <f>IF(OR(Ethnie=0,Ethnie="Standard"),VLOOKUP("Standard",Race_stats_Locathah,14,FALSE),VLOOKUP(Ethnie,Race_stats_Locathah,14,FALSE))</f>
        <v>0</v>
      </c>
      <c r="O97" s="127">
        <f>IF(OR(Ethnie=0,Ethnie="Standard"),VLOOKUP("Standard",Race_stats_Locathah,15,FALSE),VLOOKUP(Ethnie,Race_stats_Locathah,15,FALSE))</f>
        <v>0</v>
      </c>
      <c r="P97" s="127">
        <f>IF(OR(Ethnie=0,Ethnie="Standard"),VLOOKUP("Standard",Race_stats_Locathah,16,FALSE),VLOOKUP(Ethnie,Race_stats_Locathah,16,FALSE))</f>
        <v>0</v>
      </c>
      <c r="Q97" s="127">
        <f>IF(OR(Ethnie=0,Ethnie="Standard"),VLOOKUP("Standard",Race_stats_Locathah,17,FALSE),VLOOKUP(Ethnie,Race_stats_Locathah,17,FALSE))</f>
        <v>0</v>
      </c>
      <c r="R97" s="127">
        <f>IF(OR(Ethnie=0,Ethnie="Standard"),VLOOKUP("Standard",Race_stats_Locathah,18,FALSE),VLOOKUP(Ethnie,Race_stats_Locathah,18,FALSE))</f>
        <v>0</v>
      </c>
      <c r="S97" s="127">
        <f>IF(OR(Ethnie=0,Ethnie="Standard"),VLOOKUP("Standard",Race_stats_Locathah,19,FALSE),VLOOKUP(Ethnie,Race_stats_Locathah,19,FALSE))</f>
        <v>0</v>
      </c>
      <c r="T97" s="127">
        <f>IF(OR(Ethnie=0,Ethnie="Standard"),VLOOKUP("Standard",Race_stats_Locathah,20,FALSE),VLOOKUP(Ethnie,Race_stats_Locathah,20,FALSE))</f>
        <v>0</v>
      </c>
      <c r="U97" s="127">
        <f>IF(OR(Ethnie=0,Ethnie="Standard"),VLOOKUP("Standard",Race_stats_Locathah,21,FALSE),VLOOKUP(Ethnie,Race_stats_Locathah,21,FALSE))</f>
        <v>0</v>
      </c>
      <c r="V97" s="128">
        <f>IF(OR(Ethnie=0,Ethnie="Standard"),VLOOKUP("Standard",Race_stats_Locathah,22,FALSE),VLOOKUP(Ethnie,Race_stats_Locathah,22,FALSE))</f>
        <v>0</v>
      </c>
      <c r="W97">
        <f t="shared" si="0"/>
        <v>0</v>
      </c>
      <c r="X97" s="31"/>
    </row>
    <row r="98" spans="1:24">
      <c r="A98" s="114" t="s">
        <v>611</v>
      </c>
      <c r="B98" s="24">
        <v>1</v>
      </c>
      <c r="C98" s="62" t="s">
        <v>696</v>
      </c>
      <c r="D98" s="53" t="s">
        <v>305</v>
      </c>
      <c r="E98" s="62" t="s">
        <v>696</v>
      </c>
      <c r="F98" s="61" t="s">
        <v>695</v>
      </c>
      <c r="G98" s="61" t="s">
        <v>695</v>
      </c>
      <c r="H98" s="53" t="s">
        <v>305</v>
      </c>
      <c r="I98" s="245" t="s">
        <v>3638</v>
      </c>
      <c r="J98" s="127">
        <v>0</v>
      </c>
      <c r="K98" s="127">
        <v>0</v>
      </c>
      <c r="L98" s="127">
        <v>0.05</v>
      </c>
      <c r="M98" s="127">
        <v>0</v>
      </c>
      <c r="N98" s="127">
        <v>0</v>
      </c>
      <c r="O98" s="127">
        <v>0.2</v>
      </c>
      <c r="P98" s="127">
        <v>-0.05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8">
        <v>0</v>
      </c>
      <c r="W98">
        <f t="shared" si="0"/>
        <v>1</v>
      </c>
      <c r="X98" s="31"/>
    </row>
    <row r="99" spans="1:24">
      <c r="A99" s="115" t="s">
        <v>612</v>
      </c>
      <c r="B99" s="24">
        <v>25</v>
      </c>
      <c r="C99" s="112" t="str">
        <f>IF(OR(Ethnie=0,Ethnie="Standard"),VLOOKUP("Standard",Race_stats_Malenti,3,FALSE),VLOOKUP(Ethnie,Race_stats_Malenti,3,FALSE))</f>
        <v>—</v>
      </c>
      <c r="D99" s="112" t="str">
        <f>IF(OR(Ethnie=0,Ethnie="Standard"),VLOOKUP("Standard",Race_stats_Malenti,4,FALSE),VLOOKUP(Ethnie,Race_stats_Malenti,4,FALSE))</f>
        <v>+1</v>
      </c>
      <c r="E99" s="112" t="str">
        <f>IF(OR(Ethnie=0,Ethnie="Standard"),VLOOKUP("Standard",Race_stats_Malenti,5,FALSE),VLOOKUP(Ethnie,Race_stats_Malenti,5,FALSE))</f>
        <v>–1</v>
      </c>
      <c r="F99" s="112" t="str">
        <f>IF(OR(Ethnie=0,Ethnie="Standard"),VLOOKUP("Standard",Race_stats_Malenti,6,FALSE),VLOOKUP(Ethnie,Race_stats_Malenti,6,FALSE))</f>
        <v>—</v>
      </c>
      <c r="G99" s="112" t="str">
        <f>IF(OR(Ethnie=0,Ethnie="Standard"),VLOOKUP("Standard",Race_stats_Malenti,7,FALSE),VLOOKUP(Ethnie,Race_stats_Malenti,7,FALSE))</f>
        <v>—</v>
      </c>
      <c r="H99" s="112" t="str">
        <f>IF(OR(Ethnie=0,Ethnie="Standard"),VLOOKUP("Standard",Race_stats_Malenti,8,FALSE),VLOOKUP(Ethnie,Race_stats_Malenti,8,FALSE))</f>
        <v>—</v>
      </c>
      <c r="I99" s="245" t="str">
        <f>IF(OR(Ethnie=0,Ethnie="Standard"),VLOOKUP("Standard",Race_stats_Malenti,9,FALSE),VLOOKUP(Ethnie,Race_stats_Malenti,9,FALSE))</f>
        <v>Aucune</v>
      </c>
      <c r="J99" s="127">
        <f>IF(OR(Ethnie=0,Ethnie="Standard"),VLOOKUP("Standard",Race_stats_Malenti,10,FALSE),VLOOKUP(Ethnie,Race_stats_Malenti,10,FALSE))</f>
        <v>0</v>
      </c>
      <c r="K99" s="127">
        <f>IF(OR(Ethnie=0,Ethnie="Standard"),VLOOKUP("Standard",Race_stats_Malenti,11,FALSE),VLOOKUP(Ethnie,Race_stats_Malenti,11,FALSE))</f>
        <v>0</v>
      </c>
      <c r="L99" s="127">
        <f>IF(OR(Ethnie=0,Ethnie="Standard"),VLOOKUP("Standard",Race_stats_Malenti,12,FALSE),VLOOKUP(Ethnie,Race_stats_Malenti,12,FALSE))</f>
        <v>0</v>
      </c>
      <c r="M99" s="127">
        <f>IF(OR(Ethnie=0,Ethnie="Standard"),VLOOKUP("Standard",Race_stats_Malenti,13,FALSE),VLOOKUP(Ethnie,Race_stats_Malenti,13,FALSE))</f>
        <v>0</v>
      </c>
      <c r="N99" s="127">
        <f>IF(OR(Ethnie=0,Ethnie="Standard"),VLOOKUP("Standard",Race_stats_Malenti,14,FALSE),VLOOKUP(Ethnie,Race_stats_Malenti,14,FALSE))</f>
        <v>0</v>
      </c>
      <c r="O99" s="127">
        <f>IF(OR(Ethnie=0,Ethnie="Standard"),VLOOKUP("Standard",Race_stats_Malenti,15,FALSE),VLOOKUP(Ethnie,Race_stats_Malenti,15,FALSE))</f>
        <v>0</v>
      </c>
      <c r="P99" s="127">
        <f>IF(OR(Ethnie=0,Ethnie="Standard"),VLOOKUP("Standard",Race_stats_Malenti,16,FALSE),VLOOKUP(Ethnie,Race_stats_Malenti,16,FALSE))</f>
        <v>0</v>
      </c>
      <c r="Q99" s="127">
        <f>IF(OR(Ethnie=0,Ethnie="Standard"),VLOOKUP("Standard",Race_stats_Malenti,17,FALSE),VLOOKUP(Ethnie,Race_stats_Malenti,17,FALSE))</f>
        <v>0</v>
      </c>
      <c r="R99" s="127">
        <f>IF(OR(Ethnie=0,Ethnie="Standard"),VLOOKUP("Standard",Race_stats_Malenti,18,FALSE),VLOOKUP(Ethnie,Race_stats_Malenti,18,FALSE))</f>
        <v>0</v>
      </c>
      <c r="S99" s="127">
        <f>IF(OR(Ethnie=0,Ethnie="Standard"),VLOOKUP("Standard",Race_stats_Malenti,19,FALSE),VLOOKUP(Ethnie,Race_stats_Malenti,19,FALSE))</f>
        <v>0</v>
      </c>
      <c r="T99" s="127">
        <f>IF(OR(Ethnie=0,Ethnie="Standard"),VLOOKUP("Standard",Race_stats_Malenti,20,FALSE),VLOOKUP(Ethnie,Race_stats_Malenti,20,FALSE))</f>
        <v>0</v>
      </c>
      <c r="U99" s="127">
        <f>IF(OR(Ethnie=0,Ethnie="Standard"),VLOOKUP("Standard",Race_stats_Malenti,21,FALSE),VLOOKUP(Ethnie,Race_stats_Malenti,21,FALSE))</f>
        <v>0</v>
      </c>
      <c r="V99" s="128">
        <f>IF(OR(Ethnie=0,Ethnie="Standard"),VLOOKUP("Standard",Race_stats_Malenti,22,FALSE),VLOOKUP(Ethnie,Race_stats_Malenti,22,FALSE))</f>
        <v>0</v>
      </c>
      <c r="W99">
        <f t="shared" si="0"/>
        <v>0</v>
      </c>
      <c r="X99" s="31"/>
    </row>
    <row r="100" spans="1:24">
      <c r="A100" s="423" t="s">
        <v>3993</v>
      </c>
      <c r="B100" s="24">
        <v>1</v>
      </c>
      <c r="C100" s="62" t="s">
        <v>696</v>
      </c>
      <c r="D100" s="53" t="s">
        <v>305</v>
      </c>
      <c r="E100" s="62" t="s">
        <v>696</v>
      </c>
      <c r="F100" s="61" t="s">
        <v>695</v>
      </c>
      <c r="G100" s="61" t="s">
        <v>695</v>
      </c>
      <c r="H100" s="53" t="s">
        <v>305</v>
      </c>
      <c r="I100" s="245">
        <v>7</v>
      </c>
      <c r="J100" s="127">
        <v>0</v>
      </c>
      <c r="K100" s="127">
        <v>0.05</v>
      </c>
      <c r="L100" s="127">
        <v>0</v>
      </c>
      <c r="M100" s="127">
        <v>-0.2</v>
      </c>
      <c r="N100" s="127">
        <v>-0.05</v>
      </c>
      <c r="O100" s="127">
        <v>0.05</v>
      </c>
      <c r="P100" s="127">
        <v>-0.25</v>
      </c>
      <c r="Q100" s="127">
        <v>0</v>
      </c>
      <c r="R100" s="127">
        <v>0</v>
      </c>
      <c r="S100" s="127">
        <v>0</v>
      </c>
      <c r="T100" s="127">
        <v>0</v>
      </c>
      <c r="U100" s="127">
        <v>0</v>
      </c>
      <c r="V100" s="128">
        <v>0</v>
      </c>
      <c r="W100">
        <f t="shared" si="0"/>
        <v>1</v>
      </c>
      <c r="X100" s="31"/>
    </row>
    <row r="101" spans="1:24">
      <c r="A101" s="115" t="s">
        <v>615</v>
      </c>
      <c r="B101" s="24">
        <v>1</v>
      </c>
      <c r="C101" s="62" t="s">
        <v>696</v>
      </c>
      <c r="D101" s="53" t="s">
        <v>305</v>
      </c>
      <c r="E101" s="53" t="s">
        <v>305</v>
      </c>
      <c r="F101" s="53" t="s">
        <v>305</v>
      </c>
      <c r="G101" s="61" t="s">
        <v>695</v>
      </c>
      <c r="H101" s="53" t="s">
        <v>305</v>
      </c>
      <c r="I101" s="247" t="s">
        <v>3912</v>
      </c>
      <c r="J101" s="127">
        <v>0</v>
      </c>
      <c r="K101" s="127">
        <v>0</v>
      </c>
      <c r="L101" s="127"/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8">
        <v>0</v>
      </c>
      <c r="W101">
        <f t="shared" si="0"/>
        <v>1</v>
      </c>
      <c r="X101" s="31"/>
    </row>
    <row r="102" spans="1:24">
      <c r="A102" s="115" t="s">
        <v>616</v>
      </c>
      <c r="B102" s="24">
        <v>27</v>
      </c>
      <c r="C102" s="112" t="str">
        <f>IF(OR(Ethnie=0,Ethnie="Standard"),VLOOKUP("Standard",Race_stats_Merfolk,3,FALSE),VLOOKUP(Ethnie,Race_stats_Merfolk,3,FALSE))</f>
        <v>—</v>
      </c>
      <c r="D102" s="112" t="str">
        <f>IF(OR(Ethnie=0,Ethnie="Standard"),VLOOKUP("Standard",Race_stats_Merfolk,4,FALSE),VLOOKUP(Ethnie,Race_stats_Merfolk,4,FALSE))</f>
        <v>—</v>
      </c>
      <c r="E102" s="112" t="str">
        <f>IF(OR(Ethnie=0,Ethnie="Standard"),VLOOKUP("Standard",Race_stats_Merfolk,5,FALSE),VLOOKUP(Ethnie,Race_stats_Merfolk,5,FALSE))</f>
        <v>—</v>
      </c>
      <c r="F102" s="112" t="str">
        <f>IF(OR(Ethnie=0,Ethnie="Standard"),VLOOKUP("Standard",Race_stats_Merfolk,6,FALSE),VLOOKUP(Ethnie,Race_stats_Merfolk,6,FALSE))</f>
        <v>—</v>
      </c>
      <c r="G102" s="112" t="str">
        <f>IF(OR(Ethnie=0,Ethnie="Standard"),VLOOKUP("Standard",Race_stats_Merfolk,7,FALSE),VLOOKUP(Ethnie,Race_stats_Merfolk,7,FALSE))</f>
        <v>—</v>
      </c>
      <c r="H102" s="112" t="str">
        <f>IF(OR(Ethnie=0,Ethnie="Standard"),VLOOKUP("Standard",Race_stats_Merfolk,8,FALSE),VLOOKUP(Ethnie,Race_stats_Merfolk,8,FALSE))</f>
        <v>—</v>
      </c>
      <c r="I102" s="245">
        <v>7</v>
      </c>
      <c r="J102" s="127">
        <f>IF(OR(Ethnie=0,Ethnie="Standard"),VLOOKUP("Standard",Race_stats_Merfolk,10,FALSE),VLOOKUP(Ethnie,Race_stats_Merfolk,10,FALSE))</f>
        <v>0</v>
      </c>
      <c r="K102" s="127">
        <f>IF(OR(Ethnie=0,Ethnie="Standard"),VLOOKUP("Standard",Race_stats_Merfolk,11,FALSE),VLOOKUP(Ethnie,Race_stats_Merfolk,11,FALSE))</f>
        <v>0</v>
      </c>
      <c r="L102" s="127">
        <f>IF(OR(Ethnie=0,Ethnie="Standard"),VLOOKUP("Standard",Race_stats_Merfolk,12,FALSE),VLOOKUP(Ethnie,Race_stats_Merfolk,12,FALSE))</f>
        <v>0</v>
      </c>
      <c r="M102" s="127">
        <f>IF(OR(Ethnie=0,Ethnie="Standard"),VLOOKUP("Standard",Race_stats_Merfolk,13,FALSE),VLOOKUP(Ethnie,Race_stats_Merfolk,13,FALSE))</f>
        <v>0</v>
      </c>
      <c r="N102" s="127">
        <f>IF(OR(Ethnie=0,Ethnie="Standard"),VLOOKUP("Standard",Race_stats_Merfolk,14,FALSE),VLOOKUP(Ethnie,Race_stats_Merfolk,14,FALSE))</f>
        <v>0</v>
      </c>
      <c r="O102" s="127">
        <f>IF(OR(Ethnie=0,Ethnie="Standard"),VLOOKUP("Standard",Race_stats_Merfolk,15,FALSE),VLOOKUP(Ethnie,Race_stats_Merfolk,15,FALSE))</f>
        <v>0</v>
      </c>
      <c r="P102" s="127">
        <f>IF(OR(Ethnie=0,Ethnie="Standard"),VLOOKUP("Standard",Race_stats_Merfolk,16,FALSE),VLOOKUP(Ethnie,Race_stats_Merfolk,16,FALSE))</f>
        <v>0</v>
      </c>
      <c r="Q102" s="127">
        <f>IF(OR(Ethnie=0,Ethnie="Standard"),VLOOKUP("Standard",Race_stats_Merfolk,17,FALSE),VLOOKUP(Ethnie,Race_stats_Merfolk,17,FALSE))</f>
        <v>0</v>
      </c>
      <c r="R102" s="127">
        <f>IF(OR(Ethnie=0,Ethnie="Standard"),VLOOKUP("Standard",Race_stats_Merfolk,18,FALSE),VLOOKUP(Ethnie,Race_stats_Merfolk,18,FALSE))</f>
        <v>0</v>
      </c>
      <c r="S102" s="127">
        <f>IF(OR(Ethnie=0,Ethnie="Standard"),VLOOKUP("Standard",Race_stats_Merfolk,19,FALSE),VLOOKUP(Ethnie,Race_stats_Merfolk,19,FALSE))</f>
        <v>0</v>
      </c>
      <c r="T102" s="127">
        <f>IF(OR(Ethnie=0,Ethnie="Standard"),VLOOKUP("Standard",Race_stats_Merfolk,20,FALSE),VLOOKUP(Ethnie,Race_stats_Merfolk,20,FALSE))</f>
        <v>0</v>
      </c>
      <c r="U102" s="127">
        <f>IF(OR(Ethnie=0,Ethnie="Standard"),VLOOKUP("Standard",Race_stats_Merfolk,21,FALSE),VLOOKUP(Ethnie,Race_stats_Merfolk,21,FALSE))</f>
        <v>0</v>
      </c>
      <c r="V102" s="128">
        <f>IF(OR(Ethnie=0,Ethnie="Standard"),VLOOKUP("Standard",Race_stats_Merfolk,22,FALSE),VLOOKUP(Ethnie,Race_stats_Merfolk,22,FALSE))</f>
        <v>0</v>
      </c>
      <c r="W102">
        <f t="shared" si="0"/>
        <v>0</v>
      </c>
      <c r="X102" s="31"/>
    </row>
    <row r="103" spans="1:24">
      <c r="A103" s="111" t="s">
        <v>1333</v>
      </c>
      <c r="B103" s="24">
        <v>28</v>
      </c>
      <c r="C103" s="112" t="str">
        <f>IF(OR(Ethnie=0,Ethnie="Standard"),VLOOKUP("Standard",Race_stats_Minotaure,3,FALSE),VLOOKUP(Ethnie,Race_stats_Minotaure,3,FALSE))</f>
        <v>+2</v>
      </c>
      <c r="D103" s="112" t="str">
        <f>IF(OR(Ethnie=0,Ethnie="Standard"),VLOOKUP("Standard",Race_stats_Minotaure,4,FALSE),VLOOKUP(Ethnie,Race_stats_Minotaure,4,FALSE))</f>
        <v>—</v>
      </c>
      <c r="E103" s="112" t="str">
        <f>IF(OR(Ethnie=0,Ethnie="Standard"),VLOOKUP("Standard",Race_stats_Minotaure,5,FALSE),VLOOKUP(Ethnie,Race_stats_Minotaure,5,FALSE))</f>
        <v>+2</v>
      </c>
      <c r="F103" s="112" t="str">
        <f>IF(OR(Ethnie=0,Ethnie="Standard"),VLOOKUP("Standard",Race_stats_Minotaure,6,FALSE),VLOOKUP(Ethnie,Race_stats_Minotaure,6,FALSE))</f>
        <v>—</v>
      </c>
      <c r="G103" s="112" t="str">
        <f>IF(OR(Ethnie=0,Ethnie="Standard"),VLOOKUP("Standard",Race_stats_Minotaure,7,FALSE),VLOOKUP(Ethnie,Race_stats_Minotaure,7,FALSE))</f>
        <v>–2</v>
      </c>
      <c r="H103" s="112" t="str">
        <f>IF(OR(Ethnie=0,Ethnie="Standard"),VLOOKUP("Standard",Race_stats_Minotaure,8,FALSE),VLOOKUP(Ethnie,Race_stats_Minotaure,8,FALSE))</f>
        <v>–2</v>
      </c>
      <c r="I103" s="222">
        <v>6</v>
      </c>
      <c r="J103" s="127">
        <f>IF(OR(Ethnie=0,Ethnie="Standard"),VLOOKUP("Standard",Race_stats_Minotaure,10,FALSE),VLOOKUP(Ethnie,Race_stats_Minotaure,10,FALSE))</f>
        <v>-0.05</v>
      </c>
      <c r="K103" s="127">
        <f>IF(OR(Ethnie=0,Ethnie="Standard"),VLOOKUP("Standard",Race_stats_Minotaure,11,FALSE),VLOOKUP(Ethnie,Race_stats_Minotaure,11,FALSE))</f>
        <v>-0.05</v>
      </c>
      <c r="L103" s="127">
        <f>IF(OR(Ethnie=0,Ethnie="Standard"),VLOOKUP("Standard",Race_stats_Minotaure,12,FALSE),VLOOKUP(Ethnie,Race_stats_Minotaure,12,FALSE))</f>
        <v>0</v>
      </c>
      <c r="M103" s="127">
        <f>IF(OR(Ethnie=0,Ethnie="Standard"),VLOOKUP("Standard",Race_stats_Minotaure,13,FALSE),VLOOKUP(Ethnie,Race_stats_Minotaure,13,FALSE))</f>
        <v>0</v>
      </c>
      <c r="N103" s="127">
        <f>IF(OR(Ethnie=0,Ethnie="Standard"),VLOOKUP("Standard",Race_stats_Minotaure,14,FALSE),VLOOKUP(Ethnie,Race_stats_Minotaure,14,FALSE))</f>
        <v>0.05</v>
      </c>
      <c r="O103" s="127">
        <f>IF(OR(Ethnie=0,Ethnie="Standard"),VLOOKUP("Standard",Race_stats_Minotaure,15,FALSE),VLOOKUP(Ethnie,Race_stats_Minotaure,15,FALSE))</f>
        <v>0.05</v>
      </c>
      <c r="P103" s="127">
        <f>IF(OR(Ethnie=0,Ethnie="Standard"),VLOOKUP("Standard",Race_stats_Minotaure,16,FALSE),VLOOKUP(Ethnie,Race_stats_Minotaure,16,FALSE))</f>
        <v>-0.15</v>
      </c>
      <c r="Q103" s="127">
        <f>IF(OR(Ethnie=0,Ethnie="Standard"),VLOOKUP("Standard",Race_stats_Minotaure,17,FALSE),VLOOKUP(Ethnie,Race_stats_Minotaure,17,FALSE))</f>
        <v>-0.05</v>
      </c>
      <c r="R103" s="127">
        <f>IF(OR(Ethnie=0,Ethnie="Standard"),VLOOKUP("Standard",Race_stats_Minotaure,18,FALSE),VLOOKUP(Ethnie,Race_stats_Minotaure,18,FALSE))</f>
        <v>0</v>
      </c>
      <c r="S103" s="127">
        <f>IF(OR(Ethnie=0,Ethnie="Standard"),VLOOKUP("Standard",Race_stats_Minotaure,19,FALSE),VLOOKUP(Ethnie,Race_stats_Minotaure,19,FALSE))</f>
        <v>0</v>
      </c>
      <c r="T103" s="127">
        <f>IF(OR(Ethnie=0,Ethnie="Standard"),VLOOKUP("Standard",Race_stats_Minotaure,20,FALSE),VLOOKUP(Ethnie,Race_stats_Minotaure,20,FALSE))</f>
        <v>0</v>
      </c>
      <c r="U103" s="127">
        <f>IF(OR(Ethnie=0,Ethnie="Standard"),VLOOKUP("Standard",Race_stats_Minotaure,21,FALSE),VLOOKUP(Ethnie,Race_stats_Minotaure,21,FALSE))</f>
        <v>0</v>
      </c>
      <c r="V103" s="128">
        <f>IF(OR(Ethnie=0,Ethnie="Standard"),VLOOKUP("Standard",Race_stats_Minotaure,22,FALSE),VLOOKUP(Ethnie,Race_stats_Minotaure,22,FALSE))</f>
        <v>0</v>
      </c>
      <c r="W103">
        <f t="shared" si="0"/>
        <v>0</v>
      </c>
      <c r="X103" s="31"/>
    </row>
    <row r="104" spans="1:24">
      <c r="A104" s="111" t="s">
        <v>290</v>
      </c>
      <c r="B104" s="24">
        <v>1</v>
      </c>
      <c r="C104" s="53" t="s">
        <v>305</v>
      </c>
      <c r="D104" s="61" t="s">
        <v>695</v>
      </c>
      <c r="E104" s="62" t="s">
        <v>696</v>
      </c>
      <c r="F104" s="62" t="s">
        <v>696</v>
      </c>
      <c r="G104" s="53" t="s">
        <v>305</v>
      </c>
      <c r="H104" s="61" t="s">
        <v>695</v>
      </c>
      <c r="I104" s="247" t="s">
        <v>3912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0</v>
      </c>
      <c r="R104" s="127">
        <v>0</v>
      </c>
      <c r="S104" s="127">
        <v>0</v>
      </c>
      <c r="T104" s="127">
        <v>0</v>
      </c>
      <c r="U104" s="127">
        <v>0</v>
      </c>
      <c r="V104" s="128">
        <v>0</v>
      </c>
      <c r="W104">
        <f t="shared" si="0"/>
        <v>1</v>
      </c>
      <c r="X104" s="31"/>
    </row>
    <row r="105" spans="1:24">
      <c r="A105" s="111" t="s">
        <v>3994</v>
      </c>
      <c r="B105" s="24">
        <v>1</v>
      </c>
      <c r="C105" s="61" t="s">
        <v>695</v>
      </c>
      <c r="D105" s="53" t="s">
        <v>305</v>
      </c>
      <c r="E105" s="53" t="s">
        <v>305</v>
      </c>
      <c r="F105" s="61" t="s">
        <v>695</v>
      </c>
      <c r="G105" s="62" t="s">
        <v>696</v>
      </c>
      <c r="H105" s="53" t="s">
        <v>305</v>
      </c>
      <c r="I105" s="245">
        <v>4</v>
      </c>
      <c r="J105" s="127">
        <v>0.05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-0.15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8">
        <v>0</v>
      </c>
      <c r="W105">
        <f t="shared" ref="W105:W148" si="1">IF(B105=1,1,0)</f>
        <v>1</v>
      </c>
      <c r="X105" s="31"/>
    </row>
    <row r="106" spans="1:24">
      <c r="A106" s="115" t="s">
        <v>626</v>
      </c>
      <c r="B106" s="24">
        <v>1</v>
      </c>
      <c r="C106" s="62" t="s">
        <v>697</v>
      </c>
      <c r="D106" s="53" t="s">
        <v>305</v>
      </c>
      <c r="E106" s="62" t="s">
        <v>696</v>
      </c>
      <c r="F106" s="61" t="s">
        <v>695</v>
      </c>
      <c r="G106" s="53" t="s">
        <v>305</v>
      </c>
      <c r="H106" s="61" t="s">
        <v>698</v>
      </c>
      <c r="I106" s="245" t="s">
        <v>3638</v>
      </c>
      <c r="J106" s="127">
        <v>0</v>
      </c>
      <c r="K106" s="127">
        <v>-0.05</v>
      </c>
      <c r="L106" s="127">
        <v>0</v>
      </c>
      <c r="M106" s="127">
        <v>0.05</v>
      </c>
      <c r="N106" s="127">
        <v>0</v>
      </c>
      <c r="O106" s="127">
        <v>0</v>
      </c>
      <c r="P106" s="127">
        <v>0.05</v>
      </c>
      <c r="Q106" s="127">
        <v>-0.05</v>
      </c>
      <c r="R106" s="127">
        <v>0</v>
      </c>
      <c r="S106" s="127">
        <v>0</v>
      </c>
      <c r="T106" s="127">
        <v>0</v>
      </c>
      <c r="U106" s="127">
        <v>0</v>
      </c>
      <c r="V106" s="128">
        <v>0</v>
      </c>
      <c r="W106">
        <f t="shared" si="1"/>
        <v>1</v>
      </c>
      <c r="X106" s="31"/>
    </row>
    <row r="107" spans="1:24">
      <c r="A107" s="117" t="s">
        <v>274</v>
      </c>
      <c r="B107" s="118">
        <v>1</v>
      </c>
      <c r="C107" s="62" t="s">
        <v>696</v>
      </c>
      <c r="D107" s="61" t="s">
        <v>695</v>
      </c>
      <c r="E107" s="61" t="s">
        <v>695</v>
      </c>
      <c r="F107" s="62" t="s">
        <v>696</v>
      </c>
      <c r="G107" s="53" t="s">
        <v>305</v>
      </c>
      <c r="H107" s="53" t="s">
        <v>305</v>
      </c>
      <c r="I107" s="247" t="s">
        <v>3912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0</v>
      </c>
      <c r="R107" s="127">
        <v>0</v>
      </c>
      <c r="S107" s="127">
        <v>0</v>
      </c>
      <c r="T107" s="127">
        <v>0</v>
      </c>
      <c r="U107" s="127">
        <v>0</v>
      </c>
      <c r="V107" s="128">
        <v>0</v>
      </c>
      <c r="W107">
        <f t="shared" si="1"/>
        <v>1</v>
      </c>
      <c r="X107" s="31"/>
    </row>
    <row r="108" spans="1:24">
      <c r="A108" s="111" t="s">
        <v>59</v>
      </c>
      <c r="B108" s="24">
        <v>3</v>
      </c>
      <c r="C108" s="112" t="str">
        <f>IF(OR(Ethnie=0,Ethnie="Standard"),VLOOKUP("Hill",Race_stats_nain,3,FALSE),VLOOKUP(Ethnie,Race_stats_nain,3,FALSE))</f>
        <v>—</v>
      </c>
      <c r="D108" s="112" t="str">
        <f>IF(OR(Ethnie=0,Ethnie="Standard"),VLOOKUP("Hill",Race_stats_nain,4,FALSE),VLOOKUP(Ethnie,Race_stats_nain,4,FALSE))</f>
        <v>—</v>
      </c>
      <c r="E108" s="112" t="str">
        <f>IF(OR(Ethnie=0,Ethnie="Standard"),VLOOKUP("Hill",Race_stats_nain,5,FALSE),VLOOKUP(Ethnie,Race_stats_nain,5,FALSE))</f>
        <v>+1</v>
      </c>
      <c r="F108" s="112" t="str">
        <f>IF(OR(Ethnie=0,Ethnie="Standard"),VLOOKUP("Hill",Race_stats_nain,6,FALSE),VLOOKUP(Ethnie,Race_stats_nain,6,FALSE))</f>
        <v>—</v>
      </c>
      <c r="G108" s="112" t="str">
        <f>IF(OR(Ethnie=0,Ethnie="Standard"),VLOOKUP("Hill",Race_stats_nain,7,FALSE),VLOOKUP(Ethnie,Race_stats_nain,7,FALSE))</f>
        <v>—</v>
      </c>
      <c r="H108" s="112" t="str">
        <f>IF(OR(Ethnie=0,Ethnie="Standard"),VLOOKUP("Hill",Race_stats_nain,8,FALSE),VLOOKUP(Ethnie,Race_stats_nain,8,FALSE))</f>
        <v>–1</v>
      </c>
      <c r="I108" s="245" t="str">
        <f>IF(OR(Ethnie=0,Ethnie="Standard"),VLOOKUP("Hill",Race_stats_nain,9,FALSE),VLOOKUP(Ethnie,Race_stats_nain,9,FALSE))</f>
        <v>Aucune</v>
      </c>
      <c r="J108" s="127">
        <f>IF(OR(Ethnie=0,Ethnie="Standard"),VLOOKUP("Hill",Race_stats_nain,10,FALSE),VLOOKUP(Ethnie,Race_stats_nain,10,FALSE))</f>
        <v>0</v>
      </c>
      <c r="K108" s="127">
        <f>IF(OR(Ethnie=0,Ethnie="Standard"),VLOOKUP("Hill",Race_stats_nain,11,FALSE),VLOOKUP(Ethnie,Race_stats_nain,11,FALSE))</f>
        <v>0.1</v>
      </c>
      <c r="L108" s="127">
        <f>IF(OR(Ethnie=0,Ethnie="Standard"),VLOOKUP("Hill",Race_stats_nain,12,FALSE),VLOOKUP(Ethnie,Race_stats_nain,12,FALSE))</f>
        <v>0.15</v>
      </c>
      <c r="M108" s="127">
        <f>IF(OR(Ethnie=0,Ethnie="Standard"),VLOOKUP("Hill",Race_stats_nain,13,FALSE),VLOOKUP(Ethnie,Race_stats_nain,13,FALSE))</f>
        <v>0</v>
      </c>
      <c r="N108" s="127">
        <f>IF(OR(Ethnie=0,Ethnie="Standard"),VLOOKUP("Hill",Race_stats_nain,14,FALSE),VLOOKUP(Ethnie,Race_stats_nain,14,FALSE))</f>
        <v>0</v>
      </c>
      <c r="O108" s="127">
        <f>IF(OR(Ethnie=0,Ethnie="Standard"),VLOOKUP("Hill",Race_stats_nain,15,FALSE),VLOOKUP(Ethnie,Race_stats_nain,15,FALSE))</f>
        <v>0</v>
      </c>
      <c r="P108" s="127">
        <f>IF(OR(Ethnie=0,Ethnie="Standard"),VLOOKUP("Hill",Race_stats_nain,16,FALSE),VLOOKUP(Ethnie,Race_stats_nain,16,FALSE))</f>
        <v>-0.1</v>
      </c>
      <c r="Q108" s="127">
        <f>IF(OR(Ethnie=0,Ethnie="Standard"),VLOOKUP("Hill",Race_stats_nain,17,FALSE),VLOOKUP(Ethnie,Race_stats_nain,17,FALSE))</f>
        <v>-0.05</v>
      </c>
      <c r="R108" s="127">
        <f>IF(OR(Ethnie=0,Ethnie="Standard"),VLOOKUP("Hill",Race_stats_nain,18,FALSE),VLOOKUP(Ethnie,Race_stats_nain,18,FALSE))</f>
        <v>0.05</v>
      </c>
      <c r="S108" s="127">
        <f>IF(OR(Ethnie=0,Ethnie="Standard"),VLOOKUP("Hill",Race_stats_nain,19,FALSE),VLOOKUP(Ethnie,Race_stats_nain,19,FALSE))</f>
        <v>0.05</v>
      </c>
      <c r="T108" s="127">
        <f>IF(OR(Ethnie=0,Ethnie="Standard"),VLOOKUP("Hill",Race_stats_nain,20,FALSE),VLOOKUP(Ethnie,Race_stats_nain,20,FALSE))</f>
        <v>-0.05</v>
      </c>
      <c r="U108" s="127">
        <f>IF(OR(Ethnie=0,Ethnie="Standard"),VLOOKUP("Hill",Race_stats_nain,21,FALSE),VLOOKUP(Ethnie,Race_stats_nain,21,FALSE))</f>
        <v>0.1</v>
      </c>
      <c r="V108" s="128">
        <f>IF(OR(Ethnie=0,Ethnie="Standard"),VLOOKUP("Hill",Race_stats_nain,22,FALSE),VLOOKUP(Ethnie,Race_stats_nain,22,FALSE))</f>
        <v>0</v>
      </c>
      <c r="W108">
        <f t="shared" si="1"/>
        <v>0</v>
      </c>
      <c r="X108" s="31"/>
    </row>
    <row r="109" spans="1:24">
      <c r="A109" s="423" t="s">
        <v>627</v>
      </c>
      <c r="B109" s="24">
        <v>1</v>
      </c>
      <c r="C109" s="61" t="s">
        <v>698</v>
      </c>
      <c r="D109" s="62" t="s">
        <v>696</v>
      </c>
      <c r="E109" s="53" t="s">
        <v>305</v>
      </c>
      <c r="F109" s="53" t="s">
        <v>305</v>
      </c>
      <c r="G109" s="53" t="s">
        <v>305</v>
      </c>
      <c r="H109" s="62" t="s">
        <v>696</v>
      </c>
      <c r="I109" s="247" t="s">
        <v>3912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8">
        <v>0</v>
      </c>
      <c r="W109">
        <f t="shared" si="1"/>
        <v>1</v>
      </c>
      <c r="X109" s="31"/>
    </row>
    <row r="110" spans="1:24">
      <c r="A110" s="111" t="s">
        <v>628</v>
      </c>
      <c r="B110" s="24">
        <v>29</v>
      </c>
      <c r="C110" s="112" t="str">
        <f>IF(OR(Ethnie=0,Ethnie="Standard"),VLOOKUP("Standard",Race_stats_Ogre,3,FALSE),VLOOKUP(Ethnie,Race_stats_Ogre,3,FALSE))</f>
        <v>+2</v>
      </c>
      <c r="D110" s="112" t="str">
        <f>IF(OR(Ethnie=0,Ethnie="Standard"),VLOOKUP("Standard",Race_stats_Ogre,4,FALSE),VLOOKUP(Ethnie,Race_stats_Ogre,4,FALSE))</f>
        <v>—</v>
      </c>
      <c r="E110" s="112" t="str">
        <f>IF(OR(Ethnie=0,Ethnie="Standard"),VLOOKUP("Standard",Race_stats_Ogre,5,FALSE),VLOOKUP(Ethnie,Race_stats_Ogre,5,FALSE))</f>
        <v>+2</v>
      </c>
      <c r="F110" s="112" t="str">
        <f>IF(OR(Ethnie=0,Ethnie="Standard"),VLOOKUP("Standard",Race_stats_Ogre,6,FALSE),VLOOKUP(Ethnie,Race_stats_Ogre,6,FALSE))</f>
        <v>–2</v>
      </c>
      <c r="G110" s="112" t="str">
        <f>IF(OR(Ethnie=0,Ethnie="Standard"),VLOOKUP("Standard",Race_stats_Ogre,7,FALSE),VLOOKUP(Ethnie,Race_stats_Ogre,7,FALSE))</f>
        <v>—</v>
      </c>
      <c r="H110" s="112" t="str">
        <f>IF(OR(Ethnie=0,Ethnie="Standard"),VLOOKUP("Standard",Race_stats_Ogre,8,FALSE),VLOOKUP(Ethnie,Race_stats_Ogre,8,FALSE))</f>
        <v>–2</v>
      </c>
      <c r="I110" s="245">
        <f>IF(OR(Ethnie=0,Ethnie="Standard"),VLOOKUP("Standard",Race_stats_Ogre,9,FALSE),VLOOKUP(Ethnie,Race_stats_Ogre,9,FALSE))</f>
        <v>5</v>
      </c>
      <c r="J110" s="127">
        <f>IF(OR(Ethnie=0,Ethnie="Standard"),VLOOKUP("Standard",Race_stats_Ogre,10,FALSE),VLOOKUP(Ethnie,Race_stats_Ogre,10,FALSE))</f>
        <v>0</v>
      </c>
      <c r="K110" s="127">
        <f>IF(OR(Ethnie=0,Ethnie="Standard"),VLOOKUP("Standard",Race_stats_Ogre,11,FALSE),VLOOKUP(Ethnie,Race_stats_Ogre,11,FALSE))</f>
        <v>0</v>
      </c>
      <c r="L110" s="127">
        <f>IF(OR(Ethnie=0,Ethnie="Standard"),VLOOKUP("Standard",Race_stats_Ogre,12,FALSE),VLOOKUP(Ethnie,Race_stats_Ogre,12,FALSE))</f>
        <v>0</v>
      </c>
      <c r="M110" s="127">
        <f>IF(OR(Ethnie=0,Ethnie="Standard"),VLOOKUP("Standard",Race_stats_Ogre,13,FALSE),VLOOKUP(Ethnie,Race_stats_Ogre,13,FALSE))</f>
        <v>0</v>
      </c>
      <c r="N110" s="127">
        <f>IF(OR(Ethnie=0,Ethnie="Standard"),VLOOKUP("Standard",Race_stats_Ogre,14,FALSE),VLOOKUP(Ethnie,Race_stats_Ogre,14,FALSE))</f>
        <v>0</v>
      </c>
      <c r="O110" s="127">
        <f>IF(OR(Ethnie=0,Ethnie="Standard"),VLOOKUP("Standard",Race_stats_Ogre,15,FALSE),VLOOKUP(Ethnie,Race_stats_Ogre,15,FALSE))</f>
        <v>0</v>
      </c>
      <c r="P110" s="127">
        <f>IF(OR(Ethnie=0,Ethnie="Standard"),VLOOKUP("Standard",Race_stats_Ogre,16,FALSE),VLOOKUP(Ethnie,Race_stats_Ogre,16,FALSE))</f>
        <v>0</v>
      </c>
      <c r="Q110" s="127">
        <f>IF(OR(Ethnie=0,Ethnie="Standard"),VLOOKUP("Standard",Race_stats_Ogre,17,FALSE),VLOOKUP(Ethnie,Race_stats_Ogre,17,FALSE))</f>
        <v>0</v>
      </c>
      <c r="R110" s="127">
        <f>IF(OR(Ethnie=0,Ethnie="Standard"),VLOOKUP("Standard",Race_stats_Ogre,18,FALSE),VLOOKUP(Ethnie,Race_stats_Ogre,18,FALSE))</f>
        <v>0</v>
      </c>
      <c r="S110" s="127">
        <f>IF(OR(Ethnie=0,Ethnie="Standard"),VLOOKUP("Standard",Race_stats_Ogre,19,FALSE),VLOOKUP(Ethnie,Race_stats_Ogre,19,FALSE))</f>
        <v>0</v>
      </c>
      <c r="T110" s="127">
        <f>IF(OR(Ethnie=0,Ethnie="Standard"),VLOOKUP("Standard",Race_stats_Ogre,20,FALSE),VLOOKUP(Ethnie,Race_stats_Ogre,20,FALSE))</f>
        <v>0</v>
      </c>
      <c r="U110" s="127">
        <f>IF(OR(Ethnie=0,Ethnie="Standard"),VLOOKUP("Standard",Race_stats_Ogre,21,FALSE),VLOOKUP(Ethnie,Race_stats_Ogre,21,FALSE))</f>
        <v>0</v>
      </c>
      <c r="V110" s="128">
        <f>IF(OR(Ethnie=0,Ethnie="Standard"),VLOOKUP("Standard",Race_stats_Ogre,22,FALSE),VLOOKUP(Ethnie,Race_stats_Ogre,22,FALSE))</f>
        <v>0</v>
      </c>
      <c r="W110">
        <f t="shared" si="1"/>
        <v>0</v>
      </c>
      <c r="X110" s="31"/>
    </row>
    <row r="111" spans="1:24">
      <c r="A111" s="111" t="s">
        <v>1334</v>
      </c>
      <c r="B111" s="24">
        <v>1</v>
      </c>
      <c r="C111" s="62" t="s">
        <v>696</v>
      </c>
      <c r="D111" s="53" t="s">
        <v>305</v>
      </c>
      <c r="E111" s="53" t="s">
        <v>305</v>
      </c>
      <c r="F111" s="53" t="s">
        <v>305</v>
      </c>
      <c r="G111" s="53" t="s">
        <v>305</v>
      </c>
      <c r="H111" s="61" t="s">
        <v>698</v>
      </c>
      <c r="I111" s="245" t="s">
        <v>3638</v>
      </c>
      <c r="J111" s="127">
        <v>-0.05</v>
      </c>
      <c r="K111" s="127">
        <v>0</v>
      </c>
      <c r="L111" s="127">
        <v>0</v>
      </c>
      <c r="M111" s="127">
        <v>0</v>
      </c>
      <c r="N111" s="127">
        <v>0.05</v>
      </c>
      <c r="O111" s="127">
        <v>0.05</v>
      </c>
      <c r="P111" s="127">
        <v>0.05</v>
      </c>
      <c r="Q111" s="127">
        <v>-0.1</v>
      </c>
      <c r="R111" s="127">
        <v>0</v>
      </c>
      <c r="S111" s="127">
        <v>0</v>
      </c>
      <c r="T111" s="127">
        <v>0</v>
      </c>
      <c r="U111" s="127">
        <v>0</v>
      </c>
      <c r="V111" s="128">
        <v>0</v>
      </c>
      <c r="W111">
        <f t="shared" si="1"/>
        <v>1</v>
      </c>
      <c r="X111" s="31"/>
    </row>
    <row r="112" spans="1:24">
      <c r="A112" s="115" t="s">
        <v>642</v>
      </c>
      <c r="B112" s="24">
        <v>1</v>
      </c>
      <c r="C112" s="53" t="s">
        <v>305</v>
      </c>
      <c r="D112" s="61" t="s">
        <v>695</v>
      </c>
      <c r="E112" s="53" t="s">
        <v>305</v>
      </c>
      <c r="F112" s="62" t="s">
        <v>697</v>
      </c>
      <c r="G112" s="61" t="s">
        <v>695</v>
      </c>
      <c r="H112" s="53" t="s">
        <v>305</v>
      </c>
      <c r="I112" s="245">
        <v>7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8">
        <v>0</v>
      </c>
      <c r="W112">
        <f t="shared" si="1"/>
        <v>1</v>
      </c>
      <c r="X112" s="31"/>
    </row>
    <row r="113" spans="1:24">
      <c r="A113" s="111" t="s">
        <v>1150</v>
      </c>
      <c r="B113" s="24">
        <v>4</v>
      </c>
      <c r="C113" s="112" t="e">
        <f>IF(OR(Ethnie=0,Ethnie="Standard"),VLOOKUP("Hairfoot",Race_stats_hobbit,3,FALSE),VLOOKUP(Ethnie,Race_stats_hobbit,3,FALSE))</f>
        <v>#N/A</v>
      </c>
      <c r="D113" s="112" t="e">
        <f>IF(OR(Ethnie=0,Ethnie="Standard"),VLOOKUP("Hairfoot",Race_stats_hobbit,4,FALSE),VLOOKUP(Ethnie,Race_stats_hobbit,4,FALSE))</f>
        <v>#N/A</v>
      </c>
      <c r="E113" s="112" t="e">
        <f>IF(OR(Ethnie=0,Ethnie="Standard"),VLOOKUP("Hairfoot",Race_stats_hobbit,5,FALSE),VLOOKUP(Ethnie,Race_stats_hobbit,5,FALSE))</f>
        <v>#N/A</v>
      </c>
      <c r="F113" s="112" t="e">
        <f>IF(OR(Ethnie=0,Ethnie="Standard"),VLOOKUP("Hairfoot",Race_stats_hobbit,6,FALSE),VLOOKUP(Ethnie,Race_stats_hobbit,6,FALSE))</f>
        <v>#N/A</v>
      </c>
      <c r="G113" s="112" t="e">
        <f>IF(OR(Ethnie=0,Ethnie="Standard"),VLOOKUP("Hairfoot",Race_stats_hobbit,7,FALSE),VLOOKUP(Ethnie,Race_stats_hobbit,7,FALSE))</f>
        <v>#N/A</v>
      </c>
      <c r="H113" s="112" t="e">
        <f>IF(OR(Ethnie=0,Ethnie="Standard"),VLOOKUP("Hairfoot",Race_stats_hobbit,8,FALSE),VLOOKUP(Ethnie,Race_stats_hobbit,8,FALSE))</f>
        <v>#N/A</v>
      </c>
      <c r="I113" s="246" t="e">
        <f>IF(OR(Ethnie=0,Ethnie="Standard"),VLOOKUP("Hairfoot",Race_stats_hobbit,9,FALSE),VLOOKUP(Ethnie,Race_stats_hobbit,9,FALSE))</f>
        <v>#N/A</v>
      </c>
      <c r="J113" s="127" t="e">
        <f>IF(OR(Ethnie=0,Ethnie="Standard"),VLOOKUP("Hairfoot",Race_stats_hobbit,10,FALSE),VLOOKUP(Ethnie,Race_stats_hobbit,10,FALSE))</f>
        <v>#N/A</v>
      </c>
      <c r="K113" s="127" t="e">
        <f>IF(OR(Ethnie=0,Ethnie="Standard"),VLOOKUP("Hairfoot",Race_stats_hobbit,11,FALSE),VLOOKUP(Ethnie,Race_stats_hobbit,11,FALSE))</f>
        <v>#N/A</v>
      </c>
      <c r="L113" s="127" t="e">
        <f>IF(OR(Ethnie=0,Ethnie="Standard"),VLOOKUP("Hairfoot",Race_stats_hobbit,12,FALSE),VLOOKUP(Ethnie,Race_stats_hobbit,12,FALSE))</f>
        <v>#N/A</v>
      </c>
      <c r="M113" s="127" t="e">
        <f>IF(OR(Ethnie=0,Ethnie="Standard"),VLOOKUP("Hairfoot",Race_stats_hobbit,13,FALSE),VLOOKUP(Ethnie,Race_stats_hobbit,13,FALSE))</f>
        <v>#N/A</v>
      </c>
      <c r="N113" s="127" t="e">
        <f>IF(OR(Ethnie=0,Ethnie="Standard"),VLOOKUP("Hairfoot",Race_stats_hobbit,14,FALSE),VLOOKUP(Ethnie,Race_stats_hobbit,14,FALSE))</f>
        <v>#N/A</v>
      </c>
      <c r="O113" s="127" t="e">
        <f>IF(OR(Ethnie=0,Ethnie="Standard"),VLOOKUP("Hairfoot",Race_stats_hobbit,15,FALSE),VLOOKUP(Ethnie,Race_stats_hobbit,15,FALSE))</f>
        <v>#N/A</v>
      </c>
      <c r="P113" s="127" t="e">
        <f>IF(OR(Ethnie=0,Ethnie="Standard"),VLOOKUP("Hairfoot",Race_stats_hobbit,16,FALSE),VLOOKUP(Ethnie,Race_stats_hobbit,16,FALSE))</f>
        <v>#N/A</v>
      </c>
      <c r="Q113" s="127" t="e">
        <f>IF(OR(Ethnie=0,Ethnie="Standard"),VLOOKUP("Hairfoot",Race_stats_hobbit,17,FALSE),VLOOKUP(Ethnie,Race_stats_hobbit,17,FALSE))</f>
        <v>#N/A</v>
      </c>
      <c r="R113" s="127" t="e">
        <f>IF(OR(Ethnie=0,Ethnie="Standard"),VLOOKUP("Hairfoot",Race_stats_hobbit,18,FALSE),VLOOKUP(Ethnie,Race_stats_hobbit,18,FALSE))</f>
        <v>#N/A</v>
      </c>
      <c r="S113" s="127" t="e">
        <f>IF(OR(Ethnie=0,Ethnie="Standard"),VLOOKUP("Hairfoot",Race_stats_hobbit,19,FALSE),VLOOKUP(Ethnie,Race_stats_hobbit,19,FALSE))</f>
        <v>#N/A</v>
      </c>
      <c r="T113" s="127" t="e">
        <f>IF(OR(Ethnie=0,Ethnie="Standard"),VLOOKUP("Hairfoot",Race_stats_hobbit,20,FALSE),VLOOKUP(Ethnie,Race_stats_hobbit,20,FALSE))</f>
        <v>#N/A</v>
      </c>
      <c r="U113" s="127" t="e">
        <f>IF(OR(Ethnie=0,Ethnie="Standard"),VLOOKUP("Hairfoot",Race_stats_hobbit,21,FALSE),VLOOKUP(Ethnie,Race_stats_hobbit,21,FALSE))</f>
        <v>#N/A</v>
      </c>
      <c r="V113" s="128" t="e">
        <f>IF(OR(Ethnie=0,Ethnie="Standard"),VLOOKUP("Hairfoot",Race_stats_hobbit,22,FALSE),VLOOKUP(Ethnie,Race_stats_hobbit,22,FALSE))</f>
        <v>#N/A</v>
      </c>
      <c r="W113">
        <f t="shared" si="1"/>
        <v>0</v>
      </c>
      <c r="X113" s="31"/>
    </row>
    <row r="114" spans="1:24">
      <c r="A114" s="114" t="s">
        <v>643</v>
      </c>
      <c r="B114" s="24">
        <v>1</v>
      </c>
      <c r="C114" s="61" t="s">
        <v>698</v>
      </c>
      <c r="D114" s="53" t="s">
        <v>716</v>
      </c>
      <c r="E114" s="53" t="s">
        <v>305</v>
      </c>
      <c r="F114" s="61" t="s">
        <v>695</v>
      </c>
      <c r="G114" s="62" t="s">
        <v>696</v>
      </c>
      <c r="H114" s="53" t="s">
        <v>305</v>
      </c>
      <c r="I114" s="245">
        <v>7</v>
      </c>
      <c r="J114" s="127">
        <v>0</v>
      </c>
      <c r="K114" s="127">
        <v>-0.1</v>
      </c>
      <c r="L114" s="127">
        <v>0.05</v>
      </c>
      <c r="M114" s="127">
        <v>0.1</v>
      </c>
      <c r="N114" s="127">
        <v>0.1</v>
      </c>
      <c r="O114" s="127">
        <v>0</v>
      </c>
      <c r="P114" s="127">
        <v>0.2</v>
      </c>
      <c r="Q114" s="127">
        <v>-0.1</v>
      </c>
      <c r="R114" s="127">
        <v>0</v>
      </c>
      <c r="S114" s="127">
        <v>0</v>
      </c>
      <c r="T114" s="127">
        <v>0</v>
      </c>
      <c r="U114" s="127">
        <v>0</v>
      </c>
      <c r="V114" s="128">
        <v>0</v>
      </c>
      <c r="W114">
        <f t="shared" si="1"/>
        <v>1</v>
      </c>
      <c r="X114" s="31"/>
    </row>
    <row r="115" spans="1:24">
      <c r="A115" s="111" t="s">
        <v>644</v>
      </c>
      <c r="B115" s="24">
        <v>1</v>
      </c>
      <c r="C115" s="61" t="s">
        <v>695</v>
      </c>
      <c r="D115" s="62" t="s">
        <v>696</v>
      </c>
      <c r="E115" s="61" t="s">
        <v>695</v>
      </c>
      <c r="F115" s="53" t="s">
        <v>305</v>
      </c>
      <c r="G115" s="53" t="s">
        <v>305</v>
      </c>
      <c r="H115" s="62" t="s">
        <v>696</v>
      </c>
      <c r="I115" s="245" t="s">
        <v>3915</v>
      </c>
      <c r="J115" s="127">
        <v>0.05</v>
      </c>
      <c r="K115" s="127">
        <v>-0.1</v>
      </c>
      <c r="L115" s="127">
        <v>0</v>
      </c>
      <c r="M115" s="127">
        <v>0.05</v>
      </c>
      <c r="N115" s="127">
        <v>0.1</v>
      </c>
      <c r="O115" s="127" t="s">
        <v>1362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8">
        <v>0</v>
      </c>
      <c r="W115">
        <f t="shared" si="1"/>
        <v>1</v>
      </c>
      <c r="X115" s="31"/>
    </row>
    <row r="116" spans="1:24">
      <c r="A116" s="115" t="s">
        <v>646</v>
      </c>
      <c r="B116" s="24">
        <v>1</v>
      </c>
      <c r="C116" s="62" t="s">
        <v>696</v>
      </c>
      <c r="D116" s="61" t="s">
        <v>695</v>
      </c>
      <c r="E116" s="53" t="s">
        <v>305</v>
      </c>
      <c r="F116" s="53" t="s">
        <v>305</v>
      </c>
      <c r="G116" s="62" t="s">
        <v>696</v>
      </c>
      <c r="H116" s="61" t="s">
        <v>695</v>
      </c>
      <c r="I116" s="245">
        <v>8</v>
      </c>
      <c r="J116" s="127">
        <v>-0.05</v>
      </c>
      <c r="K116" s="127">
        <v>-0.05</v>
      </c>
      <c r="L116" s="127">
        <v>0</v>
      </c>
      <c r="M116" s="127">
        <v>0.05</v>
      </c>
      <c r="N116" s="127">
        <v>0.05</v>
      </c>
      <c r="O116" s="127">
        <v>0</v>
      </c>
      <c r="P116" s="127">
        <v>-0.05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8">
        <v>0</v>
      </c>
      <c r="W116">
        <f t="shared" si="1"/>
        <v>1</v>
      </c>
      <c r="X116" s="31"/>
    </row>
    <row r="117" spans="1:24">
      <c r="A117" s="111" t="s">
        <v>647</v>
      </c>
      <c r="B117" s="24">
        <v>1</v>
      </c>
      <c r="C117" s="62" t="s">
        <v>696</v>
      </c>
      <c r="D117" s="53" t="s">
        <v>305</v>
      </c>
      <c r="E117" s="53" t="s">
        <v>305</v>
      </c>
      <c r="F117" s="53" t="s">
        <v>305</v>
      </c>
      <c r="G117" s="53" t="s">
        <v>305</v>
      </c>
      <c r="H117" s="61" t="s">
        <v>695</v>
      </c>
      <c r="I117" s="245">
        <v>6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8">
        <v>0</v>
      </c>
      <c r="W117">
        <f t="shared" si="1"/>
        <v>1</v>
      </c>
      <c r="X117" s="31"/>
    </row>
    <row r="118" spans="1:24">
      <c r="A118" s="114" t="s">
        <v>648</v>
      </c>
      <c r="B118" s="24">
        <v>1</v>
      </c>
      <c r="C118" s="53" t="s">
        <v>305</v>
      </c>
      <c r="D118" s="62" t="s">
        <v>697</v>
      </c>
      <c r="E118" s="53" t="s">
        <v>305</v>
      </c>
      <c r="F118" s="53" t="s">
        <v>305</v>
      </c>
      <c r="G118" s="61" t="s">
        <v>698</v>
      </c>
      <c r="H118" s="53" t="s">
        <v>305</v>
      </c>
      <c r="I118" s="245" t="s">
        <v>3638</v>
      </c>
      <c r="J118" s="127">
        <v>0</v>
      </c>
      <c r="K118" s="127">
        <v>0</v>
      </c>
      <c r="L118" s="127">
        <v>0</v>
      </c>
      <c r="M118" s="127">
        <v>0.05</v>
      </c>
      <c r="N118" s="127">
        <v>0.05</v>
      </c>
      <c r="O118" s="127">
        <v>0.05</v>
      </c>
      <c r="P118" s="127">
        <v>0.05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8">
        <v>0</v>
      </c>
      <c r="W118">
        <f t="shared" si="1"/>
        <v>1</v>
      </c>
      <c r="X118" s="31"/>
    </row>
    <row r="119" spans="1:24">
      <c r="A119" s="111" t="s">
        <v>1350</v>
      </c>
      <c r="B119" s="24">
        <v>1</v>
      </c>
      <c r="C119" s="53" t="s">
        <v>305</v>
      </c>
      <c r="D119" s="61" t="s">
        <v>695</v>
      </c>
      <c r="E119" s="62" t="s">
        <v>696</v>
      </c>
      <c r="F119" s="53" t="s">
        <v>305</v>
      </c>
      <c r="G119" s="53" t="s">
        <v>305</v>
      </c>
      <c r="H119" s="53" t="s">
        <v>305</v>
      </c>
      <c r="I119" s="245">
        <v>3</v>
      </c>
      <c r="J119" s="127">
        <v>-0.05</v>
      </c>
      <c r="K119" s="127">
        <v>0.1</v>
      </c>
      <c r="L119" s="127">
        <v>0.1</v>
      </c>
      <c r="M119" s="127">
        <v>-0.05</v>
      </c>
      <c r="N119" s="127">
        <v>-0.05</v>
      </c>
      <c r="O119" s="127">
        <v>0.05</v>
      </c>
      <c r="P119" s="127">
        <v>-0.3</v>
      </c>
      <c r="Q119" s="127">
        <v>0.1</v>
      </c>
      <c r="R119" s="127">
        <v>0</v>
      </c>
      <c r="S119" s="127">
        <v>0</v>
      </c>
      <c r="T119" s="127">
        <v>0</v>
      </c>
      <c r="U119" s="127">
        <v>0</v>
      </c>
      <c r="V119" s="128">
        <v>0</v>
      </c>
      <c r="W119">
        <f t="shared" si="1"/>
        <v>1</v>
      </c>
      <c r="X119" s="31"/>
    </row>
    <row r="120" spans="1:24">
      <c r="A120" s="115" t="s">
        <v>650</v>
      </c>
      <c r="B120" s="24">
        <v>1</v>
      </c>
      <c r="C120" s="61" t="s">
        <v>695</v>
      </c>
      <c r="D120" s="61" t="s">
        <v>695</v>
      </c>
      <c r="E120" s="53" t="s">
        <v>305</v>
      </c>
      <c r="F120" s="62" t="s">
        <v>697</v>
      </c>
      <c r="G120" s="53" t="s">
        <v>305</v>
      </c>
      <c r="H120" s="53" t="s">
        <v>305</v>
      </c>
      <c r="I120" s="245">
        <v>6</v>
      </c>
      <c r="J120" s="127">
        <v>-0.1</v>
      </c>
      <c r="K120" s="127">
        <v>-0.1</v>
      </c>
      <c r="L120" s="127">
        <v>0</v>
      </c>
      <c r="M120" s="127">
        <v>0.05</v>
      </c>
      <c r="N120" s="127">
        <v>0.05</v>
      </c>
      <c r="O120" s="127" t="s">
        <v>1361</v>
      </c>
      <c r="P120" s="127">
        <v>0</v>
      </c>
      <c r="Q120" s="127">
        <v>0.05</v>
      </c>
      <c r="R120" s="127">
        <v>0</v>
      </c>
      <c r="S120" s="127">
        <v>0</v>
      </c>
      <c r="T120" s="127">
        <v>0</v>
      </c>
      <c r="U120" s="127">
        <v>0</v>
      </c>
      <c r="V120" s="128">
        <v>0</v>
      </c>
      <c r="W120">
        <f t="shared" si="1"/>
        <v>1</v>
      </c>
      <c r="X120" s="31"/>
    </row>
    <row r="121" spans="1:24">
      <c r="A121" s="120" t="s">
        <v>1147</v>
      </c>
      <c r="B121" s="24">
        <v>1</v>
      </c>
      <c r="C121" s="62" t="s">
        <v>696</v>
      </c>
      <c r="D121" s="61" t="s">
        <v>695</v>
      </c>
      <c r="E121" s="53" t="s">
        <v>305</v>
      </c>
      <c r="F121" s="53" t="s">
        <v>305</v>
      </c>
      <c r="G121" s="53" t="s">
        <v>305</v>
      </c>
      <c r="H121" s="53" t="s">
        <v>305</v>
      </c>
      <c r="I121" s="247" t="s">
        <v>3912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8">
        <v>0</v>
      </c>
      <c r="W121">
        <f t="shared" si="1"/>
        <v>1</v>
      </c>
      <c r="X121" s="31"/>
    </row>
    <row r="122" spans="1:24">
      <c r="A122" s="115" t="s">
        <v>651</v>
      </c>
      <c r="B122" s="24">
        <v>1</v>
      </c>
      <c r="C122" s="53" t="s">
        <v>305</v>
      </c>
      <c r="D122" s="62" t="s">
        <v>696</v>
      </c>
      <c r="E122" s="53" t="s">
        <v>305</v>
      </c>
      <c r="F122" s="53" t="s">
        <v>305</v>
      </c>
      <c r="G122" s="53" t="s">
        <v>305</v>
      </c>
      <c r="H122" s="61" t="s">
        <v>698</v>
      </c>
      <c r="I122" s="245">
        <v>9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8">
        <v>0</v>
      </c>
      <c r="W122">
        <f t="shared" si="1"/>
        <v>1</v>
      </c>
      <c r="X122" s="31"/>
    </row>
    <row r="123" spans="1:24">
      <c r="A123" s="111" t="s">
        <v>1335</v>
      </c>
      <c r="B123" s="24">
        <v>1</v>
      </c>
      <c r="C123" s="53" t="s">
        <v>305</v>
      </c>
      <c r="D123" s="62" t="s">
        <v>696</v>
      </c>
      <c r="E123" s="62" t="s">
        <v>696</v>
      </c>
      <c r="F123" s="61" t="s">
        <v>695</v>
      </c>
      <c r="G123" s="53" t="s">
        <v>305</v>
      </c>
      <c r="H123" s="61" t="s">
        <v>695</v>
      </c>
      <c r="I123" s="222">
        <v>5</v>
      </c>
      <c r="J123" s="127">
        <v>0.05</v>
      </c>
      <c r="K123" s="127">
        <v>-0.05</v>
      </c>
      <c r="L123" s="127">
        <v>0</v>
      </c>
      <c r="M123" s="127">
        <v>0.05</v>
      </c>
      <c r="N123" s="127">
        <v>0.05</v>
      </c>
      <c r="O123" s="127">
        <v>0</v>
      </c>
      <c r="P123" s="127">
        <v>-0.1</v>
      </c>
      <c r="Q123" s="127">
        <v>-0.05</v>
      </c>
      <c r="R123" s="127">
        <v>0</v>
      </c>
      <c r="S123" s="127">
        <v>0</v>
      </c>
      <c r="T123" s="127">
        <v>0</v>
      </c>
      <c r="U123" s="127">
        <v>0</v>
      </c>
      <c r="V123" s="128">
        <v>0</v>
      </c>
      <c r="W123">
        <f t="shared" si="1"/>
        <v>1</v>
      </c>
      <c r="X123" s="31"/>
    </row>
    <row r="124" spans="1:24">
      <c r="A124" s="121" t="s">
        <v>1148</v>
      </c>
      <c r="B124" s="118">
        <v>30</v>
      </c>
      <c r="C124" s="112" t="str">
        <f>IF(OR(Ethnie=0,Ethnie="Standard"),"—",VLOOKUP(Ethnie,Race_stats_Saurial,3,FALSE))</f>
        <v>—</v>
      </c>
      <c r="D124" s="112" t="str">
        <f>IF(OR(Ethnie=0,Ethnie="Standard"),"—",VLOOKUP(Ethnie,Race_stats_Saurial,4,FALSE))</f>
        <v>—</v>
      </c>
      <c r="E124" s="112" t="str">
        <f>IF(OR(Ethnie=0,Ethnie="Standard"),"—",VLOOKUP(Ethnie,Race_stats_Saurial,5,FALSE))</f>
        <v>—</v>
      </c>
      <c r="F124" s="112" t="str">
        <f>IF(OR(Ethnie=0,Ethnie="Standard"),"—",VLOOKUP(Ethnie,Race_stats_Saurial,6,FALSE))</f>
        <v>—</v>
      </c>
      <c r="G124" s="112" t="str">
        <f>IF(OR(Ethnie=0,Ethnie="Standard"),"—",VLOOKUP(Ethnie,Race_stats_Saurial,7,FALSE))</f>
        <v>—</v>
      </c>
      <c r="H124" s="112" t="str">
        <f>IF(OR(Ethnie=0,Ethnie="Standard"),"—",VLOOKUP(Ethnie,Race_stats_Saurial,8,FALSE))</f>
        <v>—</v>
      </c>
      <c r="I124" s="245" t="str">
        <f>IF(OR(Ethnie=0,Ethnie="Standard"),"Aucune",VLOOKUP(Ethnie,Race_stats_Saurial,9,FALSE))</f>
        <v>Aucune</v>
      </c>
      <c r="J124" s="127">
        <f>IF(OR(Ethnie=0,Ethnie="Standard"),0,VLOOKUP(Ethnie,Race_stats_Saurial,10,FALSE))</f>
        <v>0</v>
      </c>
      <c r="K124" s="127">
        <f>IF(OR(Ethnie=0,Ethnie="Standard"),0,VLOOKUP(Ethnie,Race_stats_Saurial,11,FALSE))</f>
        <v>0</v>
      </c>
      <c r="L124" s="127">
        <f>IF(OR(Ethnie=0,Ethnie="Standard"),0,VLOOKUP(Ethnie,Race_stats_Saurial,12,FALSE))</f>
        <v>0</v>
      </c>
      <c r="M124" s="127">
        <f>IF(OR(Ethnie=0,Ethnie="Standard"),0,VLOOKUP(Ethnie,Race_stats_Saurial,13,FALSE))</f>
        <v>0</v>
      </c>
      <c r="N124" s="127">
        <f>IF(OR(Ethnie=0,Ethnie="Standard"),0,VLOOKUP(Ethnie,Race_stats_Saurial,14,FALSE))</f>
        <v>0</v>
      </c>
      <c r="O124" s="127">
        <f>IF(OR(Ethnie=0,Ethnie="Standard"),0,VLOOKUP(Ethnie,Race_stats_Saurial,15,FALSE))</f>
        <v>0</v>
      </c>
      <c r="P124" s="127">
        <f>IF(OR(Ethnie=0,Ethnie="Standard"),0,VLOOKUP(Ethnie,Race_stats_Saurial,16,FALSE))</f>
        <v>0</v>
      </c>
      <c r="Q124" s="127">
        <f>IF(OR(Ethnie=0,Ethnie="Standard"),0,VLOOKUP(Ethnie,Race_stats_Saurial,17,FALSE))</f>
        <v>0</v>
      </c>
      <c r="R124" s="127">
        <f>IF(OR(Ethnie=0,Ethnie="Standard"),0,VLOOKUP(Ethnie,Race_stats_Saurial,18,FALSE))</f>
        <v>0</v>
      </c>
      <c r="S124" s="127">
        <f>IF(OR(Ethnie=0,Ethnie="Standard"),0,VLOOKUP(Ethnie,Race_stats_Saurial,19,FALSE))</f>
        <v>0</v>
      </c>
      <c r="T124" s="127">
        <f>IF(OR(Ethnie=0,Ethnie="Standard"),0,VLOOKUP(Ethnie,Race_stats_Saurial,20,FALSE))</f>
        <v>0</v>
      </c>
      <c r="U124" s="127">
        <f>IF(OR(Ethnie=0,Ethnie="Standard"),0,VLOOKUP(Ethnie,Race_stats_Saurial,21,FALSE))</f>
        <v>0</v>
      </c>
      <c r="V124" s="128">
        <f>IF(OR(Ethnie=0,Ethnie="Standard"),0,VLOOKUP(Ethnie,Race_stats_Saurial,22,FALSE))</f>
        <v>0</v>
      </c>
      <c r="W124">
        <f t="shared" si="1"/>
        <v>0</v>
      </c>
      <c r="X124" s="31"/>
    </row>
    <row r="125" spans="1:24">
      <c r="A125" s="111" t="s">
        <v>659</v>
      </c>
      <c r="B125" s="24">
        <v>1</v>
      </c>
      <c r="C125" s="62" t="s">
        <v>696</v>
      </c>
      <c r="D125" s="53" t="s">
        <v>305</v>
      </c>
      <c r="E125" s="53" t="s">
        <v>305</v>
      </c>
      <c r="F125" s="53" t="s">
        <v>305</v>
      </c>
      <c r="G125" s="53" t="s">
        <v>305</v>
      </c>
      <c r="H125" s="53" t="s">
        <v>305</v>
      </c>
      <c r="I125" s="245">
        <v>8</v>
      </c>
      <c r="J125" s="127">
        <v>0.05</v>
      </c>
      <c r="K125" s="127">
        <v>0</v>
      </c>
      <c r="L125" s="127">
        <v>0.05</v>
      </c>
      <c r="M125" s="127">
        <v>0</v>
      </c>
      <c r="N125" s="127">
        <v>0.1</v>
      </c>
      <c r="O125" s="127">
        <v>-0.05</v>
      </c>
      <c r="P125" s="127">
        <v>-0.05</v>
      </c>
      <c r="Q125" s="127">
        <v>-0.1</v>
      </c>
      <c r="R125" s="127">
        <v>0</v>
      </c>
      <c r="S125" s="127">
        <v>0</v>
      </c>
      <c r="T125" s="127">
        <v>0</v>
      </c>
      <c r="U125" s="127">
        <v>0</v>
      </c>
      <c r="V125" s="128">
        <v>0</v>
      </c>
      <c r="W125">
        <f t="shared" si="1"/>
        <v>1</v>
      </c>
      <c r="X125" s="31"/>
    </row>
    <row r="126" spans="1:24">
      <c r="A126" s="111" t="s">
        <v>660</v>
      </c>
      <c r="B126" s="24">
        <v>1</v>
      </c>
      <c r="C126" s="61" t="s">
        <v>695</v>
      </c>
      <c r="D126" s="53" t="s">
        <v>305</v>
      </c>
      <c r="E126" s="53" t="s">
        <v>305</v>
      </c>
      <c r="F126" s="53" t="s">
        <v>305</v>
      </c>
      <c r="G126" s="53" t="s">
        <v>305</v>
      </c>
      <c r="H126" s="62" t="s">
        <v>696</v>
      </c>
      <c r="I126" s="245" t="s">
        <v>3638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8">
        <v>0</v>
      </c>
      <c r="W126">
        <f t="shared" si="1"/>
        <v>1</v>
      </c>
      <c r="X126" s="31"/>
    </row>
    <row r="127" spans="1:24">
      <c r="A127" s="116" t="s">
        <v>1325</v>
      </c>
      <c r="B127" s="24">
        <v>14</v>
      </c>
      <c r="C127" s="112" t="str">
        <f>IF(OR(Ethnie=0,Ethnie="Standard"),"—",VLOOKUP(Ethnie,Race_stats_sGéant,3,FALSE))</f>
        <v>—</v>
      </c>
      <c r="D127" s="112" t="str">
        <f>IF(OR(Ethnie=0,Ethnie="Standard"),"—",VLOOKUP(Ethnie,Race_stats_sGéant,4,FALSE))</f>
        <v>—</v>
      </c>
      <c r="E127" s="112" t="str">
        <f>IF(OR(Ethnie=0,Ethnie="Standard"),"—",VLOOKUP(Ethnie,Race_stats_sGéant,5,FALSE))</f>
        <v>—</v>
      </c>
      <c r="F127" s="112" t="str">
        <f>IF(OR(Ethnie=0,Ethnie="Standard"),"—",VLOOKUP(Ethnie,Race_stats_sGéant,6,FALSE))</f>
        <v>—</v>
      </c>
      <c r="G127" s="112" t="str">
        <f>IF(OR(Ethnie=0,Ethnie="Standard"),"—",VLOOKUP(Ethnie,Race_stats_sGéant,7,FALSE))</f>
        <v>—</v>
      </c>
      <c r="H127" s="112" t="str">
        <f>IF(OR(Ethnie=0,Ethnie="Standard"),"—",VLOOKUP(Ethnie,Race_stats_sGéant,8,FALSE))</f>
        <v>—</v>
      </c>
      <c r="I127" s="245" t="str">
        <f>IF(OR(Ethnie=0,Ethnie="Standard"),"Aucune",VLOOKUP(Ethnie,Race_stats_sGéant,9,FALSE))</f>
        <v>Aucune</v>
      </c>
      <c r="J127" s="127">
        <f>IF(OR(Ethnie=0,Ethnie="Standard"),0,VLOOKUP(Ethnie,Race_stats_sGéant,10,FALSE))</f>
        <v>0</v>
      </c>
      <c r="K127" s="127">
        <f>IF(OR(Ethnie=0,Ethnie="Standard"),0,VLOOKUP(Ethnie,Race_stats_sGéant,11,FALSE))</f>
        <v>0</v>
      </c>
      <c r="L127" s="127">
        <f>IF(OR(Ethnie=0,Ethnie="Standard"),0,VLOOKUP(Ethnie,Race_stats_sGéant,12,FALSE))</f>
        <v>0</v>
      </c>
      <c r="M127" s="127">
        <f>IF(OR(Ethnie=0,Ethnie="Standard"),0,VLOOKUP(Ethnie,Race_stats_sGéant,13,FALSE))</f>
        <v>0</v>
      </c>
      <c r="N127" s="127">
        <f>IF(OR(Ethnie=0,Ethnie="Standard"),0,VLOOKUP(Ethnie,Race_stats_sGéant,14,FALSE))</f>
        <v>0</v>
      </c>
      <c r="O127" s="127">
        <f>IF(OR(Ethnie=0,Ethnie="Standard"),0,VLOOKUP(Ethnie,Race_stats_sGéant,15,FALSE))</f>
        <v>0</v>
      </c>
      <c r="P127" s="127">
        <f>IF(OR(Ethnie=0,Ethnie="Standard"),0,VLOOKUP(Ethnie,Race_stats_sGéant,16,FALSE))</f>
        <v>0</v>
      </c>
      <c r="Q127" s="127">
        <f>IF(OR(Ethnie=0,Ethnie="Standard"),0,VLOOKUP(Ethnie,Race_stats_sGéant,17,FALSE))</f>
        <v>0</v>
      </c>
      <c r="R127" s="127">
        <f>IF(OR(Ethnie=0,Ethnie="Standard"),0,VLOOKUP(Ethnie,Race_stats_sGéant,18,FALSE))</f>
        <v>0</v>
      </c>
      <c r="S127" s="127">
        <f>IF(OR(Ethnie=0,Ethnie="Standard"),0,VLOOKUP(Ethnie,Race_stats_sGéant,19,FALSE))</f>
        <v>0</v>
      </c>
      <c r="T127" s="127">
        <f>IF(OR(Ethnie=0,Ethnie="Standard"),0,VLOOKUP(Ethnie,Race_stats_sGéant,20,FALSE))</f>
        <v>0</v>
      </c>
      <c r="U127" s="127">
        <f>IF(OR(Ethnie=0,Ethnie="Standard"),0,VLOOKUP(Ethnie,Race_stats_sGéant,21,FALSE))</f>
        <v>0</v>
      </c>
      <c r="V127" s="128">
        <f>IF(OR(Ethnie=0,Ethnie="Standard"),0,VLOOKUP(Ethnie,Race_stats_sGéant,22,FALSE))</f>
        <v>0</v>
      </c>
      <c r="W127">
        <f t="shared" si="1"/>
        <v>0</v>
      </c>
      <c r="X127" s="31"/>
    </row>
    <row r="128" spans="1:24">
      <c r="A128" s="115" t="s">
        <v>661</v>
      </c>
      <c r="B128" s="24">
        <v>1</v>
      </c>
      <c r="C128" s="53" t="s">
        <v>305</v>
      </c>
      <c r="D128" s="62" t="s">
        <v>696</v>
      </c>
      <c r="E128" s="61" t="s">
        <v>695</v>
      </c>
      <c r="F128" s="53" t="s">
        <v>305</v>
      </c>
      <c r="G128" s="53" t="s">
        <v>305</v>
      </c>
      <c r="H128" s="53" t="s">
        <v>305</v>
      </c>
      <c r="I128" s="245" t="s">
        <v>3638</v>
      </c>
      <c r="J128" s="127">
        <v>0.05</v>
      </c>
      <c r="K128" s="127">
        <v>-0.05</v>
      </c>
      <c r="L128" s="127">
        <v>-0.1</v>
      </c>
      <c r="M128" s="127">
        <v>0.05</v>
      </c>
      <c r="N128" s="127">
        <v>0.1</v>
      </c>
      <c r="O128" s="127">
        <v>0.05</v>
      </c>
      <c r="P128" s="127">
        <v>0</v>
      </c>
      <c r="Q128" s="127">
        <v>-0.1</v>
      </c>
      <c r="R128" s="127">
        <v>0</v>
      </c>
      <c r="S128" s="127">
        <v>0</v>
      </c>
      <c r="T128" s="127">
        <v>0</v>
      </c>
      <c r="U128" s="127">
        <v>0</v>
      </c>
      <c r="V128" s="128">
        <v>0</v>
      </c>
      <c r="W128">
        <f t="shared" si="1"/>
        <v>1</v>
      </c>
      <c r="X128" s="31"/>
    </row>
    <row r="129" spans="1:24">
      <c r="A129" s="115" t="s">
        <v>662</v>
      </c>
      <c r="B129" s="24">
        <v>1</v>
      </c>
      <c r="C129" s="53" t="s">
        <v>305</v>
      </c>
      <c r="D129" s="53" t="s">
        <v>305</v>
      </c>
      <c r="E129" s="53" t="s">
        <v>305</v>
      </c>
      <c r="F129" s="53" t="s">
        <v>305</v>
      </c>
      <c r="G129" s="53" t="s">
        <v>305</v>
      </c>
      <c r="H129" s="53" t="s">
        <v>305</v>
      </c>
      <c r="I129" s="245">
        <v>7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8">
        <v>0</v>
      </c>
      <c r="W129">
        <f t="shared" si="1"/>
        <v>1</v>
      </c>
      <c r="X129" s="31"/>
    </row>
    <row r="130" spans="1:24">
      <c r="A130" s="114" t="s">
        <v>663</v>
      </c>
      <c r="B130" s="24">
        <v>1</v>
      </c>
      <c r="C130" s="62" t="s">
        <v>696</v>
      </c>
      <c r="D130" s="62" t="s">
        <v>696</v>
      </c>
      <c r="E130" s="53" t="s">
        <v>305</v>
      </c>
      <c r="F130" s="61" t="s">
        <v>695</v>
      </c>
      <c r="G130" s="53" t="s">
        <v>305</v>
      </c>
      <c r="H130" s="61" t="s">
        <v>695</v>
      </c>
      <c r="I130" s="247" t="s">
        <v>3912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8">
        <v>0</v>
      </c>
      <c r="W130">
        <f t="shared" si="1"/>
        <v>1</v>
      </c>
      <c r="X130" s="31"/>
    </row>
    <row r="131" spans="1:24">
      <c r="A131" s="115" t="s">
        <v>664</v>
      </c>
      <c r="B131" s="24">
        <v>1</v>
      </c>
      <c r="C131" s="61" t="s">
        <v>695</v>
      </c>
      <c r="D131" s="62" t="s">
        <v>697</v>
      </c>
      <c r="E131" s="53" t="s">
        <v>305</v>
      </c>
      <c r="F131" s="53" t="s">
        <v>305</v>
      </c>
      <c r="G131" s="61" t="s">
        <v>695</v>
      </c>
      <c r="H131" s="61" t="s">
        <v>703</v>
      </c>
      <c r="I131" s="245">
        <v>7</v>
      </c>
      <c r="J131" s="127">
        <v>-0.2</v>
      </c>
      <c r="K131" s="127">
        <v>0</v>
      </c>
      <c r="L131" s="127">
        <v>0.05</v>
      </c>
      <c r="M131" s="127">
        <v>0.3</v>
      </c>
      <c r="N131" s="127">
        <v>0.85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8">
        <v>0</v>
      </c>
      <c r="W131">
        <f t="shared" si="1"/>
        <v>1</v>
      </c>
      <c r="X131" s="31"/>
    </row>
    <row r="132" spans="1:24">
      <c r="A132" s="115" t="s">
        <v>665</v>
      </c>
      <c r="B132" s="24">
        <v>1</v>
      </c>
      <c r="C132" s="53" t="s">
        <v>305</v>
      </c>
      <c r="D132" s="53" t="s">
        <v>305</v>
      </c>
      <c r="E132" s="53" t="s">
        <v>305</v>
      </c>
      <c r="F132" s="62" t="s">
        <v>696</v>
      </c>
      <c r="G132" s="53" t="s">
        <v>305</v>
      </c>
      <c r="H132" s="53" t="s">
        <v>305</v>
      </c>
      <c r="I132" s="247" t="s">
        <v>3912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8">
        <v>0</v>
      </c>
      <c r="W132">
        <f t="shared" si="1"/>
        <v>1</v>
      </c>
      <c r="X132" s="31"/>
    </row>
    <row r="133" spans="1:24">
      <c r="A133" s="115" t="s">
        <v>666</v>
      </c>
      <c r="B133" s="24">
        <v>1</v>
      </c>
      <c r="C133" s="53" t="s">
        <v>305</v>
      </c>
      <c r="D133" s="62" t="s">
        <v>696</v>
      </c>
      <c r="E133" s="62" t="s">
        <v>696</v>
      </c>
      <c r="F133" s="53" t="s">
        <v>305</v>
      </c>
      <c r="G133" s="53" t="s">
        <v>305</v>
      </c>
      <c r="H133" s="61" t="s">
        <v>698</v>
      </c>
      <c r="I133" s="245">
        <v>6</v>
      </c>
      <c r="J133" s="127">
        <v>-0.05</v>
      </c>
      <c r="K133" s="127">
        <v>-0.05</v>
      </c>
      <c r="L133" s="127">
        <v>-0.05</v>
      </c>
      <c r="M133" s="127">
        <v>0</v>
      </c>
      <c r="N133" s="127">
        <v>0</v>
      </c>
      <c r="O133" s="127">
        <v>0</v>
      </c>
      <c r="P133" s="127">
        <v>0.15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8">
        <v>0</v>
      </c>
      <c r="W133">
        <f t="shared" si="1"/>
        <v>1</v>
      </c>
      <c r="X133" s="31"/>
    </row>
    <row r="134" spans="1:24">
      <c r="A134" s="111" t="s">
        <v>3995</v>
      </c>
      <c r="B134" s="24">
        <v>1</v>
      </c>
      <c r="C134" s="61" t="s">
        <v>695</v>
      </c>
      <c r="D134" s="62" t="s">
        <v>697</v>
      </c>
      <c r="E134" s="53" t="s">
        <v>305</v>
      </c>
      <c r="F134" s="61" t="s">
        <v>695</v>
      </c>
      <c r="G134" s="53" t="s">
        <v>305</v>
      </c>
      <c r="H134" s="53" t="s">
        <v>305</v>
      </c>
      <c r="I134" s="245">
        <v>6</v>
      </c>
      <c r="J134" s="127">
        <v>0</v>
      </c>
      <c r="K134" s="127">
        <v>-0.1</v>
      </c>
      <c r="L134" s="127">
        <v>-0.05</v>
      </c>
      <c r="M134" s="127">
        <v>0.05</v>
      </c>
      <c r="N134" s="127">
        <v>0.7</v>
      </c>
      <c r="O134" s="127">
        <v>0.05</v>
      </c>
      <c r="P134" s="127">
        <v>0.25</v>
      </c>
      <c r="Q134" s="127">
        <v>-0.1</v>
      </c>
      <c r="R134" s="127">
        <v>0</v>
      </c>
      <c r="S134" s="127">
        <v>0</v>
      </c>
      <c r="T134" s="127">
        <v>0</v>
      </c>
      <c r="U134" s="127">
        <v>0</v>
      </c>
      <c r="V134" s="128">
        <v>0</v>
      </c>
      <c r="W134">
        <f t="shared" si="1"/>
        <v>1</v>
      </c>
      <c r="X134" s="31"/>
    </row>
    <row r="135" spans="1:24">
      <c r="A135" s="115" t="s">
        <v>669</v>
      </c>
      <c r="B135" s="24">
        <v>1</v>
      </c>
      <c r="C135" s="61" t="s">
        <v>695</v>
      </c>
      <c r="D135" s="53" t="s">
        <v>305</v>
      </c>
      <c r="E135" s="62" t="s">
        <v>696</v>
      </c>
      <c r="F135" s="53" t="s">
        <v>305</v>
      </c>
      <c r="G135" s="53" t="s">
        <v>305</v>
      </c>
      <c r="H135" s="53" t="s">
        <v>305</v>
      </c>
      <c r="I135" s="247" t="s">
        <v>3912</v>
      </c>
      <c r="J135" s="127">
        <v>0.1</v>
      </c>
      <c r="K135" s="127">
        <v>0</v>
      </c>
      <c r="L135" s="127">
        <v>0</v>
      </c>
      <c r="M135" s="127">
        <v>0.05</v>
      </c>
      <c r="N135" s="127">
        <v>0.05</v>
      </c>
      <c r="O135" s="127">
        <v>0</v>
      </c>
      <c r="P135" s="127">
        <v>0</v>
      </c>
      <c r="Q135" s="127">
        <v>-0.2</v>
      </c>
      <c r="R135" s="127">
        <v>0</v>
      </c>
      <c r="S135" s="127">
        <v>0</v>
      </c>
      <c r="T135" s="127">
        <v>0</v>
      </c>
      <c r="U135" s="127">
        <v>0</v>
      </c>
      <c r="V135" s="128">
        <v>0</v>
      </c>
      <c r="W135">
        <f t="shared" si="1"/>
        <v>1</v>
      </c>
      <c r="X135" s="31"/>
    </row>
    <row r="136" spans="1:24">
      <c r="A136" s="115" t="s">
        <v>670</v>
      </c>
      <c r="B136" s="24">
        <v>1</v>
      </c>
      <c r="C136" s="61" t="s">
        <v>695</v>
      </c>
      <c r="D136" s="53" t="s">
        <v>305</v>
      </c>
      <c r="E136" s="61" t="s">
        <v>695</v>
      </c>
      <c r="F136" s="62" t="s">
        <v>696</v>
      </c>
      <c r="G136" s="62" t="s">
        <v>696</v>
      </c>
      <c r="H136" s="53" t="s">
        <v>305</v>
      </c>
      <c r="I136" s="247" t="s">
        <v>3912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8">
        <v>0</v>
      </c>
      <c r="W136">
        <f t="shared" si="1"/>
        <v>1</v>
      </c>
      <c r="X136" s="31"/>
    </row>
    <row r="137" spans="1:24">
      <c r="A137" s="111" t="s">
        <v>671</v>
      </c>
      <c r="B137" s="24">
        <v>32</v>
      </c>
      <c r="C137" s="112" t="str">
        <f>IF(OR(Ethnie=0,Ethnie="Standard"),VLOOKUP("Standard",Race_stats_Thri_kreen,3,FALSE),VLOOKUP(Ethnie,Race_stats_Thri_kreen,3,FALSE))</f>
        <v>—</v>
      </c>
      <c r="D137" s="112" t="str">
        <f>IF(OR(Ethnie=0,Ethnie="Standard"),VLOOKUP("Standard",Race_stats_Thri_kreen,4,FALSE),VLOOKUP(Ethnie,Race_stats_Thri_kreen,4,FALSE))</f>
        <v>+1</v>
      </c>
      <c r="E137" s="112" t="str">
        <f>IF(OR(Ethnie=0,Ethnie="Standard"),VLOOKUP("Standard",Race_stats_Thri_kreen,5,FALSE),VLOOKUP(Ethnie,Race_stats_Thri_kreen,5,FALSE))</f>
        <v>—</v>
      </c>
      <c r="F137" s="112" t="str">
        <f>IF(OR(Ethnie=0,Ethnie="Standard"),VLOOKUP("Standard",Race_stats_Thri_kreen,6,FALSE),VLOOKUP(Ethnie,Race_stats_Thri_kreen,6,FALSE))</f>
        <v>–1</v>
      </c>
      <c r="G137" s="112" t="str">
        <f>IF(OR(Ethnie=0,Ethnie="Standard"),VLOOKUP("Standard",Race_stats_Thri_kreen,7,FALSE),VLOOKUP(Ethnie,Race_stats_Thri_kreen,7,FALSE))</f>
        <v>+1</v>
      </c>
      <c r="H137" s="112" t="str">
        <f>IF(OR(Ethnie=0,Ethnie="Standard"),VLOOKUP("Standard",Race_stats_Thri_kreen,8,FALSE),VLOOKUP(Ethnie,Race_stats_Thri_kreen,8,FALSE))</f>
        <v>–1</v>
      </c>
      <c r="I137" s="245">
        <f>IF(OR(Ethnie=0,Ethnie="Standard"),VLOOKUP("Standard",Race_stats_Thri_kreen,9,FALSE),VLOOKUP(Ethnie,Race_stats_Thri_kreen,9,FALSE))</f>
        <v>5</v>
      </c>
      <c r="J137" s="127">
        <f>IF(OR(Ethnie=0,Ethnie="Standard"),VLOOKUP("Standard",Race_stats_Thri_kreen,10,FALSE),VLOOKUP(Ethnie,Race_stats_Thri_kreen,10,FALSE))</f>
        <v>0</v>
      </c>
      <c r="K137" s="127">
        <f>IF(OR(Ethnie=0,Ethnie="Standard"),VLOOKUP("Standard",Race_stats_Thri_kreen,11,FALSE),VLOOKUP(Ethnie,Race_stats_Thri_kreen,11,FALSE))</f>
        <v>0</v>
      </c>
      <c r="L137" s="127">
        <f>IF(OR(Ethnie=0,Ethnie="Standard"),VLOOKUP("Standard",Race_stats_Thri_kreen,12,FALSE),VLOOKUP(Ethnie,Race_stats_Thri_kreen,12,FALSE))</f>
        <v>0</v>
      </c>
      <c r="M137" s="127">
        <f>IF(OR(Ethnie=0,Ethnie="Standard"),VLOOKUP("Standard",Race_stats_Thri_kreen,13,FALSE),VLOOKUP(Ethnie,Race_stats_Thri_kreen,13,FALSE))</f>
        <v>0</v>
      </c>
      <c r="N137" s="127">
        <f>IF(OR(Ethnie=0,Ethnie="Standard"),VLOOKUP("Standard",Race_stats_Thri_kreen,14,FALSE),VLOOKUP(Ethnie,Race_stats_Thri_kreen,14,FALSE))</f>
        <v>0</v>
      </c>
      <c r="O137" s="127">
        <f>IF(OR(Ethnie=0,Ethnie="Standard"),VLOOKUP("Standard",Race_stats_Thri_kreen,15,FALSE),VLOOKUP(Ethnie,Race_stats_Thri_kreen,15,FALSE))</f>
        <v>0</v>
      </c>
      <c r="P137" s="127">
        <f>IF(OR(Ethnie=0,Ethnie="Standard"),VLOOKUP("Standard",Race_stats_Thri_kreen,16,FALSE),VLOOKUP(Ethnie,Race_stats_Thri_kreen,16,FALSE))</f>
        <v>0</v>
      </c>
      <c r="Q137" s="127">
        <f>IF(OR(Ethnie=0,Ethnie="Standard"),VLOOKUP("Standard",Race_stats_Thri_kreen,17,FALSE),VLOOKUP(Ethnie,Race_stats_Thri_kreen,17,FALSE))</f>
        <v>0</v>
      </c>
      <c r="R137" s="127">
        <f>IF(OR(Ethnie=0,Ethnie="Standard"),VLOOKUP("Standard",Race_stats_Thri_kreen,18,FALSE),VLOOKUP(Ethnie,Race_stats_Thri_kreen,18,FALSE))</f>
        <v>0</v>
      </c>
      <c r="S137" s="127">
        <f>IF(OR(Ethnie=0,Ethnie="Standard"),VLOOKUP("Standard",Race_stats_Thri_kreen,19,FALSE),VLOOKUP(Ethnie,Race_stats_Thri_kreen,19,FALSE))</f>
        <v>0</v>
      </c>
      <c r="T137" s="127">
        <f>IF(OR(Ethnie=0,Ethnie="Standard"),VLOOKUP("Standard",Race_stats_Thri_kreen,20,FALSE),VLOOKUP(Ethnie,Race_stats_Thri_kreen,20,FALSE))</f>
        <v>0</v>
      </c>
      <c r="U137" s="127">
        <f>IF(OR(Ethnie=0,Ethnie="Standard"),VLOOKUP("Standard",Race_stats_Thri_kreen,21,FALSE),VLOOKUP(Ethnie,Race_stats_Thri_kreen,21,FALSE))</f>
        <v>0</v>
      </c>
      <c r="V137" s="128">
        <f>IF(OR(Ethnie=0,Ethnie="Standard"),VLOOKUP("Standard",Race_stats_Thri_kreen,22,FALSE),VLOOKUP(Ethnie,Race_stats_Thri_kreen,22,FALSE))</f>
        <v>0</v>
      </c>
      <c r="W137">
        <f t="shared" si="1"/>
        <v>0</v>
      </c>
      <c r="X137" s="31"/>
    </row>
    <row r="138" spans="1:24">
      <c r="A138" s="116" t="s">
        <v>286</v>
      </c>
      <c r="B138" s="24">
        <v>1</v>
      </c>
      <c r="C138" s="61" t="s">
        <v>695</v>
      </c>
      <c r="D138" s="53" t="s">
        <v>305</v>
      </c>
      <c r="E138" s="53" t="s">
        <v>305</v>
      </c>
      <c r="F138" s="62" t="s">
        <v>696</v>
      </c>
      <c r="G138" s="61" t="s">
        <v>695</v>
      </c>
      <c r="H138" s="62" t="s">
        <v>696</v>
      </c>
      <c r="I138" s="245" t="s">
        <v>3638</v>
      </c>
      <c r="J138" s="127">
        <v>0</v>
      </c>
      <c r="K138" s="127">
        <v>0</v>
      </c>
      <c r="L138" s="127">
        <v>0.05</v>
      </c>
      <c r="M138" s="127">
        <v>0.1</v>
      </c>
      <c r="N138" s="127">
        <v>0.1</v>
      </c>
      <c r="O138" s="127">
        <v>0</v>
      </c>
      <c r="P138" s="127">
        <v>0</v>
      </c>
      <c r="Q138" s="127">
        <v>0.05</v>
      </c>
      <c r="R138" s="127">
        <v>0.05</v>
      </c>
      <c r="S138" s="127">
        <v>0.05</v>
      </c>
      <c r="T138" s="127">
        <v>-0.05</v>
      </c>
      <c r="U138" s="127">
        <v>0</v>
      </c>
      <c r="V138" s="128">
        <v>0.05</v>
      </c>
      <c r="W138">
        <f t="shared" si="1"/>
        <v>1</v>
      </c>
      <c r="X138" s="31"/>
    </row>
    <row r="139" spans="1:24">
      <c r="A139" s="114" t="s">
        <v>674</v>
      </c>
      <c r="B139" s="24">
        <v>1</v>
      </c>
      <c r="C139" s="53" t="s">
        <v>305</v>
      </c>
      <c r="D139" s="61" t="s">
        <v>698</v>
      </c>
      <c r="E139" s="62" t="s">
        <v>696</v>
      </c>
      <c r="F139" s="53" t="s">
        <v>305</v>
      </c>
      <c r="G139" s="62" t="s">
        <v>696</v>
      </c>
      <c r="H139" s="53" t="s">
        <v>305</v>
      </c>
      <c r="I139" s="245">
        <v>3</v>
      </c>
      <c r="J139" s="127">
        <v>0</v>
      </c>
      <c r="K139" s="127">
        <v>0</v>
      </c>
      <c r="L139" s="127">
        <v>0</v>
      </c>
      <c r="M139" s="127">
        <v>-0.05</v>
      </c>
      <c r="N139" s="127">
        <v>-0.05</v>
      </c>
      <c r="O139" s="127">
        <v>0</v>
      </c>
      <c r="P139" s="127">
        <v>-0.2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8">
        <v>0</v>
      </c>
      <c r="W139">
        <f t="shared" si="1"/>
        <v>1</v>
      </c>
      <c r="X139" s="31"/>
    </row>
    <row r="140" spans="1:24">
      <c r="A140" s="111" t="s">
        <v>675</v>
      </c>
      <c r="B140" s="24">
        <v>1</v>
      </c>
      <c r="C140" s="61" t="s">
        <v>695</v>
      </c>
      <c r="D140" s="53" t="s">
        <v>305</v>
      </c>
      <c r="E140" s="53" t="s">
        <v>305</v>
      </c>
      <c r="F140" s="64" t="s">
        <v>710</v>
      </c>
      <c r="G140" s="64" t="s">
        <v>710</v>
      </c>
      <c r="H140" s="53" t="s">
        <v>305</v>
      </c>
      <c r="I140" s="245">
        <v>5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8">
        <v>0</v>
      </c>
      <c r="W140">
        <f t="shared" si="1"/>
        <v>1</v>
      </c>
      <c r="X140" s="31"/>
    </row>
    <row r="141" spans="1:24">
      <c r="A141" s="111" t="s">
        <v>676</v>
      </c>
      <c r="B141" s="24">
        <v>1</v>
      </c>
      <c r="C141" s="53" t="s">
        <v>305</v>
      </c>
      <c r="D141" s="53" t="s">
        <v>305</v>
      </c>
      <c r="E141" s="53" t="s">
        <v>305</v>
      </c>
      <c r="F141" s="61" t="s">
        <v>695</v>
      </c>
      <c r="G141" s="53" t="s">
        <v>305</v>
      </c>
      <c r="H141" s="53" t="s">
        <v>305</v>
      </c>
      <c r="I141" s="245">
        <v>5</v>
      </c>
      <c r="J141" s="127">
        <v>0</v>
      </c>
      <c r="K141" s="127">
        <v>0.05</v>
      </c>
      <c r="L141" s="127">
        <v>0.05</v>
      </c>
      <c r="M141" s="127">
        <v>-0.05</v>
      </c>
      <c r="N141" s="127">
        <v>0.1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8">
        <v>0</v>
      </c>
      <c r="W141">
        <f t="shared" si="1"/>
        <v>1</v>
      </c>
      <c r="X141" s="31"/>
    </row>
    <row r="142" spans="1:24">
      <c r="A142" s="115" t="s">
        <v>677</v>
      </c>
      <c r="B142" s="24">
        <v>1</v>
      </c>
      <c r="C142" s="61" t="s">
        <v>695</v>
      </c>
      <c r="D142" s="62" t="s">
        <v>697</v>
      </c>
      <c r="E142" s="61" t="s">
        <v>695</v>
      </c>
      <c r="F142" s="53" t="s">
        <v>305</v>
      </c>
      <c r="G142" s="53" t="s">
        <v>305</v>
      </c>
      <c r="H142" s="61" t="s">
        <v>695</v>
      </c>
      <c r="I142" s="245" t="s">
        <v>3638</v>
      </c>
      <c r="J142" s="127">
        <v>0.05</v>
      </c>
      <c r="K142" s="127">
        <v>0.05</v>
      </c>
      <c r="L142" s="127">
        <v>0</v>
      </c>
      <c r="M142" s="127">
        <v>0.1</v>
      </c>
      <c r="N142" s="127">
        <v>0.1</v>
      </c>
      <c r="O142" s="127">
        <v>0</v>
      </c>
      <c r="P142" s="127">
        <v>0</v>
      </c>
      <c r="Q142" s="127">
        <v>-0.1</v>
      </c>
      <c r="R142" s="127">
        <v>0</v>
      </c>
      <c r="S142" s="127">
        <v>0</v>
      </c>
      <c r="T142" s="127">
        <v>0</v>
      </c>
      <c r="U142" s="127">
        <v>0</v>
      </c>
      <c r="V142" s="128">
        <v>0</v>
      </c>
      <c r="W142">
        <f t="shared" si="1"/>
        <v>1</v>
      </c>
      <c r="X142" s="31"/>
    </row>
    <row r="143" spans="1:24">
      <c r="A143" s="115" t="s">
        <v>678</v>
      </c>
      <c r="B143" s="24">
        <v>1</v>
      </c>
      <c r="C143" s="61" t="s">
        <v>698</v>
      </c>
      <c r="D143" s="62" t="s">
        <v>697</v>
      </c>
      <c r="E143" s="61" t="s">
        <v>698</v>
      </c>
      <c r="F143" s="62" t="s">
        <v>696</v>
      </c>
      <c r="G143" s="53" t="s">
        <v>305</v>
      </c>
      <c r="H143" s="53" t="s">
        <v>305</v>
      </c>
      <c r="I143" s="245">
        <v>4</v>
      </c>
      <c r="J143" s="127">
        <v>0.1</v>
      </c>
      <c r="K143" s="127">
        <v>0.15</v>
      </c>
      <c r="L143" s="127">
        <v>0.1</v>
      </c>
      <c r="M143" s="127">
        <v>-0.1</v>
      </c>
      <c r="N143" s="127">
        <v>-0.05</v>
      </c>
      <c r="O143" s="127">
        <v>0</v>
      </c>
      <c r="P143" s="127">
        <v>-0.05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8">
        <v>0</v>
      </c>
      <c r="W143">
        <f t="shared" si="1"/>
        <v>1</v>
      </c>
      <c r="X143" s="31"/>
    </row>
    <row r="144" spans="1:24">
      <c r="A144" s="111" t="s">
        <v>3996</v>
      </c>
      <c r="B144" s="24">
        <v>1</v>
      </c>
      <c r="C144" s="62" t="s">
        <v>697</v>
      </c>
      <c r="D144" s="61" t="s">
        <v>698</v>
      </c>
      <c r="E144" s="62" t="s">
        <v>697</v>
      </c>
      <c r="F144" s="53" t="s">
        <v>305</v>
      </c>
      <c r="G144" s="53" t="s">
        <v>305</v>
      </c>
      <c r="H144" s="61" t="s">
        <v>698</v>
      </c>
      <c r="I144" s="245">
        <v>2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8">
        <v>0</v>
      </c>
      <c r="W144">
        <f t="shared" si="1"/>
        <v>1</v>
      </c>
      <c r="X144" s="31"/>
    </row>
    <row r="145" spans="1:24">
      <c r="A145" s="111" t="s">
        <v>680</v>
      </c>
      <c r="B145" s="24">
        <v>1</v>
      </c>
      <c r="C145" s="62" t="s">
        <v>696</v>
      </c>
      <c r="D145" s="61" t="s">
        <v>695</v>
      </c>
      <c r="E145" s="53" t="s">
        <v>305</v>
      </c>
      <c r="F145" s="53" t="s">
        <v>305</v>
      </c>
      <c r="G145" s="53" t="s">
        <v>305</v>
      </c>
      <c r="H145" s="53" t="s">
        <v>305</v>
      </c>
      <c r="I145" s="245">
        <v>6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8">
        <v>0</v>
      </c>
      <c r="W145">
        <f t="shared" si="1"/>
        <v>1</v>
      </c>
      <c r="X145" s="31"/>
    </row>
    <row r="146" spans="1:24">
      <c r="A146" s="111" t="s">
        <v>682</v>
      </c>
      <c r="B146" s="24">
        <v>1</v>
      </c>
      <c r="C146" s="53" t="s">
        <v>305</v>
      </c>
      <c r="D146" s="62" t="s">
        <v>696</v>
      </c>
      <c r="E146" s="62" t="s">
        <v>696</v>
      </c>
      <c r="F146" s="53" t="s">
        <v>305</v>
      </c>
      <c r="G146" s="53" t="s">
        <v>305</v>
      </c>
      <c r="H146" s="61" t="s">
        <v>698</v>
      </c>
      <c r="I146" s="245">
        <v>5</v>
      </c>
      <c r="J146" s="127">
        <v>0.05</v>
      </c>
      <c r="K146" s="127">
        <v>0.05</v>
      </c>
      <c r="L146" s="127">
        <v>0.1</v>
      </c>
      <c r="M146" s="127">
        <v>-0.05</v>
      </c>
      <c r="N146" s="127">
        <v>-0.05</v>
      </c>
      <c r="O146" s="127">
        <v>0.05</v>
      </c>
      <c r="P146" s="127">
        <v>-0.1</v>
      </c>
      <c r="Q146" s="127">
        <v>-0.05</v>
      </c>
      <c r="R146" s="127">
        <v>0</v>
      </c>
      <c r="S146" s="127">
        <v>0</v>
      </c>
      <c r="T146" s="127">
        <v>0</v>
      </c>
      <c r="U146" s="127">
        <v>0</v>
      </c>
      <c r="V146" s="128">
        <v>0</v>
      </c>
      <c r="W146">
        <f t="shared" si="1"/>
        <v>1</v>
      </c>
      <c r="X146" s="31"/>
    </row>
    <row r="147" spans="1:24">
      <c r="A147" s="111" t="s">
        <v>3997</v>
      </c>
      <c r="B147" s="24">
        <v>1</v>
      </c>
      <c r="C147" s="62" t="s">
        <v>697</v>
      </c>
      <c r="D147" s="53" t="s">
        <v>305</v>
      </c>
      <c r="E147" s="53" t="s">
        <v>305</v>
      </c>
      <c r="F147" s="61" t="s">
        <v>695</v>
      </c>
      <c r="G147" s="53" t="s">
        <v>305</v>
      </c>
      <c r="H147" s="61" t="s">
        <v>695</v>
      </c>
      <c r="I147" s="245">
        <v>6</v>
      </c>
      <c r="J147" s="127">
        <v>-0.05</v>
      </c>
      <c r="K147" s="127">
        <v>-0.05</v>
      </c>
      <c r="L147" s="127">
        <v>0</v>
      </c>
      <c r="M147" s="127">
        <v>0</v>
      </c>
      <c r="N147" s="127">
        <v>0</v>
      </c>
      <c r="O147" s="127">
        <v>0</v>
      </c>
      <c r="P147" s="127">
        <v>-0.05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8">
        <v>0</v>
      </c>
      <c r="W147">
        <f t="shared" si="1"/>
        <v>1</v>
      </c>
      <c r="X147" s="31"/>
    </row>
    <row r="148" spans="1:24">
      <c r="A148" s="122" t="s">
        <v>684</v>
      </c>
      <c r="B148" s="123">
        <v>1</v>
      </c>
      <c r="C148" s="124" t="s">
        <v>695</v>
      </c>
      <c r="D148" s="125" t="s">
        <v>305</v>
      </c>
      <c r="E148" s="125" t="s">
        <v>305</v>
      </c>
      <c r="F148" s="126" t="s">
        <v>696</v>
      </c>
      <c r="G148" s="126" t="s">
        <v>696</v>
      </c>
      <c r="H148" s="124" t="s">
        <v>695</v>
      </c>
      <c r="I148" s="245">
        <v>3</v>
      </c>
      <c r="J148" s="129">
        <v>0.1</v>
      </c>
      <c r="K148" s="129">
        <v>0.1</v>
      </c>
      <c r="L148" s="129">
        <v>0</v>
      </c>
      <c r="M148" s="129">
        <v>-0.1</v>
      </c>
      <c r="N148" s="129">
        <v>-0.1</v>
      </c>
      <c r="O148" s="129">
        <v>0</v>
      </c>
      <c r="P148" s="129">
        <v>-0.05</v>
      </c>
      <c r="Q148" s="129">
        <v>0</v>
      </c>
      <c r="R148" s="129">
        <v>0</v>
      </c>
      <c r="S148" s="129">
        <v>0</v>
      </c>
      <c r="T148" s="129">
        <v>0</v>
      </c>
      <c r="U148" s="129">
        <v>0</v>
      </c>
      <c r="V148" s="130">
        <v>0</v>
      </c>
      <c r="W148">
        <f t="shared" si="1"/>
        <v>1</v>
      </c>
      <c r="X148" s="31"/>
    </row>
  </sheetData>
  <sortState ref="A43:B168">
    <sortCondition ref="A42"/>
  </sortState>
  <conditionalFormatting sqref="C41:H148 C39:V39 I41:I102">
    <cfRule type="cellIs" dxfId="16" priority="619" stopIfTrue="1" operator="equal">
      <formula>"—"</formula>
    </cfRule>
  </conditionalFormatting>
  <conditionalFormatting sqref="J41:V148">
    <cfRule type="cellIs" dxfId="15" priority="3" operator="lessThan">
      <formula>0</formula>
    </cfRule>
    <cfRule type="cellIs" dxfId="14" priority="4" operator="greaterThan">
      <formula>0</formula>
    </cfRule>
    <cfRule type="cellIs" dxfId="13" priority="5" operator="equal">
      <formula>0</formula>
    </cfRule>
  </conditionalFormatting>
  <conditionalFormatting sqref="I104:I122">
    <cfRule type="cellIs" dxfId="12" priority="2" stopIfTrue="1" operator="equal">
      <formula>"—"</formula>
    </cfRule>
  </conditionalFormatting>
  <conditionalFormatting sqref="I124:I148">
    <cfRule type="cellIs" dxfId="11" priority="1" stopIfTrue="1" operator="equal">
      <formula>"—"</formula>
    </cfRule>
  </conditionalFormatting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V281"/>
  <sheetViews>
    <sheetView topLeftCell="A95" zoomScale="85" zoomScaleNormal="85" workbookViewId="0">
      <selection activeCell="A119" sqref="A119:V121"/>
    </sheetView>
  </sheetViews>
  <sheetFormatPr defaultRowHeight="15"/>
  <cols>
    <col min="2" max="2" width="22.42578125" customWidth="1"/>
  </cols>
  <sheetData>
    <row r="1" spans="1:22">
      <c r="A1" s="101" t="s">
        <v>1343</v>
      </c>
      <c r="B1" s="102"/>
      <c r="C1" s="103" t="s">
        <v>197</v>
      </c>
      <c r="D1" s="103" t="s">
        <v>198</v>
      </c>
      <c r="E1" s="103" t="s">
        <v>199</v>
      </c>
      <c r="F1" s="103" t="s">
        <v>194</v>
      </c>
      <c r="G1" s="103" t="s">
        <v>195</v>
      </c>
      <c r="H1" s="103" t="s">
        <v>196</v>
      </c>
      <c r="I1" s="103" t="s">
        <v>3917</v>
      </c>
      <c r="J1" s="104" t="s">
        <v>1363</v>
      </c>
      <c r="K1" s="104" t="s">
        <v>1364</v>
      </c>
      <c r="L1" s="104" t="s">
        <v>1365</v>
      </c>
      <c r="M1" s="104" t="s">
        <v>1366</v>
      </c>
      <c r="N1" s="104" t="s">
        <v>1367</v>
      </c>
      <c r="O1" s="104" t="s">
        <v>1368</v>
      </c>
      <c r="P1" s="104" t="s">
        <v>1369</v>
      </c>
      <c r="Q1" s="104" t="s">
        <v>1375</v>
      </c>
      <c r="R1" s="104" t="s">
        <v>1370</v>
      </c>
      <c r="S1" s="104" t="s">
        <v>1371</v>
      </c>
      <c r="T1" s="104" t="s">
        <v>1372</v>
      </c>
      <c r="U1" s="104" t="s">
        <v>1373</v>
      </c>
      <c r="V1" s="104" t="s">
        <v>1374</v>
      </c>
    </row>
    <row r="2" spans="1:22">
      <c r="A2" s="93" t="s">
        <v>1295</v>
      </c>
      <c r="B2" s="93"/>
      <c r="C2" s="46" t="s">
        <v>305</v>
      </c>
      <c r="D2" s="46" t="s">
        <v>305</v>
      </c>
      <c r="E2" s="46" t="s">
        <v>305</v>
      </c>
      <c r="F2" s="46" t="s">
        <v>305</v>
      </c>
      <c r="G2" s="46" t="s">
        <v>305</v>
      </c>
      <c r="H2" s="46" t="s">
        <v>305</v>
      </c>
      <c r="I2" s="93" t="s">
        <v>3638</v>
      </c>
      <c r="J2" s="127">
        <v>0.1</v>
      </c>
      <c r="K2" s="127">
        <v>0</v>
      </c>
      <c r="L2" s="127">
        <v>0</v>
      </c>
      <c r="M2" s="127">
        <v>0</v>
      </c>
      <c r="N2" s="127">
        <v>0.05</v>
      </c>
      <c r="O2" s="127">
        <v>0</v>
      </c>
      <c r="P2" s="127">
        <v>0</v>
      </c>
      <c r="Q2" s="127">
        <v>0</v>
      </c>
      <c r="R2" s="127">
        <v>0.05</v>
      </c>
      <c r="S2" s="127">
        <v>0.05</v>
      </c>
      <c r="T2" s="127">
        <v>0.05</v>
      </c>
      <c r="U2" s="127">
        <v>-0.05</v>
      </c>
      <c r="V2" s="128">
        <v>0</v>
      </c>
    </row>
    <row r="3" spans="1:22">
      <c r="A3" s="10" t="s">
        <v>1152</v>
      </c>
      <c r="B3" s="10"/>
      <c r="C3" s="46" t="s">
        <v>305</v>
      </c>
      <c r="D3" s="60" t="s">
        <v>696</v>
      </c>
      <c r="E3" s="59" t="s">
        <v>695</v>
      </c>
      <c r="F3" s="46" t="s">
        <v>305</v>
      </c>
      <c r="G3" s="46" t="s">
        <v>305</v>
      </c>
      <c r="H3" s="46" t="s">
        <v>305</v>
      </c>
      <c r="I3" s="10" t="s">
        <v>3638</v>
      </c>
      <c r="J3" s="127">
        <v>0.1</v>
      </c>
      <c r="K3" s="127">
        <v>0</v>
      </c>
      <c r="L3" s="127">
        <v>0</v>
      </c>
      <c r="M3" s="127">
        <v>0</v>
      </c>
      <c r="N3" s="127">
        <v>0.05</v>
      </c>
      <c r="O3" s="127">
        <v>0</v>
      </c>
      <c r="P3" s="127">
        <v>0</v>
      </c>
      <c r="Q3" s="127">
        <v>0</v>
      </c>
      <c r="R3" s="127">
        <v>0</v>
      </c>
      <c r="S3" s="127">
        <v>0</v>
      </c>
      <c r="T3" s="127">
        <v>-0.1</v>
      </c>
      <c r="U3" s="127">
        <v>0</v>
      </c>
      <c r="V3" s="128">
        <v>0</v>
      </c>
    </row>
    <row r="4" spans="1:22">
      <c r="A4" s="93" t="s">
        <v>3062</v>
      </c>
      <c r="B4" s="93"/>
      <c r="C4" s="46" t="s">
        <v>305</v>
      </c>
      <c r="D4" s="60" t="s">
        <v>696</v>
      </c>
      <c r="E4" s="59" t="s">
        <v>695</v>
      </c>
      <c r="F4" s="46" t="s">
        <v>305</v>
      </c>
      <c r="G4" s="46" t="s">
        <v>305</v>
      </c>
      <c r="H4" s="46" t="s">
        <v>305</v>
      </c>
      <c r="I4" s="93" t="s">
        <v>3638</v>
      </c>
      <c r="J4" s="127">
        <v>0.1</v>
      </c>
      <c r="K4" s="127">
        <v>0</v>
      </c>
      <c r="L4" s="127">
        <v>0</v>
      </c>
      <c r="M4" s="127">
        <v>0</v>
      </c>
      <c r="N4" s="127">
        <v>0.05</v>
      </c>
      <c r="O4" s="127">
        <v>0</v>
      </c>
      <c r="P4" s="127">
        <v>0</v>
      </c>
      <c r="Q4" s="127">
        <v>0</v>
      </c>
      <c r="R4" s="127">
        <v>0.05</v>
      </c>
      <c r="S4" s="127">
        <v>0.05</v>
      </c>
      <c r="T4" s="127">
        <v>0.05</v>
      </c>
      <c r="U4" s="127">
        <v>-0.05</v>
      </c>
      <c r="V4" s="128">
        <v>0</v>
      </c>
    </row>
    <row r="5" spans="1:22">
      <c r="A5" s="10" t="s">
        <v>3063</v>
      </c>
      <c r="B5" s="10"/>
      <c r="C5" s="46" t="s">
        <v>305</v>
      </c>
      <c r="D5" s="46" t="s">
        <v>305</v>
      </c>
      <c r="E5" s="46" t="s">
        <v>305</v>
      </c>
      <c r="F5" s="46" t="s">
        <v>305</v>
      </c>
      <c r="G5" s="46" t="s">
        <v>305</v>
      </c>
      <c r="H5" s="46" t="s">
        <v>305</v>
      </c>
      <c r="I5" s="10" t="s">
        <v>3638</v>
      </c>
      <c r="J5" s="127">
        <v>0.1</v>
      </c>
      <c r="K5" s="127">
        <v>0</v>
      </c>
      <c r="L5" s="127">
        <v>0</v>
      </c>
      <c r="M5" s="127">
        <v>0</v>
      </c>
      <c r="N5" s="127">
        <v>0.05</v>
      </c>
      <c r="O5" s="127">
        <v>0</v>
      </c>
      <c r="P5" s="127">
        <v>0</v>
      </c>
      <c r="Q5" s="127">
        <v>0</v>
      </c>
      <c r="R5" s="127">
        <v>0.05</v>
      </c>
      <c r="S5" s="127">
        <v>0.05</v>
      </c>
      <c r="T5" s="127">
        <v>0.05</v>
      </c>
      <c r="U5" s="127">
        <v>-0.05</v>
      </c>
      <c r="V5" s="128">
        <v>0</v>
      </c>
    </row>
    <row r="6" spans="1:22">
      <c r="A6" s="93" t="s">
        <v>1232</v>
      </c>
      <c r="B6" s="93"/>
      <c r="C6" s="46" t="s">
        <v>305</v>
      </c>
      <c r="D6" s="60" t="s">
        <v>697</v>
      </c>
      <c r="E6" s="46" t="s">
        <v>305</v>
      </c>
      <c r="F6" s="46" t="s">
        <v>305</v>
      </c>
      <c r="G6" s="46" t="s">
        <v>305</v>
      </c>
      <c r="H6" s="46" t="s">
        <v>305</v>
      </c>
      <c r="I6" s="93" t="s">
        <v>3638</v>
      </c>
      <c r="J6" s="127">
        <v>0.1</v>
      </c>
      <c r="K6" s="127">
        <v>0</v>
      </c>
      <c r="L6" s="127">
        <v>0</v>
      </c>
      <c r="M6" s="127">
        <v>0</v>
      </c>
      <c r="N6" s="127">
        <v>0.05</v>
      </c>
      <c r="O6" s="127">
        <v>0</v>
      </c>
      <c r="P6" s="127">
        <v>0</v>
      </c>
      <c r="Q6" s="127">
        <v>0</v>
      </c>
      <c r="R6" s="127">
        <v>0.05</v>
      </c>
      <c r="S6" s="127">
        <v>0.05</v>
      </c>
      <c r="T6" s="127">
        <v>0.05</v>
      </c>
      <c r="U6" s="127">
        <v>-0.05</v>
      </c>
      <c r="V6" s="128">
        <v>0</v>
      </c>
    </row>
    <row r="7" spans="1:22">
      <c r="A7" s="10" t="s">
        <v>3083</v>
      </c>
      <c r="B7" s="10"/>
      <c r="C7" s="46" t="s">
        <v>305</v>
      </c>
      <c r="D7" s="46" t="s">
        <v>305</v>
      </c>
      <c r="E7" s="46" t="s">
        <v>305</v>
      </c>
      <c r="F7" s="46" t="s">
        <v>305</v>
      </c>
      <c r="G7" s="46" t="s">
        <v>305</v>
      </c>
      <c r="H7" s="46" t="s">
        <v>305</v>
      </c>
      <c r="I7" s="10" t="s">
        <v>3912</v>
      </c>
      <c r="J7" s="127">
        <v>0.1</v>
      </c>
      <c r="K7" s="127">
        <v>0</v>
      </c>
      <c r="L7" s="127">
        <v>0</v>
      </c>
      <c r="M7" s="127">
        <v>0</v>
      </c>
      <c r="N7" s="127">
        <v>0.05</v>
      </c>
      <c r="O7" s="127">
        <v>0</v>
      </c>
      <c r="P7" s="127">
        <v>0</v>
      </c>
      <c r="Q7" s="127">
        <v>0</v>
      </c>
      <c r="R7" s="127">
        <v>0.05</v>
      </c>
      <c r="S7" s="127">
        <v>0.05</v>
      </c>
      <c r="T7" s="127">
        <v>0.05</v>
      </c>
      <c r="U7" s="127">
        <v>-0.05</v>
      </c>
      <c r="V7" s="128">
        <v>0</v>
      </c>
    </row>
    <row r="8" spans="1:22">
      <c r="A8" s="93" t="s">
        <v>3064</v>
      </c>
      <c r="B8" s="93"/>
      <c r="C8" s="46" t="s">
        <v>305</v>
      </c>
      <c r="D8" s="46" t="s">
        <v>305</v>
      </c>
      <c r="E8" s="46" t="s">
        <v>305</v>
      </c>
      <c r="F8" s="46" t="s">
        <v>305</v>
      </c>
      <c r="G8" s="46" t="s">
        <v>305</v>
      </c>
      <c r="H8" s="46" t="s">
        <v>305</v>
      </c>
      <c r="I8" s="93" t="s">
        <v>3638</v>
      </c>
      <c r="J8" s="127">
        <v>0.1</v>
      </c>
      <c r="K8" s="127">
        <v>0</v>
      </c>
      <c r="L8" s="127">
        <v>0</v>
      </c>
      <c r="M8" s="127">
        <v>0</v>
      </c>
      <c r="N8" s="127">
        <v>0.05</v>
      </c>
      <c r="O8" s="127">
        <v>0</v>
      </c>
      <c r="P8" s="127">
        <v>0</v>
      </c>
      <c r="Q8" s="127">
        <v>0</v>
      </c>
      <c r="R8" s="127">
        <v>0.05</v>
      </c>
      <c r="S8" s="127">
        <v>0.05</v>
      </c>
      <c r="T8" s="127">
        <v>0.05</v>
      </c>
      <c r="U8" s="127">
        <v>-0.05</v>
      </c>
      <c r="V8" s="128">
        <v>0</v>
      </c>
    </row>
    <row r="9" spans="1:22">
      <c r="A9" s="101" t="s">
        <v>59</v>
      </c>
      <c r="B9" s="102"/>
      <c r="C9" s="103" t="s">
        <v>197</v>
      </c>
      <c r="D9" s="103" t="s">
        <v>198</v>
      </c>
      <c r="E9" s="103" t="s">
        <v>199</v>
      </c>
      <c r="F9" s="103" t="s">
        <v>194</v>
      </c>
      <c r="G9" s="103" t="s">
        <v>195</v>
      </c>
      <c r="H9" s="103" t="s">
        <v>196</v>
      </c>
      <c r="I9" s="103" t="s">
        <v>3917</v>
      </c>
      <c r="J9" s="104" t="s">
        <v>1363</v>
      </c>
      <c r="K9" s="104" t="s">
        <v>1364</v>
      </c>
      <c r="L9" s="104" t="s">
        <v>1365</v>
      </c>
      <c r="M9" s="104" t="s">
        <v>1366</v>
      </c>
      <c r="N9" s="104" t="s">
        <v>1367</v>
      </c>
      <c r="O9" s="104" t="s">
        <v>1368</v>
      </c>
      <c r="P9" s="104" t="s">
        <v>1369</v>
      </c>
      <c r="Q9" s="104" t="s">
        <v>1375</v>
      </c>
      <c r="R9" s="104" t="s">
        <v>1370</v>
      </c>
      <c r="S9" s="104" t="s">
        <v>1371</v>
      </c>
      <c r="T9" s="104" t="s">
        <v>1372</v>
      </c>
      <c r="U9" s="104" t="s">
        <v>1373</v>
      </c>
      <c r="V9" s="104" t="s">
        <v>1374</v>
      </c>
    </row>
    <row r="10" spans="1:22">
      <c r="A10" s="162" t="s">
        <v>1185</v>
      </c>
      <c r="B10" s="93"/>
      <c r="C10" s="64" t="s">
        <v>707</v>
      </c>
      <c r="D10" s="64" t="s">
        <v>707</v>
      </c>
      <c r="E10" s="64" t="s">
        <v>708</v>
      </c>
      <c r="F10" s="64" t="s">
        <v>709</v>
      </c>
      <c r="G10" s="64" t="s">
        <v>709</v>
      </c>
      <c r="H10" s="64" t="s">
        <v>709</v>
      </c>
      <c r="I10" s="93" t="s">
        <v>3638</v>
      </c>
      <c r="J10" s="127">
        <v>0.1</v>
      </c>
      <c r="K10" s="127">
        <v>-0.05</v>
      </c>
      <c r="L10" s="127">
        <v>0.05</v>
      </c>
      <c r="M10" s="127">
        <v>0</v>
      </c>
      <c r="N10" s="127">
        <v>-0.05</v>
      </c>
      <c r="O10" s="127">
        <v>0</v>
      </c>
      <c r="P10" s="127">
        <v>-0.05</v>
      </c>
      <c r="Q10" s="127">
        <v>-0.25</v>
      </c>
      <c r="R10" s="127">
        <v>0</v>
      </c>
      <c r="S10" s="127">
        <v>0</v>
      </c>
      <c r="T10" s="127">
        <v>0</v>
      </c>
      <c r="U10" s="127">
        <v>0</v>
      </c>
      <c r="V10" s="128">
        <v>0</v>
      </c>
    </row>
    <row r="11" spans="1:22">
      <c r="A11" s="162" t="s">
        <v>1186</v>
      </c>
      <c r="B11" s="10"/>
      <c r="C11" s="62" t="s">
        <v>696</v>
      </c>
      <c r="D11" s="61" t="s">
        <v>695</v>
      </c>
      <c r="E11" s="62" t="s">
        <v>696</v>
      </c>
      <c r="F11" s="53" t="s">
        <v>305</v>
      </c>
      <c r="G11" s="53" t="s">
        <v>305</v>
      </c>
      <c r="H11" s="61" t="s">
        <v>695</v>
      </c>
      <c r="I11" s="10" t="s">
        <v>3638</v>
      </c>
      <c r="J11" s="127">
        <v>0</v>
      </c>
      <c r="K11" s="127">
        <v>0.1</v>
      </c>
      <c r="L11" s="127">
        <v>0.15</v>
      </c>
      <c r="M11" s="127">
        <v>0</v>
      </c>
      <c r="N11" s="127">
        <v>0</v>
      </c>
      <c r="O11" s="127">
        <v>0</v>
      </c>
      <c r="P11" s="127">
        <v>-0.1</v>
      </c>
      <c r="Q11" s="127">
        <v>-0.05</v>
      </c>
      <c r="R11" s="127">
        <v>0.05</v>
      </c>
      <c r="S11" s="127">
        <v>0.05</v>
      </c>
      <c r="T11" s="127">
        <v>-0.05</v>
      </c>
      <c r="U11" s="127">
        <v>0.1</v>
      </c>
      <c r="V11" s="128">
        <v>0</v>
      </c>
    </row>
    <row r="12" spans="1:22">
      <c r="A12" s="162" t="s">
        <v>1187</v>
      </c>
      <c r="B12" s="93"/>
      <c r="C12" s="60" t="s">
        <v>696</v>
      </c>
      <c r="D12" s="59" t="s">
        <v>695</v>
      </c>
      <c r="E12" s="60" t="s">
        <v>697</v>
      </c>
      <c r="F12" s="46" t="s">
        <v>305</v>
      </c>
      <c r="G12" s="46" t="s">
        <v>305</v>
      </c>
      <c r="H12" s="59" t="s">
        <v>698</v>
      </c>
      <c r="I12" s="93" t="s">
        <v>3638</v>
      </c>
      <c r="J12" s="127">
        <v>0</v>
      </c>
      <c r="K12" s="127">
        <v>0.1</v>
      </c>
      <c r="L12" s="127">
        <v>0.15</v>
      </c>
      <c r="M12" s="127">
        <v>0</v>
      </c>
      <c r="N12" s="127">
        <v>0</v>
      </c>
      <c r="O12" s="127">
        <v>0</v>
      </c>
      <c r="P12" s="127">
        <v>-0.1</v>
      </c>
      <c r="Q12" s="127">
        <v>-0.05</v>
      </c>
      <c r="R12" s="127">
        <v>0</v>
      </c>
      <c r="S12" s="127">
        <v>0</v>
      </c>
      <c r="T12" s="127">
        <v>0</v>
      </c>
      <c r="U12" s="127">
        <v>0</v>
      </c>
      <c r="V12" s="128">
        <v>0</v>
      </c>
    </row>
    <row r="13" spans="1:22">
      <c r="A13" s="162" t="s">
        <v>1188</v>
      </c>
      <c r="B13" s="10"/>
      <c r="C13" s="46" t="s">
        <v>305</v>
      </c>
      <c r="D13" s="59" t="s">
        <v>698</v>
      </c>
      <c r="E13" s="60" t="s">
        <v>697</v>
      </c>
      <c r="F13" s="46" t="s">
        <v>305</v>
      </c>
      <c r="G13" s="46" t="s">
        <v>305</v>
      </c>
      <c r="H13" s="46" t="s">
        <v>305</v>
      </c>
      <c r="I13" s="10" t="s">
        <v>3638</v>
      </c>
      <c r="J13" s="127">
        <v>0</v>
      </c>
      <c r="K13" s="127">
        <v>0.1</v>
      </c>
      <c r="L13" s="127">
        <v>0.15</v>
      </c>
      <c r="M13" s="127">
        <v>0</v>
      </c>
      <c r="N13" s="127">
        <v>0</v>
      </c>
      <c r="O13" s="127">
        <v>0</v>
      </c>
      <c r="P13" s="127">
        <v>-0.1</v>
      </c>
      <c r="Q13" s="127">
        <v>-0.05</v>
      </c>
      <c r="R13" s="127">
        <v>0.05</v>
      </c>
      <c r="S13" s="127">
        <v>0.05</v>
      </c>
      <c r="T13" s="127">
        <v>-0.05</v>
      </c>
      <c r="U13" s="127">
        <v>0.1</v>
      </c>
      <c r="V13" s="128">
        <v>0</v>
      </c>
    </row>
    <row r="14" spans="1:22">
      <c r="A14" s="162" t="s">
        <v>1189</v>
      </c>
      <c r="B14" s="93"/>
      <c r="C14" s="46" t="s">
        <v>305</v>
      </c>
      <c r="D14" s="46" t="s">
        <v>305</v>
      </c>
      <c r="E14" s="60" t="s">
        <v>696</v>
      </c>
      <c r="F14" s="46" t="s">
        <v>305</v>
      </c>
      <c r="G14" s="46" t="s">
        <v>305</v>
      </c>
      <c r="H14" s="59" t="s">
        <v>695</v>
      </c>
      <c r="I14" s="93" t="s">
        <v>3638</v>
      </c>
      <c r="J14" s="127">
        <v>0</v>
      </c>
      <c r="K14" s="127">
        <v>0.1</v>
      </c>
      <c r="L14" s="127">
        <v>0.15</v>
      </c>
      <c r="M14" s="127">
        <v>0</v>
      </c>
      <c r="N14" s="127">
        <v>0</v>
      </c>
      <c r="O14" s="127">
        <v>0</v>
      </c>
      <c r="P14" s="127">
        <v>-0.1</v>
      </c>
      <c r="Q14" s="127">
        <v>-0.05</v>
      </c>
      <c r="R14" s="127">
        <v>0</v>
      </c>
      <c r="S14" s="127">
        <v>0</v>
      </c>
      <c r="T14" s="127">
        <v>0</v>
      </c>
      <c r="U14" s="127">
        <v>0</v>
      </c>
      <c r="V14" s="128">
        <v>0</v>
      </c>
    </row>
    <row r="15" spans="1:22">
      <c r="A15" s="162" t="s">
        <v>1190</v>
      </c>
      <c r="B15" s="10"/>
      <c r="C15" s="46" t="s">
        <v>305</v>
      </c>
      <c r="D15" s="46" t="s">
        <v>305</v>
      </c>
      <c r="E15" s="60" t="s">
        <v>696</v>
      </c>
      <c r="F15" s="46" t="s">
        <v>305</v>
      </c>
      <c r="G15" s="46" t="s">
        <v>305</v>
      </c>
      <c r="H15" s="59" t="s">
        <v>695</v>
      </c>
      <c r="I15" s="10" t="s">
        <v>3638</v>
      </c>
      <c r="J15" s="127">
        <v>0</v>
      </c>
      <c r="K15" s="127">
        <v>0.1</v>
      </c>
      <c r="L15" s="127">
        <v>0.15</v>
      </c>
      <c r="M15" s="127">
        <v>0</v>
      </c>
      <c r="N15" s="127">
        <v>0</v>
      </c>
      <c r="O15" s="127">
        <v>0</v>
      </c>
      <c r="P15" s="127">
        <v>-0.1</v>
      </c>
      <c r="Q15" s="127">
        <v>-0.05</v>
      </c>
      <c r="R15" s="127">
        <v>0</v>
      </c>
      <c r="S15" s="127">
        <v>0</v>
      </c>
      <c r="T15" s="127">
        <v>0</v>
      </c>
      <c r="U15" s="127">
        <v>0</v>
      </c>
      <c r="V15" s="128">
        <v>0</v>
      </c>
    </row>
    <row r="16" spans="1:22">
      <c r="A16" s="162" t="s">
        <v>1171</v>
      </c>
      <c r="B16" s="93"/>
      <c r="C16" s="46" t="s">
        <v>305</v>
      </c>
      <c r="D16" s="46" t="s">
        <v>305</v>
      </c>
      <c r="E16" s="60" t="s">
        <v>697</v>
      </c>
      <c r="F16" s="46" t="s">
        <v>305</v>
      </c>
      <c r="G16" s="46" t="s">
        <v>305</v>
      </c>
      <c r="H16" s="59" t="s">
        <v>698</v>
      </c>
      <c r="I16" s="93" t="s">
        <v>3638</v>
      </c>
      <c r="J16" s="127">
        <v>0.05</v>
      </c>
      <c r="K16" s="127">
        <v>0</v>
      </c>
      <c r="L16" s="127">
        <v>0.1</v>
      </c>
      <c r="M16" s="127">
        <v>0</v>
      </c>
      <c r="N16" s="127">
        <v>0.05</v>
      </c>
      <c r="O16" s="127">
        <v>0</v>
      </c>
      <c r="P16" s="127">
        <v>-0.1</v>
      </c>
      <c r="Q16" s="127">
        <v>-0.15</v>
      </c>
      <c r="R16" s="127">
        <v>0</v>
      </c>
      <c r="S16" s="127">
        <v>0</v>
      </c>
      <c r="T16" s="127">
        <v>0</v>
      </c>
      <c r="U16" s="127">
        <v>0</v>
      </c>
      <c r="V16" s="128">
        <v>0</v>
      </c>
    </row>
    <row r="17" spans="1:22">
      <c r="A17" s="162" t="s">
        <v>1191</v>
      </c>
      <c r="B17" s="10"/>
      <c r="C17" s="59" t="s">
        <v>695</v>
      </c>
      <c r="D17" s="60" t="s">
        <v>696</v>
      </c>
      <c r="E17" s="46" t="s">
        <v>305</v>
      </c>
      <c r="F17" s="60" t="s">
        <v>696</v>
      </c>
      <c r="G17" s="59" t="s">
        <v>695</v>
      </c>
      <c r="H17" s="46" t="s">
        <v>305</v>
      </c>
      <c r="I17" s="10" t="s">
        <v>3638</v>
      </c>
      <c r="J17" s="127">
        <v>0.05</v>
      </c>
      <c r="K17" s="127">
        <v>0.05</v>
      </c>
      <c r="L17" s="127">
        <v>0.05</v>
      </c>
      <c r="M17" s="127">
        <v>0</v>
      </c>
      <c r="N17" s="127">
        <v>-0.05</v>
      </c>
      <c r="O17" s="127">
        <v>0.3</v>
      </c>
      <c r="P17" s="127">
        <v>-0.1</v>
      </c>
      <c r="Q17" s="127">
        <v>-0.15</v>
      </c>
      <c r="R17" s="127">
        <v>0</v>
      </c>
      <c r="S17" s="127">
        <v>0</v>
      </c>
      <c r="T17" s="127">
        <v>0</v>
      </c>
      <c r="U17" s="127">
        <v>0</v>
      </c>
      <c r="V17" s="128">
        <v>0</v>
      </c>
    </row>
    <row r="18" spans="1:22">
      <c r="A18" s="162" t="s">
        <v>63</v>
      </c>
      <c r="B18" s="93"/>
      <c r="C18" s="46" t="s">
        <v>305</v>
      </c>
      <c r="D18" s="46" t="s">
        <v>305</v>
      </c>
      <c r="E18" s="60" t="s">
        <v>696</v>
      </c>
      <c r="F18" s="46" t="s">
        <v>305</v>
      </c>
      <c r="G18" s="46" t="s">
        <v>305</v>
      </c>
      <c r="H18" s="59" t="s">
        <v>698</v>
      </c>
      <c r="I18" s="93" t="s">
        <v>3638</v>
      </c>
      <c r="J18" s="127">
        <v>0.05</v>
      </c>
      <c r="K18" s="127">
        <v>0</v>
      </c>
      <c r="L18" s="127">
        <v>0.1</v>
      </c>
      <c r="M18" s="127">
        <v>0.1</v>
      </c>
      <c r="N18" s="127">
        <v>0.05</v>
      </c>
      <c r="O18" s="127">
        <v>0.1</v>
      </c>
      <c r="P18" s="127">
        <v>-0.1</v>
      </c>
      <c r="Q18" s="127">
        <v>-0.15</v>
      </c>
      <c r="R18" s="127">
        <v>0</v>
      </c>
      <c r="S18" s="127">
        <v>0</v>
      </c>
      <c r="T18" s="127">
        <v>0</v>
      </c>
      <c r="U18" s="127">
        <v>0</v>
      </c>
      <c r="V18" s="128">
        <v>0</v>
      </c>
    </row>
    <row r="19" spans="1:22">
      <c r="A19" s="162" t="s">
        <v>1192</v>
      </c>
      <c r="B19" s="10"/>
      <c r="C19" s="46" t="s">
        <v>305</v>
      </c>
      <c r="D19" s="46" t="s">
        <v>305</v>
      </c>
      <c r="E19" s="60" t="s">
        <v>696</v>
      </c>
      <c r="F19" s="46" t="s">
        <v>305</v>
      </c>
      <c r="G19" s="46" t="s">
        <v>305</v>
      </c>
      <c r="H19" s="59" t="s">
        <v>698</v>
      </c>
      <c r="I19" s="10" t="s">
        <v>3638</v>
      </c>
      <c r="J19" s="127">
        <v>0.05</v>
      </c>
      <c r="K19" s="127">
        <v>0</v>
      </c>
      <c r="L19" s="127">
        <v>0.1</v>
      </c>
      <c r="M19" s="127">
        <v>0.1</v>
      </c>
      <c r="N19" s="127">
        <v>0.05</v>
      </c>
      <c r="O19" s="127">
        <v>0.1</v>
      </c>
      <c r="P19" s="127">
        <v>-0.1</v>
      </c>
      <c r="Q19" s="127">
        <v>-0.15</v>
      </c>
      <c r="R19" s="127">
        <v>0</v>
      </c>
      <c r="S19" s="127">
        <v>0</v>
      </c>
      <c r="T19" s="127">
        <v>0</v>
      </c>
      <c r="U19" s="127">
        <v>0</v>
      </c>
      <c r="V19" s="128">
        <v>0</v>
      </c>
    </row>
    <row r="20" spans="1:22">
      <c r="A20" s="162" t="s">
        <v>1193</v>
      </c>
      <c r="B20" s="93"/>
      <c r="C20" s="60" t="s">
        <v>696</v>
      </c>
      <c r="D20" s="46" t="s">
        <v>305</v>
      </c>
      <c r="E20" s="46" t="s">
        <v>305</v>
      </c>
      <c r="F20" s="46" t="s">
        <v>305</v>
      </c>
      <c r="G20" s="46" t="s">
        <v>305</v>
      </c>
      <c r="H20" s="46" t="s">
        <v>305</v>
      </c>
      <c r="I20" s="93" t="s">
        <v>3638</v>
      </c>
      <c r="J20" s="127">
        <v>0</v>
      </c>
      <c r="K20" s="127">
        <v>0.1</v>
      </c>
      <c r="L20" s="127">
        <v>0.15</v>
      </c>
      <c r="M20" s="127">
        <v>0</v>
      </c>
      <c r="N20" s="127">
        <v>0</v>
      </c>
      <c r="O20" s="127">
        <v>0</v>
      </c>
      <c r="P20" s="127">
        <v>-0.1</v>
      </c>
      <c r="Q20" s="127">
        <v>-0.05</v>
      </c>
      <c r="R20" s="127">
        <v>0.05</v>
      </c>
      <c r="S20" s="127">
        <v>0.05</v>
      </c>
      <c r="T20" s="127">
        <v>-0.05</v>
      </c>
      <c r="U20" s="127">
        <v>0.1</v>
      </c>
      <c r="V20" s="128">
        <v>0</v>
      </c>
    </row>
    <row r="21" spans="1:22">
      <c r="A21" s="162" t="s">
        <v>1194</v>
      </c>
      <c r="B21" s="10"/>
      <c r="C21" s="46" t="s">
        <v>305</v>
      </c>
      <c r="D21" s="46" t="s">
        <v>305</v>
      </c>
      <c r="E21" s="60" t="s">
        <v>696</v>
      </c>
      <c r="F21" s="46" t="s">
        <v>305</v>
      </c>
      <c r="G21" s="46" t="s">
        <v>305</v>
      </c>
      <c r="H21" s="59" t="s">
        <v>695</v>
      </c>
      <c r="I21" s="10" t="s">
        <v>3638</v>
      </c>
      <c r="J21" s="127">
        <v>0</v>
      </c>
      <c r="K21" s="127">
        <v>0.1</v>
      </c>
      <c r="L21" s="127">
        <v>0.15</v>
      </c>
      <c r="M21" s="127">
        <v>0</v>
      </c>
      <c r="N21" s="127">
        <v>0</v>
      </c>
      <c r="O21" s="127">
        <v>0</v>
      </c>
      <c r="P21" s="127">
        <v>-0.1</v>
      </c>
      <c r="Q21" s="127">
        <v>-0.05</v>
      </c>
      <c r="R21" s="127">
        <v>0</v>
      </c>
      <c r="S21" s="127">
        <v>0</v>
      </c>
      <c r="T21" s="127">
        <v>0</v>
      </c>
      <c r="U21" s="127">
        <v>0</v>
      </c>
      <c r="V21" s="128">
        <v>0</v>
      </c>
    </row>
    <row r="22" spans="1:22">
      <c r="A22" s="162" t="s">
        <v>1195</v>
      </c>
      <c r="B22" s="93"/>
      <c r="C22" s="60" t="s">
        <v>696</v>
      </c>
      <c r="D22" s="60" t="s">
        <v>696</v>
      </c>
      <c r="E22" s="46" t="s">
        <v>305</v>
      </c>
      <c r="F22" s="46" t="s">
        <v>305</v>
      </c>
      <c r="G22" s="46" t="s">
        <v>305</v>
      </c>
      <c r="H22" s="59" t="s">
        <v>698</v>
      </c>
      <c r="I22" s="93" t="s">
        <v>3638</v>
      </c>
      <c r="J22" s="127">
        <v>0.1</v>
      </c>
      <c r="K22" s="127">
        <v>-0.05</v>
      </c>
      <c r="L22" s="127">
        <v>0.05</v>
      </c>
      <c r="M22" s="127">
        <v>0</v>
      </c>
      <c r="N22" s="127">
        <v>-0.05</v>
      </c>
      <c r="O22" s="127">
        <v>0</v>
      </c>
      <c r="P22" s="127">
        <v>-0.05</v>
      </c>
      <c r="Q22" s="127">
        <v>-0.25</v>
      </c>
      <c r="R22" s="127">
        <v>0</v>
      </c>
      <c r="S22" s="127">
        <v>0</v>
      </c>
      <c r="T22" s="127">
        <v>0</v>
      </c>
      <c r="U22" s="127">
        <v>0</v>
      </c>
      <c r="V22" s="128">
        <v>0</v>
      </c>
    </row>
    <row r="23" spans="1:22">
      <c r="A23" s="162" t="s">
        <v>1196</v>
      </c>
      <c r="B23" s="10"/>
      <c r="C23" s="46" t="s">
        <v>305</v>
      </c>
      <c r="D23" s="46" t="s">
        <v>305</v>
      </c>
      <c r="E23" s="60" t="s">
        <v>696</v>
      </c>
      <c r="F23" s="46" t="s">
        <v>305</v>
      </c>
      <c r="G23" s="46" t="s">
        <v>305</v>
      </c>
      <c r="H23" s="59" t="s">
        <v>695</v>
      </c>
      <c r="I23" s="10" t="s">
        <v>3638</v>
      </c>
      <c r="J23" s="127">
        <v>0</v>
      </c>
      <c r="K23" s="127">
        <v>0.1</v>
      </c>
      <c r="L23" s="127">
        <v>0.15</v>
      </c>
      <c r="M23" s="127">
        <v>0</v>
      </c>
      <c r="N23" s="127">
        <v>0</v>
      </c>
      <c r="O23" s="127">
        <v>0</v>
      </c>
      <c r="P23" s="127">
        <v>-0.1</v>
      </c>
      <c r="Q23" s="127">
        <v>-0.05</v>
      </c>
      <c r="R23" s="127">
        <v>0.05</v>
      </c>
      <c r="S23" s="127">
        <v>0.05</v>
      </c>
      <c r="T23" s="127">
        <v>-0.05</v>
      </c>
      <c r="U23" s="127">
        <v>0.1</v>
      </c>
      <c r="V23" s="128">
        <v>0</v>
      </c>
    </row>
    <row r="24" spans="1:22">
      <c r="A24" s="162" t="s">
        <v>1197</v>
      </c>
      <c r="B24" s="93"/>
      <c r="C24" s="46" t="s">
        <v>305</v>
      </c>
      <c r="D24" s="46" t="s">
        <v>305</v>
      </c>
      <c r="E24" s="60" t="s">
        <v>696</v>
      </c>
      <c r="F24" s="46" t="s">
        <v>305</v>
      </c>
      <c r="G24" s="46" t="s">
        <v>305</v>
      </c>
      <c r="H24" s="59" t="s">
        <v>695</v>
      </c>
      <c r="I24" s="93" t="s">
        <v>3638</v>
      </c>
      <c r="J24" s="127">
        <v>0</v>
      </c>
      <c r="K24" s="127">
        <v>0.1</v>
      </c>
      <c r="L24" s="127">
        <v>0.15</v>
      </c>
      <c r="M24" s="127">
        <v>0</v>
      </c>
      <c r="N24" s="127">
        <v>0</v>
      </c>
      <c r="O24" s="127">
        <v>0</v>
      </c>
      <c r="P24" s="127">
        <v>-0.1</v>
      </c>
      <c r="Q24" s="127">
        <v>-0.05</v>
      </c>
      <c r="R24" s="127">
        <v>0</v>
      </c>
      <c r="S24" s="127">
        <v>0</v>
      </c>
      <c r="T24" s="127">
        <v>0</v>
      </c>
      <c r="U24" s="127">
        <v>0</v>
      </c>
      <c r="V24" s="128">
        <v>0</v>
      </c>
    </row>
    <row r="25" spans="1:22">
      <c r="A25" s="162" t="s">
        <v>1198</v>
      </c>
      <c r="B25" s="10"/>
      <c r="C25" s="62" t="s">
        <v>696</v>
      </c>
      <c r="D25" s="53" t="s">
        <v>305</v>
      </c>
      <c r="E25" s="62" t="s">
        <v>696</v>
      </c>
      <c r="F25" s="61" t="s">
        <v>698</v>
      </c>
      <c r="G25" s="46" t="s">
        <v>305</v>
      </c>
      <c r="H25" s="46" t="s">
        <v>305</v>
      </c>
      <c r="I25" s="10" t="s">
        <v>3638</v>
      </c>
      <c r="J25" s="127">
        <v>0</v>
      </c>
      <c r="K25" s="127">
        <v>0.1</v>
      </c>
      <c r="L25" s="127">
        <v>0.15</v>
      </c>
      <c r="M25" s="127">
        <v>0</v>
      </c>
      <c r="N25" s="127">
        <v>0</v>
      </c>
      <c r="O25" s="127">
        <v>0</v>
      </c>
      <c r="P25" s="127">
        <v>-0.1</v>
      </c>
      <c r="Q25" s="127">
        <v>-0.05</v>
      </c>
      <c r="R25" s="127">
        <v>0.05</v>
      </c>
      <c r="S25" s="127">
        <v>0.05</v>
      </c>
      <c r="T25" s="127">
        <v>-0.05</v>
      </c>
      <c r="U25" s="127">
        <v>0.1</v>
      </c>
      <c r="V25" s="128">
        <v>0</v>
      </c>
    </row>
    <row r="26" spans="1:22">
      <c r="A26" s="162" t="s">
        <v>1199</v>
      </c>
      <c r="B26" s="93"/>
      <c r="C26" s="46" t="s">
        <v>305</v>
      </c>
      <c r="D26" s="46" t="s">
        <v>305</v>
      </c>
      <c r="E26" s="60" t="s">
        <v>696</v>
      </c>
      <c r="F26" s="46" t="s">
        <v>305</v>
      </c>
      <c r="G26" s="46" t="s">
        <v>305</v>
      </c>
      <c r="H26" s="59" t="s">
        <v>695</v>
      </c>
      <c r="I26" s="93" t="s">
        <v>3638</v>
      </c>
      <c r="J26" s="127">
        <v>0</v>
      </c>
      <c r="K26" s="127">
        <v>0.1</v>
      </c>
      <c r="L26" s="127">
        <v>0.15</v>
      </c>
      <c r="M26" s="127">
        <v>0</v>
      </c>
      <c r="N26" s="127">
        <v>0</v>
      </c>
      <c r="O26" s="127">
        <v>0</v>
      </c>
      <c r="P26" s="127">
        <v>-0.1</v>
      </c>
      <c r="Q26" s="127">
        <v>-0.05</v>
      </c>
      <c r="R26" s="127">
        <v>0</v>
      </c>
      <c r="S26" s="127">
        <v>0</v>
      </c>
      <c r="T26" s="127">
        <v>0</v>
      </c>
      <c r="U26" s="127">
        <v>0</v>
      </c>
      <c r="V26" s="128">
        <v>0</v>
      </c>
    </row>
    <row r="27" spans="1:22">
      <c r="A27" s="162" t="s">
        <v>1200</v>
      </c>
      <c r="B27" s="10"/>
      <c r="C27" s="46" t="s">
        <v>305</v>
      </c>
      <c r="D27" s="46" t="s">
        <v>305</v>
      </c>
      <c r="E27" s="60" t="s">
        <v>696</v>
      </c>
      <c r="F27" s="46" t="s">
        <v>305</v>
      </c>
      <c r="G27" s="46" t="s">
        <v>305</v>
      </c>
      <c r="H27" s="59" t="s">
        <v>695</v>
      </c>
      <c r="I27" s="10" t="s">
        <v>3638</v>
      </c>
      <c r="J27" s="127">
        <v>0</v>
      </c>
      <c r="K27" s="127">
        <v>0.1</v>
      </c>
      <c r="L27" s="127">
        <v>0.15</v>
      </c>
      <c r="M27" s="127">
        <v>0</v>
      </c>
      <c r="N27" s="127">
        <v>0</v>
      </c>
      <c r="O27" s="127">
        <v>0</v>
      </c>
      <c r="P27" s="127">
        <v>-0.1</v>
      </c>
      <c r="Q27" s="127">
        <v>-0.05</v>
      </c>
      <c r="R27" s="127">
        <v>0.05</v>
      </c>
      <c r="S27" s="127">
        <v>0.05</v>
      </c>
      <c r="T27" s="127">
        <v>-0.05</v>
      </c>
      <c r="U27" s="127">
        <v>0.1</v>
      </c>
      <c r="V27" s="128">
        <v>0</v>
      </c>
    </row>
    <row r="28" spans="1:22">
      <c r="A28" s="162" t="s">
        <v>1201</v>
      </c>
      <c r="B28" s="93"/>
      <c r="C28" s="46" t="s">
        <v>305</v>
      </c>
      <c r="D28" s="46" t="s">
        <v>305</v>
      </c>
      <c r="E28" s="60" t="s">
        <v>696</v>
      </c>
      <c r="F28" s="46" t="s">
        <v>305</v>
      </c>
      <c r="G28" s="46" t="s">
        <v>305</v>
      </c>
      <c r="H28" s="59" t="s">
        <v>695</v>
      </c>
      <c r="I28" s="93" t="s">
        <v>3638</v>
      </c>
      <c r="J28" s="127">
        <v>0</v>
      </c>
      <c r="K28" s="127">
        <v>0.1</v>
      </c>
      <c r="L28" s="127">
        <v>0.15</v>
      </c>
      <c r="M28" s="127">
        <v>0</v>
      </c>
      <c r="N28" s="127">
        <v>0</v>
      </c>
      <c r="O28" s="127">
        <v>0</v>
      </c>
      <c r="P28" s="127">
        <v>-0.1</v>
      </c>
      <c r="Q28" s="127">
        <v>-0.05</v>
      </c>
      <c r="R28" s="127">
        <v>0.05</v>
      </c>
      <c r="S28" s="127">
        <v>0.05</v>
      </c>
      <c r="T28" s="127">
        <v>-0.05</v>
      </c>
      <c r="U28" s="127">
        <v>0.1</v>
      </c>
      <c r="V28" s="128">
        <v>0</v>
      </c>
    </row>
    <row r="29" spans="1:22">
      <c r="A29" s="162" t="s">
        <v>1202</v>
      </c>
      <c r="B29" s="10"/>
      <c r="C29" s="46" t="s">
        <v>305</v>
      </c>
      <c r="D29" s="46" t="s">
        <v>305</v>
      </c>
      <c r="E29" s="60" t="s">
        <v>696</v>
      </c>
      <c r="F29" s="46" t="s">
        <v>305</v>
      </c>
      <c r="G29" s="46" t="s">
        <v>305</v>
      </c>
      <c r="H29" s="59" t="s">
        <v>695</v>
      </c>
      <c r="I29" s="10" t="s">
        <v>3638</v>
      </c>
      <c r="J29" s="127">
        <v>0</v>
      </c>
      <c r="K29" s="127">
        <v>0.1</v>
      </c>
      <c r="L29" s="127">
        <v>0.15</v>
      </c>
      <c r="M29" s="127">
        <v>0</v>
      </c>
      <c r="N29" s="127">
        <v>0</v>
      </c>
      <c r="O29" s="127">
        <v>0</v>
      </c>
      <c r="P29" s="127">
        <v>-0.1</v>
      </c>
      <c r="Q29" s="127">
        <v>-0.05</v>
      </c>
      <c r="R29" s="127">
        <v>0</v>
      </c>
      <c r="S29" s="127">
        <v>0</v>
      </c>
      <c r="T29" s="127">
        <v>0</v>
      </c>
      <c r="U29" s="127">
        <v>0</v>
      </c>
      <c r="V29" s="128">
        <v>0</v>
      </c>
    </row>
    <row r="30" spans="1:22">
      <c r="A30" s="162" t="s">
        <v>1203</v>
      </c>
      <c r="B30" s="93"/>
      <c r="C30" s="46" t="s">
        <v>710</v>
      </c>
      <c r="D30" s="46" t="s">
        <v>710</v>
      </c>
      <c r="E30" s="65" t="s">
        <v>305</v>
      </c>
      <c r="F30" s="59" t="s">
        <v>695</v>
      </c>
      <c r="G30" s="65" t="s">
        <v>710</v>
      </c>
      <c r="H30" s="65" t="s">
        <v>305</v>
      </c>
      <c r="I30" s="93" t="s">
        <v>3912</v>
      </c>
      <c r="J30" s="127">
        <v>0</v>
      </c>
      <c r="K30" s="127">
        <v>0.1</v>
      </c>
      <c r="L30" s="127">
        <v>0.15</v>
      </c>
      <c r="M30" s="127">
        <v>0</v>
      </c>
      <c r="N30" s="127">
        <v>0</v>
      </c>
      <c r="O30" s="127">
        <v>0</v>
      </c>
      <c r="P30" s="127">
        <v>-0.1</v>
      </c>
      <c r="Q30" s="127">
        <v>-0.05</v>
      </c>
      <c r="R30" s="127">
        <v>0.05</v>
      </c>
      <c r="S30" s="127">
        <v>0.05</v>
      </c>
      <c r="T30" s="127">
        <v>-0.05</v>
      </c>
      <c r="U30" s="127">
        <v>0.1</v>
      </c>
      <c r="V30" s="128">
        <v>0</v>
      </c>
    </row>
    <row r="31" spans="1:22">
      <c r="A31" s="162" t="s">
        <v>1204</v>
      </c>
      <c r="B31" s="10"/>
      <c r="C31" s="60" t="s">
        <v>696</v>
      </c>
      <c r="D31" s="46" t="s">
        <v>305</v>
      </c>
      <c r="E31" s="60" t="s">
        <v>696</v>
      </c>
      <c r="F31" s="46" t="s">
        <v>305</v>
      </c>
      <c r="G31" s="46" t="s">
        <v>305</v>
      </c>
      <c r="H31" s="59" t="s">
        <v>695</v>
      </c>
      <c r="I31" s="10" t="s">
        <v>3638</v>
      </c>
      <c r="J31" s="127">
        <v>0</v>
      </c>
      <c r="K31" s="127">
        <v>0.05</v>
      </c>
      <c r="L31" s="127">
        <v>0.1</v>
      </c>
      <c r="M31" s="127">
        <v>0.05</v>
      </c>
      <c r="N31" s="127">
        <v>0.05</v>
      </c>
      <c r="O31" s="127">
        <v>0</v>
      </c>
      <c r="P31" s="127">
        <v>0</v>
      </c>
      <c r="Q31" s="127">
        <v>-0.1</v>
      </c>
      <c r="R31" s="127">
        <v>0</v>
      </c>
      <c r="S31" s="127">
        <v>0</v>
      </c>
      <c r="T31" s="127">
        <v>0</v>
      </c>
      <c r="U31" s="127">
        <v>0</v>
      </c>
      <c r="V31" s="128">
        <v>0</v>
      </c>
    </row>
    <row r="32" spans="1:22">
      <c r="A32" s="162" t="s">
        <v>1205</v>
      </c>
      <c r="B32" s="93"/>
      <c r="C32" s="46" t="s">
        <v>305</v>
      </c>
      <c r="D32" s="46" t="s">
        <v>305</v>
      </c>
      <c r="E32" s="60" t="s">
        <v>696</v>
      </c>
      <c r="F32" s="46" t="s">
        <v>305</v>
      </c>
      <c r="G32" s="46" t="s">
        <v>305</v>
      </c>
      <c r="H32" s="59" t="s">
        <v>695</v>
      </c>
      <c r="I32" s="93" t="s">
        <v>3638</v>
      </c>
      <c r="J32" s="127">
        <v>0</v>
      </c>
      <c r="K32" s="127">
        <v>0.1</v>
      </c>
      <c r="L32" s="127">
        <v>0.15</v>
      </c>
      <c r="M32" s="127">
        <v>0</v>
      </c>
      <c r="N32" s="127">
        <v>0</v>
      </c>
      <c r="O32" s="127">
        <v>0</v>
      </c>
      <c r="P32" s="127">
        <v>-0.1</v>
      </c>
      <c r="Q32" s="127">
        <v>-0.05</v>
      </c>
      <c r="R32" s="127">
        <v>0</v>
      </c>
      <c r="S32" s="127">
        <v>0</v>
      </c>
      <c r="T32" s="127">
        <v>0</v>
      </c>
      <c r="U32" s="127">
        <v>0</v>
      </c>
      <c r="V32" s="128">
        <v>0</v>
      </c>
    </row>
    <row r="33" spans="1:22">
      <c r="A33" s="162" t="s">
        <v>1206</v>
      </c>
      <c r="B33" s="10"/>
      <c r="C33" s="46" t="s">
        <v>305</v>
      </c>
      <c r="D33" s="46" t="s">
        <v>305</v>
      </c>
      <c r="E33" s="60" t="s">
        <v>696</v>
      </c>
      <c r="F33" s="46" t="s">
        <v>305</v>
      </c>
      <c r="G33" s="46" t="s">
        <v>305</v>
      </c>
      <c r="H33" s="59" t="s">
        <v>698</v>
      </c>
      <c r="I33" s="10" t="s">
        <v>3638</v>
      </c>
      <c r="J33" s="127">
        <v>0</v>
      </c>
      <c r="K33" s="127">
        <v>0.1</v>
      </c>
      <c r="L33" s="127">
        <v>0.15</v>
      </c>
      <c r="M33" s="127">
        <v>0</v>
      </c>
      <c r="N33" s="127">
        <v>0</v>
      </c>
      <c r="O33" s="127">
        <v>0</v>
      </c>
      <c r="P33" s="127">
        <v>-0.1</v>
      </c>
      <c r="Q33" s="127">
        <v>-0.05</v>
      </c>
      <c r="R33" s="127">
        <v>0.05</v>
      </c>
      <c r="S33" s="127">
        <v>0.05</v>
      </c>
      <c r="T33" s="127">
        <v>-0.05</v>
      </c>
      <c r="U33" s="127">
        <v>0.1</v>
      </c>
      <c r="V33" s="128">
        <v>0</v>
      </c>
    </row>
    <row r="34" spans="1:22">
      <c r="A34" s="162" t="s">
        <v>1207</v>
      </c>
      <c r="B34" s="93"/>
      <c r="C34" s="46" t="s">
        <v>305</v>
      </c>
      <c r="D34" s="46" t="s">
        <v>305</v>
      </c>
      <c r="E34" s="60" t="s">
        <v>696</v>
      </c>
      <c r="F34" s="46" t="s">
        <v>305</v>
      </c>
      <c r="G34" s="46" t="s">
        <v>305</v>
      </c>
      <c r="H34" s="59" t="s">
        <v>695</v>
      </c>
      <c r="I34" s="93" t="s">
        <v>3638</v>
      </c>
      <c r="J34" s="127">
        <v>0</v>
      </c>
      <c r="K34" s="127">
        <v>0.1</v>
      </c>
      <c r="L34" s="127">
        <v>0.15</v>
      </c>
      <c r="M34" s="127">
        <v>0</v>
      </c>
      <c r="N34" s="127">
        <v>0</v>
      </c>
      <c r="O34" s="127">
        <v>0</v>
      </c>
      <c r="P34" s="127">
        <v>-0.1</v>
      </c>
      <c r="Q34" s="127">
        <v>-0.05</v>
      </c>
      <c r="R34" s="127">
        <v>0</v>
      </c>
      <c r="S34" s="127">
        <v>0</v>
      </c>
      <c r="T34" s="127">
        <v>0</v>
      </c>
      <c r="U34" s="127">
        <v>0</v>
      </c>
      <c r="V34" s="128">
        <v>0</v>
      </c>
    </row>
    <row r="35" spans="1:22">
      <c r="A35" s="101" t="s">
        <v>1150</v>
      </c>
      <c r="B35" s="102"/>
      <c r="C35" s="103" t="s">
        <v>197</v>
      </c>
      <c r="D35" s="103" t="s">
        <v>198</v>
      </c>
      <c r="E35" s="103" t="s">
        <v>199</v>
      </c>
      <c r="F35" s="103" t="s">
        <v>194</v>
      </c>
      <c r="G35" s="103" t="s">
        <v>195</v>
      </c>
      <c r="H35" s="103" t="s">
        <v>196</v>
      </c>
      <c r="I35" s="103" t="s">
        <v>3917</v>
      </c>
      <c r="J35" s="104" t="s">
        <v>1363</v>
      </c>
      <c r="K35" s="104" t="s">
        <v>1364</v>
      </c>
      <c r="L35" s="104" t="s">
        <v>1365</v>
      </c>
      <c r="M35" s="104" t="s">
        <v>1366</v>
      </c>
      <c r="N35" s="104" t="s">
        <v>1367</v>
      </c>
      <c r="O35" s="104" t="s">
        <v>1368</v>
      </c>
      <c r="P35" s="104" t="s">
        <v>1369</v>
      </c>
      <c r="Q35" s="104" t="s">
        <v>1375</v>
      </c>
      <c r="R35" s="104" t="s">
        <v>1370</v>
      </c>
      <c r="S35" s="104" t="s">
        <v>1371</v>
      </c>
      <c r="T35" s="104" t="s">
        <v>1372</v>
      </c>
      <c r="U35" s="104" t="s">
        <v>1373</v>
      </c>
      <c r="V35" s="104" t="s">
        <v>1374</v>
      </c>
    </row>
    <row r="36" spans="1:22">
      <c r="A36" s="10" t="s">
        <v>1295</v>
      </c>
      <c r="B36" s="10"/>
      <c r="C36" s="59" t="s">
        <v>695</v>
      </c>
      <c r="D36" s="60" t="s">
        <v>696</v>
      </c>
      <c r="E36" s="46" t="s">
        <v>305</v>
      </c>
      <c r="F36" s="46" t="s">
        <v>305</v>
      </c>
      <c r="G36" s="46" t="s">
        <v>305</v>
      </c>
      <c r="H36" s="46" t="s">
        <v>305</v>
      </c>
      <c r="I36" s="93" t="s">
        <v>3638</v>
      </c>
      <c r="J36" s="127">
        <v>0.05</v>
      </c>
      <c r="K36" s="127">
        <v>0.05</v>
      </c>
      <c r="L36" s="127">
        <v>0.05</v>
      </c>
      <c r="M36" s="127">
        <v>0.1</v>
      </c>
      <c r="N36" s="127">
        <v>0.15</v>
      </c>
      <c r="O36" s="127">
        <v>0.05</v>
      </c>
      <c r="P36" s="127">
        <v>-0.15</v>
      </c>
      <c r="Q36" s="127">
        <v>-0.05</v>
      </c>
      <c r="R36" s="127">
        <v>0.05</v>
      </c>
      <c r="S36" s="127">
        <v>0</v>
      </c>
      <c r="T36" s="127">
        <v>0</v>
      </c>
      <c r="U36" s="127">
        <v>0.05</v>
      </c>
      <c r="V36" s="128">
        <v>0.1</v>
      </c>
    </row>
    <row r="37" spans="1:22">
      <c r="A37" s="93" t="s">
        <v>1152</v>
      </c>
      <c r="B37" s="93"/>
      <c r="C37" s="59" t="s">
        <v>698</v>
      </c>
      <c r="D37" s="60" t="s">
        <v>697</v>
      </c>
      <c r="E37" s="59" t="s">
        <v>695</v>
      </c>
      <c r="F37" s="46" t="s">
        <v>305</v>
      </c>
      <c r="G37" s="60" t="s">
        <v>697</v>
      </c>
      <c r="H37" s="59" t="s">
        <v>695</v>
      </c>
      <c r="I37" s="10" t="s">
        <v>3638</v>
      </c>
      <c r="J37" s="127">
        <v>0.05</v>
      </c>
      <c r="K37" s="127">
        <v>0.05</v>
      </c>
      <c r="L37" s="127">
        <v>0.05</v>
      </c>
      <c r="M37" s="127">
        <v>0.1</v>
      </c>
      <c r="N37" s="127">
        <v>0.15</v>
      </c>
      <c r="O37" s="127">
        <v>0.05</v>
      </c>
      <c r="P37" s="127">
        <v>-0.15</v>
      </c>
      <c r="Q37" s="127">
        <v>-0.05</v>
      </c>
      <c r="R37" s="127">
        <v>0</v>
      </c>
      <c r="S37" s="127">
        <v>0</v>
      </c>
      <c r="T37" s="127">
        <v>-0.1</v>
      </c>
      <c r="U37" s="127">
        <v>0</v>
      </c>
      <c r="V37" s="128">
        <v>0</v>
      </c>
    </row>
    <row r="38" spans="1:22">
      <c r="A38" s="10" t="s">
        <v>3062</v>
      </c>
      <c r="B38" s="10"/>
      <c r="C38" s="59" t="s">
        <v>698</v>
      </c>
      <c r="D38" s="60" t="s">
        <v>696</v>
      </c>
      <c r="E38" s="46" t="s">
        <v>305</v>
      </c>
      <c r="F38" s="46" t="s">
        <v>305</v>
      </c>
      <c r="G38" s="60" t="s">
        <v>696</v>
      </c>
      <c r="H38" s="46" t="s">
        <v>305</v>
      </c>
      <c r="I38" s="93" t="s">
        <v>3638</v>
      </c>
      <c r="J38" s="127">
        <v>0.05</v>
      </c>
      <c r="K38" s="127">
        <v>0.05</v>
      </c>
      <c r="L38" s="127">
        <v>0.05</v>
      </c>
      <c r="M38" s="127">
        <v>0.1</v>
      </c>
      <c r="N38" s="127">
        <v>0.15</v>
      </c>
      <c r="O38" s="127">
        <v>0.05</v>
      </c>
      <c r="P38" s="127">
        <v>-0.15</v>
      </c>
      <c r="Q38" s="127">
        <v>-0.05</v>
      </c>
      <c r="R38" s="127">
        <v>0.05</v>
      </c>
      <c r="S38" s="127">
        <v>0</v>
      </c>
      <c r="T38" s="127">
        <v>0</v>
      </c>
      <c r="U38" s="127">
        <v>0.05</v>
      </c>
      <c r="V38" s="128">
        <v>0.1</v>
      </c>
    </row>
    <row r="39" spans="1:22">
      <c r="A39" s="93" t="s">
        <v>3061</v>
      </c>
      <c r="B39" s="93"/>
      <c r="C39" s="59" t="s">
        <v>695</v>
      </c>
      <c r="D39" s="60" t="s">
        <v>696</v>
      </c>
      <c r="E39" s="60" t="s">
        <v>696</v>
      </c>
      <c r="F39" s="46" t="s">
        <v>305</v>
      </c>
      <c r="G39" s="59" t="s">
        <v>695</v>
      </c>
      <c r="H39" s="46" t="s">
        <v>305</v>
      </c>
      <c r="I39" s="10" t="s">
        <v>3638</v>
      </c>
      <c r="J39" s="127">
        <v>0.05</v>
      </c>
      <c r="K39" s="127">
        <v>0.05</v>
      </c>
      <c r="L39" s="127">
        <v>0.05</v>
      </c>
      <c r="M39" s="127">
        <v>0.1</v>
      </c>
      <c r="N39" s="127">
        <v>0.15</v>
      </c>
      <c r="O39" s="127">
        <v>0.05</v>
      </c>
      <c r="P39" s="127">
        <v>-0.15</v>
      </c>
      <c r="Q39" s="127">
        <v>-0.05</v>
      </c>
      <c r="R39" s="127">
        <v>0.05</v>
      </c>
      <c r="S39" s="127">
        <v>0</v>
      </c>
      <c r="T39" s="127">
        <v>0</v>
      </c>
      <c r="U39" s="127">
        <v>0.05</v>
      </c>
      <c r="V39" s="128">
        <v>0.1</v>
      </c>
    </row>
    <row r="40" spans="1:22">
      <c r="A40" s="10" t="s">
        <v>3057</v>
      </c>
      <c r="B40" s="10"/>
      <c r="C40" s="59" t="s">
        <v>695</v>
      </c>
      <c r="D40" s="60" t="s">
        <v>696</v>
      </c>
      <c r="E40" s="46" t="s">
        <v>305</v>
      </c>
      <c r="F40" s="46" t="s">
        <v>305</v>
      </c>
      <c r="G40" s="46" t="s">
        <v>305</v>
      </c>
      <c r="H40" s="46" t="s">
        <v>305</v>
      </c>
      <c r="I40" s="93" t="s">
        <v>3638</v>
      </c>
      <c r="J40" s="127">
        <v>0.05</v>
      </c>
      <c r="K40" s="127">
        <v>0.05</v>
      </c>
      <c r="L40" s="127">
        <v>0.05</v>
      </c>
      <c r="M40" s="127">
        <v>0.1</v>
      </c>
      <c r="N40" s="127">
        <v>0.15</v>
      </c>
      <c r="O40" s="127">
        <v>0.05</v>
      </c>
      <c r="P40" s="127">
        <v>-0.15</v>
      </c>
      <c r="Q40" s="127">
        <v>-0.05</v>
      </c>
      <c r="R40" s="127">
        <v>0.05</v>
      </c>
      <c r="S40" s="127">
        <v>0</v>
      </c>
      <c r="T40" s="127">
        <v>0</v>
      </c>
      <c r="U40" s="127">
        <v>0.05</v>
      </c>
      <c r="V40" s="128">
        <v>0.1</v>
      </c>
    </row>
    <row r="41" spans="1:22">
      <c r="A41" s="93" t="s">
        <v>3056</v>
      </c>
      <c r="B41" s="93"/>
      <c r="C41" s="59" t="s">
        <v>695</v>
      </c>
      <c r="D41" s="60" t="s">
        <v>696</v>
      </c>
      <c r="E41" s="46" t="s">
        <v>305</v>
      </c>
      <c r="F41" s="46" t="s">
        <v>305</v>
      </c>
      <c r="G41" s="46" t="s">
        <v>305</v>
      </c>
      <c r="H41" s="46" t="s">
        <v>305</v>
      </c>
      <c r="I41" s="10" t="s">
        <v>3638</v>
      </c>
      <c r="J41" s="127">
        <v>0.05</v>
      </c>
      <c r="K41" s="127">
        <v>0.05</v>
      </c>
      <c r="L41" s="127">
        <v>0.05</v>
      </c>
      <c r="M41" s="127">
        <v>0.1</v>
      </c>
      <c r="N41" s="127">
        <v>0.15</v>
      </c>
      <c r="O41" s="127">
        <v>0.05</v>
      </c>
      <c r="P41" s="127">
        <v>-0.15</v>
      </c>
      <c r="Q41" s="127">
        <v>-0.05</v>
      </c>
      <c r="R41" s="127">
        <v>0.05</v>
      </c>
      <c r="S41" s="127">
        <v>0</v>
      </c>
      <c r="T41" s="127">
        <v>0</v>
      </c>
      <c r="U41" s="127">
        <v>0.05</v>
      </c>
      <c r="V41" s="128">
        <v>0.1</v>
      </c>
    </row>
    <row r="42" spans="1:22">
      <c r="A42" s="10" t="s">
        <v>3058</v>
      </c>
      <c r="B42" s="10"/>
      <c r="C42" s="59" t="s">
        <v>695</v>
      </c>
      <c r="D42" s="66" t="s">
        <v>710</v>
      </c>
      <c r="E42" s="66" t="s">
        <v>710</v>
      </c>
      <c r="F42" s="46" t="s">
        <v>305</v>
      </c>
      <c r="G42" s="46" t="s">
        <v>305</v>
      </c>
      <c r="H42" s="46" t="s">
        <v>305</v>
      </c>
      <c r="I42" s="93" t="s">
        <v>3638</v>
      </c>
      <c r="J42" s="127">
        <v>0.05</v>
      </c>
      <c r="K42" s="127">
        <v>0.05</v>
      </c>
      <c r="L42" s="127">
        <v>0.05</v>
      </c>
      <c r="M42" s="127">
        <v>0.1</v>
      </c>
      <c r="N42" s="127">
        <v>0.15</v>
      </c>
      <c r="O42" s="127">
        <v>0.05</v>
      </c>
      <c r="P42" s="127">
        <v>-0.15</v>
      </c>
      <c r="Q42" s="127">
        <v>-0.05</v>
      </c>
      <c r="R42" s="127">
        <v>0.05</v>
      </c>
      <c r="S42" s="127">
        <v>0</v>
      </c>
      <c r="T42" s="127">
        <v>0</v>
      </c>
      <c r="U42" s="127">
        <v>0.05</v>
      </c>
      <c r="V42" s="128">
        <v>0.1</v>
      </c>
    </row>
    <row r="43" spans="1:22">
      <c r="A43" s="93" t="s">
        <v>3059</v>
      </c>
      <c r="B43" s="93"/>
      <c r="C43" s="59" t="s">
        <v>695</v>
      </c>
      <c r="D43" s="60" t="s">
        <v>696</v>
      </c>
      <c r="E43" s="60" t="s">
        <v>696</v>
      </c>
      <c r="F43" s="59" t="s">
        <v>695</v>
      </c>
      <c r="G43" s="46" t="s">
        <v>305</v>
      </c>
      <c r="H43" s="46" t="s">
        <v>305</v>
      </c>
      <c r="I43" s="10" t="s">
        <v>3912</v>
      </c>
      <c r="J43" s="127">
        <v>0.05</v>
      </c>
      <c r="K43" s="127">
        <v>0.05</v>
      </c>
      <c r="L43" s="127">
        <v>0.05</v>
      </c>
      <c r="M43" s="127">
        <v>0.1</v>
      </c>
      <c r="N43" s="127">
        <v>0.15</v>
      </c>
      <c r="O43" s="127">
        <v>0.05</v>
      </c>
      <c r="P43" s="127">
        <v>-0.15</v>
      </c>
      <c r="Q43" s="127">
        <v>-0.05</v>
      </c>
      <c r="R43" s="127">
        <v>0.05</v>
      </c>
      <c r="S43" s="127">
        <v>0</v>
      </c>
      <c r="T43" s="127">
        <v>0</v>
      </c>
      <c r="U43" s="127">
        <v>0.05</v>
      </c>
      <c r="V43" s="128">
        <v>0.1</v>
      </c>
    </row>
    <row r="44" spans="1:22">
      <c r="A44" s="10" t="s">
        <v>3060</v>
      </c>
      <c r="B44" s="10"/>
      <c r="C44" s="59" t="s">
        <v>695</v>
      </c>
      <c r="D44" s="66" t="s">
        <v>710</v>
      </c>
      <c r="E44" s="46" t="s">
        <v>305</v>
      </c>
      <c r="F44" s="46" t="s">
        <v>305</v>
      </c>
      <c r="G44" s="66" t="s">
        <v>710</v>
      </c>
      <c r="H44" s="46" t="s">
        <v>305</v>
      </c>
      <c r="I44" s="93" t="s">
        <v>3638</v>
      </c>
      <c r="J44" s="127">
        <v>0.05</v>
      </c>
      <c r="K44" s="127">
        <v>0.05</v>
      </c>
      <c r="L44" s="127">
        <v>0.05</v>
      </c>
      <c r="M44" s="127">
        <v>0.1</v>
      </c>
      <c r="N44" s="127">
        <v>0.15</v>
      </c>
      <c r="O44" s="127">
        <v>0.05</v>
      </c>
      <c r="P44" s="127">
        <v>-0.15</v>
      </c>
      <c r="Q44" s="127">
        <v>-0.05</v>
      </c>
      <c r="R44" s="127">
        <v>0.05</v>
      </c>
      <c r="S44" s="127">
        <v>0</v>
      </c>
      <c r="T44" s="127">
        <v>0</v>
      </c>
      <c r="U44" s="127">
        <v>0.05</v>
      </c>
      <c r="V44" s="128">
        <v>0.1</v>
      </c>
    </row>
    <row r="45" spans="1:22">
      <c r="A45" s="101" t="s">
        <v>60</v>
      </c>
      <c r="B45" s="102"/>
      <c r="C45" s="103" t="s">
        <v>197</v>
      </c>
      <c r="D45" s="103" t="s">
        <v>198</v>
      </c>
      <c r="E45" s="103" t="s">
        <v>199</v>
      </c>
      <c r="F45" s="103" t="s">
        <v>194</v>
      </c>
      <c r="G45" s="103" t="s">
        <v>195</v>
      </c>
      <c r="H45" s="103" t="s">
        <v>196</v>
      </c>
      <c r="I45" s="103" t="s">
        <v>3917</v>
      </c>
      <c r="J45" s="104" t="s">
        <v>1363</v>
      </c>
      <c r="K45" s="104" t="s">
        <v>1364</v>
      </c>
      <c r="L45" s="104" t="s">
        <v>1365</v>
      </c>
      <c r="M45" s="104" t="s">
        <v>1366</v>
      </c>
      <c r="N45" s="104" t="s">
        <v>1367</v>
      </c>
      <c r="O45" s="104" t="s">
        <v>1368</v>
      </c>
      <c r="P45" s="104" t="s">
        <v>1369</v>
      </c>
      <c r="Q45" s="104" t="s">
        <v>1375</v>
      </c>
      <c r="R45" s="104" t="s">
        <v>1370</v>
      </c>
      <c r="S45" s="104" t="s">
        <v>1371</v>
      </c>
      <c r="T45" s="104" t="s">
        <v>1372</v>
      </c>
      <c r="U45" s="104" t="s">
        <v>1373</v>
      </c>
      <c r="V45" s="104" t="s">
        <v>1374</v>
      </c>
    </row>
    <row r="46" spans="1:22">
      <c r="A46" s="162" t="s">
        <v>1278</v>
      </c>
      <c r="B46" s="93"/>
      <c r="C46" s="46" t="s">
        <v>305</v>
      </c>
      <c r="D46" s="46" t="s">
        <v>305</v>
      </c>
      <c r="E46" s="46" t="s">
        <v>305</v>
      </c>
      <c r="F46" s="46" t="s">
        <v>305</v>
      </c>
      <c r="G46" s="46" t="s">
        <v>305</v>
      </c>
      <c r="H46" s="46" t="s">
        <v>305</v>
      </c>
      <c r="I46" s="93" t="s">
        <v>3912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8">
        <v>0</v>
      </c>
    </row>
    <row r="47" spans="1:22">
      <c r="A47" s="162" t="s">
        <v>1279</v>
      </c>
      <c r="B47" s="10"/>
      <c r="C47" s="60" t="s">
        <v>696</v>
      </c>
      <c r="D47" s="59" t="s">
        <v>695</v>
      </c>
      <c r="E47" s="60" t="s">
        <v>696</v>
      </c>
      <c r="F47" s="46" t="s">
        <v>305</v>
      </c>
      <c r="G47" s="59" t="s">
        <v>695</v>
      </c>
      <c r="H47" s="46" t="s">
        <v>305</v>
      </c>
      <c r="I47" s="10" t="s">
        <v>3912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8">
        <v>0</v>
      </c>
    </row>
    <row r="48" spans="1:22">
      <c r="A48" s="162" t="s">
        <v>1280</v>
      </c>
      <c r="B48" s="93"/>
      <c r="C48" s="60" t="s">
        <v>697</v>
      </c>
      <c r="D48" s="59" t="s">
        <v>698</v>
      </c>
      <c r="E48" s="46" t="s">
        <v>305</v>
      </c>
      <c r="F48" s="46" t="s">
        <v>305</v>
      </c>
      <c r="G48" s="46" t="s">
        <v>305</v>
      </c>
      <c r="H48" s="46" t="s">
        <v>305</v>
      </c>
      <c r="I48" s="93" t="s">
        <v>3912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8">
        <v>0</v>
      </c>
    </row>
    <row r="49" spans="1:22">
      <c r="A49" s="162" t="s">
        <v>1281</v>
      </c>
      <c r="B49" s="10"/>
      <c r="C49" s="59" t="s">
        <v>695</v>
      </c>
      <c r="D49" s="60" t="s">
        <v>697</v>
      </c>
      <c r="E49" s="46" t="s">
        <v>305</v>
      </c>
      <c r="F49" s="46" t="s">
        <v>305</v>
      </c>
      <c r="G49" s="46" t="s">
        <v>305</v>
      </c>
      <c r="H49" s="59" t="s">
        <v>695</v>
      </c>
      <c r="I49" s="10" t="s">
        <v>3912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8">
        <v>0</v>
      </c>
    </row>
    <row r="50" spans="1:22">
      <c r="A50" s="162" t="s">
        <v>1187</v>
      </c>
      <c r="B50" s="93"/>
      <c r="C50" s="46" t="s">
        <v>305</v>
      </c>
      <c r="D50" s="46" t="s">
        <v>305</v>
      </c>
      <c r="E50" s="46" t="s">
        <v>305</v>
      </c>
      <c r="F50" s="46" t="s">
        <v>305</v>
      </c>
      <c r="G50" s="46" t="s">
        <v>305</v>
      </c>
      <c r="H50" s="46" t="s">
        <v>305</v>
      </c>
      <c r="I50" s="93" t="s">
        <v>3638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8">
        <v>0</v>
      </c>
    </row>
    <row r="51" spans="1:22">
      <c r="A51" s="162" t="s">
        <v>1282</v>
      </c>
      <c r="B51" s="10"/>
      <c r="C51" s="46" t="s">
        <v>305</v>
      </c>
      <c r="D51" s="46" t="s">
        <v>305</v>
      </c>
      <c r="E51" s="46" t="s">
        <v>305</v>
      </c>
      <c r="F51" s="46" t="s">
        <v>305</v>
      </c>
      <c r="G51" s="60" t="s">
        <v>696</v>
      </c>
      <c r="H51" s="46" t="s">
        <v>714</v>
      </c>
      <c r="I51" s="10" t="s">
        <v>3638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8">
        <v>0</v>
      </c>
    </row>
    <row r="52" spans="1:22">
      <c r="A52" s="162" t="s">
        <v>1283</v>
      </c>
      <c r="B52" s="93"/>
      <c r="C52" s="46" t="s">
        <v>305</v>
      </c>
      <c r="D52" s="59" t="s">
        <v>695</v>
      </c>
      <c r="E52" s="46" t="s">
        <v>305</v>
      </c>
      <c r="F52" s="46" t="s">
        <v>305</v>
      </c>
      <c r="G52" s="60" t="s">
        <v>696</v>
      </c>
      <c r="H52" s="46" t="s">
        <v>305</v>
      </c>
      <c r="I52" s="93" t="s">
        <v>3638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8">
        <v>0</v>
      </c>
    </row>
    <row r="53" spans="1:22">
      <c r="A53" s="162" t="s">
        <v>1284</v>
      </c>
      <c r="B53" s="10"/>
      <c r="C53" s="46" t="s">
        <v>305</v>
      </c>
      <c r="D53" s="60" t="s">
        <v>696</v>
      </c>
      <c r="E53" s="46" t="s">
        <v>305</v>
      </c>
      <c r="F53" s="46" t="s">
        <v>305</v>
      </c>
      <c r="G53" s="59" t="s">
        <v>695</v>
      </c>
      <c r="H53" s="46" t="s">
        <v>305</v>
      </c>
      <c r="I53" s="10" t="s">
        <v>3638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8">
        <v>0</v>
      </c>
    </row>
    <row r="54" spans="1:22">
      <c r="A54" s="162" t="s">
        <v>1285</v>
      </c>
      <c r="B54" s="93"/>
      <c r="C54" s="46" t="s">
        <v>305</v>
      </c>
      <c r="D54" s="46" t="s">
        <v>305</v>
      </c>
      <c r="E54" s="59" t="s">
        <v>695</v>
      </c>
      <c r="F54" s="60" t="s">
        <v>696</v>
      </c>
      <c r="G54" s="46" t="s">
        <v>305</v>
      </c>
      <c r="H54" s="46" t="s">
        <v>305</v>
      </c>
      <c r="I54" s="93" t="s">
        <v>3638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8">
        <v>0</v>
      </c>
    </row>
    <row r="55" spans="1:22">
      <c r="A55" s="162" t="s">
        <v>1286</v>
      </c>
      <c r="B55" s="10"/>
      <c r="C55" s="46" t="s">
        <v>305</v>
      </c>
      <c r="D55" s="46" t="s">
        <v>305</v>
      </c>
      <c r="E55" s="60" t="s">
        <v>696</v>
      </c>
      <c r="F55" s="46" t="s">
        <v>305</v>
      </c>
      <c r="G55" s="46" t="s">
        <v>305</v>
      </c>
      <c r="H55" s="59" t="s">
        <v>695</v>
      </c>
      <c r="I55" s="93" t="s">
        <v>3638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  <c r="U55" s="127">
        <v>0</v>
      </c>
      <c r="V55" s="128">
        <v>0</v>
      </c>
    </row>
    <row r="56" spans="1:22">
      <c r="A56" s="162" t="s">
        <v>1287</v>
      </c>
      <c r="B56" s="93"/>
      <c r="C56" s="60" t="s">
        <v>696</v>
      </c>
      <c r="D56" s="46" t="s">
        <v>305</v>
      </c>
      <c r="E56" s="46" t="s">
        <v>305</v>
      </c>
      <c r="F56" s="59" t="s">
        <v>695</v>
      </c>
      <c r="G56" s="46" t="s">
        <v>305</v>
      </c>
      <c r="H56" s="46" t="s">
        <v>305</v>
      </c>
      <c r="I56" s="10" t="s">
        <v>3638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  <c r="U56" s="127">
        <v>0</v>
      </c>
      <c r="V56" s="128">
        <v>0</v>
      </c>
    </row>
    <row r="57" spans="1:22">
      <c r="A57" s="162" t="s">
        <v>1288</v>
      </c>
      <c r="B57" s="10"/>
      <c r="C57" s="46" t="s">
        <v>305</v>
      </c>
      <c r="D57" s="60" t="s">
        <v>696</v>
      </c>
      <c r="E57" s="60" t="s">
        <v>697</v>
      </c>
      <c r="F57" s="59" t="s">
        <v>695</v>
      </c>
      <c r="G57" s="59" t="s">
        <v>695</v>
      </c>
      <c r="H57" s="59" t="s">
        <v>695</v>
      </c>
      <c r="I57" s="93" t="s">
        <v>3912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  <c r="U57" s="127">
        <v>0</v>
      </c>
      <c r="V57" s="128">
        <v>0</v>
      </c>
    </row>
    <row r="58" spans="1:22">
      <c r="A58" s="162" t="s">
        <v>1289</v>
      </c>
      <c r="B58" s="93"/>
      <c r="C58" s="46" t="s">
        <v>305</v>
      </c>
      <c r="D58" s="46" t="s">
        <v>305</v>
      </c>
      <c r="E58" s="60" t="s">
        <v>696</v>
      </c>
      <c r="F58" s="59" t="s">
        <v>695</v>
      </c>
      <c r="G58" s="46" t="s">
        <v>305</v>
      </c>
      <c r="H58" s="46" t="s">
        <v>305</v>
      </c>
      <c r="I58" s="10" t="s">
        <v>3638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8">
        <v>0</v>
      </c>
    </row>
    <row r="59" spans="1:22">
      <c r="A59" s="162" t="s">
        <v>1290</v>
      </c>
      <c r="B59" s="10"/>
      <c r="C59" s="59" t="s">
        <v>695</v>
      </c>
      <c r="D59" s="60" t="s">
        <v>696</v>
      </c>
      <c r="E59" s="46" t="s">
        <v>305</v>
      </c>
      <c r="F59" s="46" t="s">
        <v>305</v>
      </c>
      <c r="G59" s="46" t="s">
        <v>305</v>
      </c>
      <c r="H59" s="46" t="s">
        <v>305</v>
      </c>
      <c r="I59" s="93" t="s">
        <v>3912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8">
        <v>0</v>
      </c>
    </row>
    <row r="60" spans="1:22">
      <c r="A60" s="162" t="s">
        <v>1291</v>
      </c>
      <c r="B60" s="93"/>
      <c r="C60" s="60" t="s">
        <v>696</v>
      </c>
      <c r="D60" s="46" t="s">
        <v>305</v>
      </c>
      <c r="E60" s="46" t="s">
        <v>305</v>
      </c>
      <c r="F60" s="60" t="s">
        <v>696</v>
      </c>
      <c r="G60" s="59" t="s">
        <v>695</v>
      </c>
      <c r="H60" s="46" t="s">
        <v>305</v>
      </c>
      <c r="I60" s="10" t="s">
        <v>3912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8">
        <v>0</v>
      </c>
    </row>
    <row r="61" spans="1:22">
      <c r="A61" s="162" t="s">
        <v>1292</v>
      </c>
      <c r="B61" s="10"/>
      <c r="C61" s="46" t="s">
        <v>305</v>
      </c>
      <c r="D61" s="60" t="s">
        <v>696</v>
      </c>
      <c r="E61" s="46" t="s">
        <v>305</v>
      </c>
      <c r="F61" s="46" t="s">
        <v>305</v>
      </c>
      <c r="G61" s="59" t="s">
        <v>695</v>
      </c>
      <c r="H61" s="46" t="s">
        <v>305</v>
      </c>
      <c r="I61" s="93" t="s">
        <v>3638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8">
        <v>0</v>
      </c>
    </row>
    <row r="62" spans="1:22">
      <c r="A62" s="162" t="s">
        <v>1293</v>
      </c>
      <c r="B62" s="93"/>
      <c r="C62" s="59" t="s">
        <v>695</v>
      </c>
      <c r="D62" s="60" t="s">
        <v>696</v>
      </c>
      <c r="E62" s="59" t="s">
        <v>695</v>
      </c>
      <c r="F62" s="60" t="s">
        <v>696</v>
      </c>
      <c r="G62" s="60" t="s">
        <v>696</v>
      </c>
      <c r="H62" s="46" t="s">
        <v>305</v>
      </c>
      <c r="I62" s="10" t="s">
        <v>3912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8">
        <v>0</v>
      </c>
    </row>
    <row r="63" spans="1:22">
      <c r="A63" s="162" t="s">
        <v>1294</v>
      </c>
      <c r="B63" s="10"/>
      <c r="C63" s="60" t="s">
        <v>696</v>
      </c>
      <c r="D63" s="46" t="s">
        <v>305</v>
      </c>
      <c r="E63" s="46" t="s">
        <v>305</v>
      </c>
      <c r="F63" s="46" t="s">
        <v>305</v>
      </c>
      <c r="G63" s="46" t="s">
        <v>305</v>
      </c>
      <c r="H63" s="46" t="s">
        <v>715</v>
      </c>
      <c r="I63" s="93" t="s">
        <v>3638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8">
        <v>0</v>
      </c>
    </row>
    <row r="64" spans="1:22">
      <c r="A64" s="162" t="s">
        <v>1295</v>
      </c>
      <c r="B64" s="93"/>
      <c r="C64" s="46" t="s">
        <v>305</v>
      </c>
      <c r="D64" s="46" t="s">
        <v>305</v>
      </c>
      <c r="E64" s="46" t="s">
        <v>305</v>
      </c>
      <c r="F64" s="46" t="s">
        <v>305</v>
      </c>
      <c r="G64" s="46" t="s">
        <v>305</v>
      </c>
      <c r="H64" s="46" t="s">
        <v>305</v>
      </c>
      <c r="I64" s="93" t="s">
        <v>3638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8">
        <v>0</v>
      </c>
    </row>
    <row r="65" spans="1:22">
      <c r="A65" s="162" t="s">
        <v>1296</v>
      </c>
      <c r="B65" s="10"/>
      <c r="C65" s="46" t="s">
        <v>305</v>
      </c>
      <c r="D65" s="46" t="s">
        <v>305</v>
      </c>
      <c r="E65" s="46" t="s">
        <v>305</v>
      </c>
      <c r="F65" s="60" t="s">
        <v>696</v>
      </c>
      <c r="G65" s="46" t="s">
        <v>305</v>
      </c>
      <c r="H65" s="59" t="s">
        <v>695</v>
      </c>
      <c r="I65" s="10" t="s">
        <v>3638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8">
        <v>0</v>
      </c>
    </row>
    <row r="66" spans="1:22">
      <c r="A66" s="162" t="s">
        <v>1297</v>
      </c>
      <c r="B66" s="93"/>
      <c r="C66" s="60" t="s">
        <v>696</v>
      </c>
      <c r="D66" s="59" t="s">
        <v>695</v>
      </c>
      <c r="E66" s="60" t="s">
        <v>696</v>
      </c>
      <c r="F66" s="46" t="s">
        <v>305</v>
      </c>
      <c r="G66" s="46" t="s">
        <v>305</v>
      </c>
      <c r="H66" s="59" t="s">
        <v>695</v>
      </c>
      <c r="I66" s="93" t="s">
        <v>3638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8">
        <v>0</v>
      </c>
    </row>
    <row r="67" spans="1:22">
      <c r="A67" s="162" t="s">
        <v>1298</v>
      </c>
      <c r="B67" s="10"/>
      <c r="C67" s="46" t="s">
        <v>305</v>
      </c>
      <c r="D67" s="46" t="s">
        <v>305</v>
      </c>
      <c r="E67" s="46" t="s">
        <v>305</v>
      </c>
      <c r="F67" s="46" t="s">
        <v>305</v>
      </c>
      <c r="G67" s="46" t="s">
        <v>305</v>
      </c>
      <c r="H67" s="46" t="s">
        <v>305</v>
      </c>
      <c r="I67" s="10" t="s">
        <v>3638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  <c r="U67" s="127">
        <v>0</v>
      </c>
      <c r="V67" s="128">
        <v>0</v>
      </c>
    </row>
    <row r="68" spans="1:22">
      <c r="A68" s="93" t="s">
        <v>3064</v>
      </c>
      <c r="B68" s="93"/>
      <c r="C68" s="46" t="s">
        <v>305</v>
      </c>
      <c r="D68" s="46" t="s">
        <v>305</v>
      </c>
      <c r="E68" s="46" t="s">
        <v>305</v>
      </c>
      <c r="F68" s="46" t="s">
        <v>305</v>
      </c>
      <c r="G68" s="46" t="s">
        <v>305</v>
      </c>
      <c r="H68" s="46" t="s">
        <v>305</v>
      </c>
      <c r="I68" s="93" t="s">
        <v>3638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  <c r="U68" s="127">
        <v>0</v>
      </c>
      <c r="V68" s="128">
        <v>0</v>
      </c>
    </row>
    <row r="69" spans="1:22">
      <c r="A69" s="101" t="s">
        <v>180</v>
      </c>
      <c r="B69" s="102"/>
      <c r="C69" s="103" t="s">
        <v>197</v>
      </c>
      <c r="D69" s="103" t="s">
        <v>198</v>
      </c>
      <c r="E69" s="103" t="s">
        <v>199</v>
      </c>
      <c r="F69" s="103" t="s">
        <v>194</v>
      </c>
      <c r="G69" s="103" t="s">
        <v>195</v>
      </c>
      <c r="H69" s="103" t="s">
        <v>196</v>
      </c>
      <c r="I69" s="103" t="s">
        <v>3917</v>
      </c>
      <c r="J69" s="104" t="s">
        <v>1363</v>
      </c>
      <c r="K69" s="104" t="s">
        <v>1364</v>
      </c>
      <c r="L69" s="104" t="s">
        <v>1365</v>
      </c>
      <c r="M69" s="104" t="s">
        <v>1366</v>
      </c>
      <c r="N69" s="104" t="s">
        <v>1367</v>
      </c>
      <c r="O69" s="104" t="s">
        <v>1368</v>
      </c>
      <c r="P69" s="104" t="s">
        <v>1369</v>
      </c>
      <c r="Q69" s="104" t="s">
        <v>1375</v>
      </c>
      <c r="R69" s="104" t="s">
        <v>1370</v>
      </c>
      <c r="S69" s="104" t="s">
        <v>1371</v>
      </c>
      <c r="T69" s="104" t="s">
        <v>1372</v>
      </c>
      <c r="U69" s="104" t="s">
        <v>1373</v>
      </c>
      <c r="V69" s="104" t="s">
        <v>1374</v>
      </c>
    </row>
    <row r="70" spans="1:22">
      <c r="A70" s="162" t="s">
        <v>1215</v>
      </c>
      <c r="B70" s="93"/>
      <c r="C70" s="46" t="s">
        <v>305</v>
      </c>
      <c r="D70" s="46" t="s">
        <v>305</v>
      </c>
      <c r="E70" s="46" t="s">
        <v>305</v>
      </c>
      <c r="F70" s="46" t="s">
        <v>305</v>
      </c>
      <c r="G70" s="59" t="s">
        <v>695</v>
      </c>
      <c r="H70" s="60" t="s">
        <v>696</v>
      </c>
      <c r="I70" s="93" t="s">
        <v>3638</v>
      </c>
      <c r="J70" s="127">
        <v>0.05</v>
      </c>
      <c r="K70" s="127">
        <v>-0.05</v>
      </c>
      <c r="L70" s="127">
        <v>0</v>
      </c>
      <c r="M70" s="127">
        <v>0.05</v>
      </c>
      <c r="N70" s="127">
        <v>0.1</v>
      </c>
      <c r="O70" s="127">
        <v>0.05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  <c r="U70" s="127">
        <v>0</v>
      </c>
      <c r="V70" s="128">
        <v>0</v>
      </c>
    </row>
    <row r="71" spans="1:22">
      <c r="A71" s="10" t="s">
        <v>3072</v>
      </c>
      <c r="B71" s="10"/>
      <c r="C71" s="46" t="s">
        <v>305</v>
      </c>
      <c r="D71" s="60" t="s">
        <v>696</v>
      </c>
      <c r="E71" s="46" t="s">
        <v>305</v>
      </c>
      <c r="F71" s="59" t="s">
        <v>695</v>
      </c>
      <c r="G71" s="46" t="s">
        <v>305</v>
      </c>
      <c r="H71" s="46" t="s">
        <v>305</v>
      </c>
      <c r="I71" s="10" t="s">
        <v>3638</v>
      </c>
      <c r="J71" s="127">
        <v>0.05</v>
      </c>
      <c r="K71" s="127">
        <v>-0.05</v>
      </c>
      <c r="L71" s="127">
        <v>0</v>
      </c>
      <c r="M71" s="127">
        <v>0.05</v>
      </c>
      <c r="N71" s="127">
        <v>0.1</v>
      </c>
      <c r="O71" s="127">
        <v>0.05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  <c r="U71" s="127">
        <v>0</v>
      </c>
      <c r="V71" s="128">
        <v>0</v>
      </c>
    </row>
    <row r="72" spans="1:22">
      <c r="A72" s="93" t="s">
        <v>3073</v>
      </c>
      <c r="B72" s="93"/>
      <c r="C72" s="46" t="s">
        <v>305</v>
      </c>
      <c r="D72" s="46" t="s">
        <v>305</v>
      </c>
      <c r="E72" s="46" t="s">
        <v>305</v>
      </c>
      <c r="F72" s="60" t="s">
        <v>696</v>
      </c>
      <c r="G72" s="59" t="s">
        <v>695</v>
      </c>
      <c r="H72" s="46" t="s">
        <v>305</v>
      </c>
      <c r="I72" s="93" t="s">
        <v>3912</v>
      </c>
      <c r="J72" s="127">
        <v>0.05</v>
      </c>
      <c r="K72" s="127">
        <v>-0.05</v>
      </c>
      <c r="L72" s="127">
        <v>0</v>
      </c>
      <c r="M72" s="127">
        <v>0.05</v>
      </c>
      <c r="N72" s="127">
        <v>0.1</v>
      </c>
      <c r="O72" s="127">
        <v>0.05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8">
        <v>0</v>
      </c>
    </row>
    <row r="73" spans="1:22">
      <c r="A73" s="10" t="s">
        <v>3086</v>
      </c>
      <c r="B73" s="10"/>
      <c r="C73" s="46" t="s">
        <v>305</v>
      </c>
      <c r="D73" s="60" t="s">
        <v>696</v>
      </c>
      <c r="E73" s="46" t="s">
        <v>305</v>
      </c>
      <c r="F73" s="59" t="s">
        <v>695</v>
      </c>
      <c r="G73" s="46" t="s">
        <v>305</v>
      </c>
      <c r="H73" s="46" t="s">
        <v>305</v>
      </c>
      <c r="I73" s="10" t="s">
        <v>3638</v>
      </c>
      <c r="J73" s="127">
        <v>0.05</v>
      </c>
      <c r="K73" s="127">
        <v>-0.05</v>
      </c>
      <c r="L73" s="127">
        <v>0</v>
      </c>
      <c r="M73" s="127">
        <v>0.05</v>
      </c>
      <c r="N73" s="127">
        <v>0.1</v>
      </c>
      <c r="O73" s="127">
        <v>0.05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8">
        <v>0</v>
      </c>
    </row>
    <row r="74" spans="1:22">
      <c r="A74" s="93" t="s">
        <v>3074</v>
      </c>
      <c r="B74" s="93"/>
      <c r="C74" s="46" t="s">
        <v>305</v>
      </c>
      <c r="D74" s="60" t="s">
        <v>696</v>
      </c>
      <c r="E74" s="46" t="s">
        <v>305</v>
      </c>
      <c r="F74" s="59" t="s">
        <v>695</v>
      </c>
      <c r="G74" s="46" t="s">
        <v>305</v>
      </c>
      <c r="H74" s="46" t="s">
        <v>305</v>
      </c>
      <c r="I74" s="93" t="s">
        <v>3912</v>
      </c>
      <c r="J74" s="127">
        <v>0.05</v>
      </c>
      <c r="K74" s="127">
        <v>-0.05</v>
      </c>
      <c r="L74" s="127">
        <v>0</v>
      </c>
      <c r="M74" s="127">
        <v>0.05</v>
      </c>
      <c r="N74" s="127">
        <v>0.1</v>
      </c>
      <c r="O74" s="127">
        <v>0.05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8">
        <v>0</v>
      </c>
    </row>
    <row r="75" spans="1:22">
      <c r="A75" s="162" t="s">
        <v>3075</v>
      </c>
      <c r="B75" s="10"/>
      <c r="C75" s="46" t="s">
        <v>305</v>
      </c>
      <c r="D75" s="60" t="s">
        <v>696</v>
      </c>
      <c r="E75" s="59" t="s">
        <v>695</v>
      </c>
      <c r="F75" s="46" t="s">
        <v>305</v>
      </c>
      <c r="G75" s="46" t="s">
        <v>305</v>
      </c>
      <c r="H75" s="46" t="s">
        <v>305</v>
      </c>
      <c r="I75" s="10" t="s">
        <v>3638</v>
      </c>
      <c r="J75" s="127">
        <v>0.05</v>
      </c>
      <c r="K75" s="127">
        <v>-0.05</v>
      </c>
      <c r="L75" s="127">
        <v>0</v>
      </c>
      <c r="M75" s="127">
        <v>0.05</v>
      </c>
      <c r="N75" s="127">
        <v>0.1</v>
      </c>
      <c r="O75" s="127">
        <v>0.05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8">
        <v>0</v>
      </c>
    </row>
    <row r="76" spans="1:22">
      <c r="A76" s="162" t="s">
        <v>1216</v>
      </c>
      <c r="B76" s="93"/>
      <c r="C76" s="46" t="s">
        <v>305</v>
      </c>
      <c r="D76" s="60" t="s">
        <v>696</v>
      </c>
      <c r="E76" s="59" t="s">
        <v>695</v>
      </c>
      <c r="F76" s="46" t="s">
        <v>305</v>
      </c>
      <c r="G76" s="46" t="s">
        <v>305</v>
      </c>
      <c r="H76" s="46" t="s">
        <v>305</v>
      </c>
      <c r="I76" s="93" t="s">
        <v>3912</v>
      </c>
      <c r="J76" s="127">
        <v>0.05</v>
      </c>
      <c r="K76" s="127">
        <v>-0.05</v>
      </c>
      <c r="L76" s="127">
        <v>0</v>
      </c>
      <c r="M76" s="127">
        <v>0.05</v>
      </c>
      <c r="N76" s="127">
        <v>0.1</v>
      </c>
      <c r="O76" s="127">
        <v>0.05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8">
        <v>0</v>
      </c>
    </row>
    <row r="77" spans="1:22">
      <c r="A77" s="10" t="s">
        <v>1152</v>
      </c>
      <c r="B77" s="10"/>
      <c r="C77" s="46" t="s">
        <v>305</v>
      </c>
      <c r="D77" s="60" t="s">
        <v>697</v>
      </c>
      <c r="E77" s="59" t="s">
        <v>698</v>
      </c>
      <c r="F77" s="60" t="s">
        <v>696</v>
      </c>
      <c r="G77" s="59" t="s">
        <v>695</v>
      </c>
      <c r="H77" s="46" t="s">
        <v>305</v>
      </c>
      <c r="I77" s="10" t="s">
        <v>3638</v>
      </c>
      <c r="J77" s="127">
        <v>0.05</v>
      </c>
      <c r="K77" s="127">
        <v>-0.05</v>
      </c>
      <c r="L77" s="127">
        <v>0</v>
      </c>
      <c r="M77" s="127">
        <v>0.05</v>
      </c>
      <c r="N77" s="127">
        <v>0.1</v>
      </c>
      <c r="O77" s="127">
        <v>0.05</v>
      </c>
      <c r="P77" s="127">
        <v>0</v>
      </c>
      <c r="Q77" s="127">
        <v>0</v>
      </c>
      <c r="R77" s="127">
        <v>0</v>
      </c>
      <c r="S77" s="127">
        <v>0</v>
      </c>
      <c r="T77" s="127">
        <v>0.1</v>
      </c>
      <c r="U77" s="127">
        <v>0</v>
      </c>
      <c r="V77" s="128">
        <v>0</v>
      </c>
    </row>
    <row r="78" spans="1:22">
      <c r="A78" s="93" t="s">
        <v>1217</v>
      </c>
      <c r="B78" s="93"/>
      <c r="C78" s="46" t="s">
        <v>305</v>
      </c>
      <c r="D78" s="60" t="s">
        <v>697</v>
      </c>
      <c r="E78" s="59" t="s">
        <v>698</v>
      </c>
      <c r="F78" s="46" t="s">
        <v>305</v>
      </c>
      <c r="G78" s="46" t="s">
        <v>305</v>
      </c>
      <c r="H78" s="46" t="s">
        <v>305</v>
      </c>
      <c r="I78" s="93" t="s">
        <v>3638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-0.5</v>
      </c>
      <c r="Q78" s="127">
        <v>0</v>
      </c>
      <c r="R78" s="127">
        <v>0</v>
      </c>
      <c r="S78" s="127">
        <v>0</v>
      </c>
      <c r="T78" s="127">
        <v>0</v>
      </c>
      <c r="U78" s="127">
        <v>0</v>
      </c>
      <c r="V78" s="128">
        <v>0</v>
      </c>
    </row>
    <row r="79" spans="1:22">
      <c r="A79" s="10" t="s">
        <v>3079</v>
      </c>
      <c r="B79" s="10"/>
      <c r="C79" s="46" t="s">
        <v>305</v>
      </c>
      <c r="D79" s="60" t="s">
        <v>697</v>
      </c>
      <c r="E79" s="59" t="s">
        <v>698</v>
      </c>
      <c r="F79" s="60" t="s">
        <v>696</v>
      </c>
      <c r="G79" s="46" t="s">
        <v>305</v>
      </c>
      <c r="H79" s="46" t="s">
        <v>305</v>
      </c>
      <c r="I79" s="93" t="s">
        <v>3912</v>
      </c>
      <c r="J79" s="127">
        <v>0.05</v>
      </c>
      <c r="K79" s="127">
        <v>-0.05</v>
      </c>
      <c r="L79" s="127">
        <v>0</v>
      </c>
      <c r="M79" s="127">
        <v>0.05</v>
      </c>
      <c r="N79" s="127">
        <v>0.1</v>
      </c>
      <c r="O79" s="127">
        <v>0.05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  <c r="U79" s="127">
        <v>0</v>
      </c>
      <c r="V79" s="128">
        <v>0</v>
      </c>
    </row>
    <row r="80" spans="1:22">
      <c r="A80" s="93" t="s">
        <v>3062</v>
      </c>
      <c r="B80" s="93"/>
      <c r="C80" s="59" t="s">
        <v>695</v>
      </c>
      <c r="D80" s="60" t="s">
        <v>696</v>
      </c>
      <c r="E80" s="59" t="s">
        <v>695</v>
      </c>
      <c r="F80" s="60" t="s">
        <v>696</v>
      </c>
      <c r="G80" s="46" t="s">
        <v>305</v>
      </c>
      <c r="H80" s="46" t="s">
        <v>305</v>
      </c>
      <c r="I80" s="10" t="s">
        <v>3638</v>
      </c>
      <c r="J80" s="127">
        <v>0.05</v>
      </c>
      <c r="K80" s="127">
        <v>-0.05</v>
      </c>
      <c r="L80" s="127">
        <v>0</v>
      </c>
      <c r="M80" s="127">
        <v>0.05</v>
      </c>
      <c r="N80" s="127">
        <v>0.1</v>
      </c>
      <c r="O80" s="127">
        <v>0.05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8">
        <v>0</v>
      </c>
    </row>
    <row r="81" spans="1:22">
      <c r="A81" s="162" t="s">
        <v>1218</v>
      </c>
      <c r="B81" s="10"/>
      <c r="C81" s="46" t="s">
        <v>305</v>
      </c>
      <c r="D81" s="60" t="s">
        <v>696</v>
      </c>
      <c r="E81" s="59" t="s">
        <v>695</v>
      </c>
      <c r="F81" s="46" t="s">
        <v>305</v>
      </c>
      <c r="G81" s="46" t="s">
        <v>305</v>
      </c>
      <c r="H81" s="46" t="s">
        <v>305</v>
      </c>
      <c r="I81" s="93" t="s">
        <v>3638</v>
      </c>
      <c r="J81" s="127">
        <v>0.05</v>
      </c>
      <c r="K81" s="127">
        <v>-0.05</v>
      </c>
      <c r="L81" s="127">
        <v>0</v>
      </c>
      <c r="M81" s="127">
        <v>0.05</v>
      </c>
      <c r="N81" s="127">
        <v>0.1</v>
      </c>
      <c r="O81" s="127">
        <v>0.05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8">
        <v>0</v>
      </c>
    </row>
    <row r="82" spans="1:22">
      <c r="A82" s="162" t="s">
        <v>1219</v>
      </c>
      <c r="B82" s="93"/>
      <c r="C82" s="46" t="s">
        <v>305</v>
      </c>
      <c r="D82" s="60" t="s">
        <v>696</v>
      </c>
      <c r="E82" s="59" t="s">
        <v>695</v>
      </c>
      <c r="F82" s="46" t="s">
        <v>305</v>
      </c>
      <c r="G82" s="46" t="s">
        <v>305</v>
      </c>
      <c r="H82" s="46" t="s">
        <v>305</v>
      </c>
      <c r="I82" s="10" t="s">
        <v>3638</v>
      </c>
      <c r="J82" s="127">
        <v>0.05</v>
      </c>
      <c r="K82" s="127">
        <v>-0.05</v>
      </c>
      <c r="L82" s="127">
        <v>0</v>
      </c>
      <c r="M82" s="127">
        <v>0.05</v>
      </c>
      <c r="N82" s="127">
        <v>0.1</v>
      </c>
      <c r="O82" s="127">
        <v>0.05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8">
        <v>0</v>
      </c>
    </row>
    <row r="83" spans="1:22">
      <c r="A83" s="10" t="s">
        <v>1220</v>
      </c>
      <c r="B83" s="10"/>
      <c r="C83" s="59" t="s">
        <v>695</v>
      </c>
      <c r="D83" s="60" t="s">
        <v>696</v>
      </c>
      <c r="E83" s="46" t="s">
        <v>305</v>
      </c>
      <c r="F83" s="46" t="s">
        <v>305</v>
      </c>
      <c r="G83" s="46" t="s">
        <v>305</v>
      </c>
      <c r="H83" s="46" t="s">
        <v>305</v>
      </c>
      <c r="I83" s="93" t="s">
        <v>3638</v>
      </c>
      <c r="J83" s="127">
        <v>0.05</v>
      </c>
      <c r="K83" s="127">
        <v>-0.05</v>
      </c>
      <c r="L83" s="127">
        <v>0</v>
      </c>
      <c r="M83" s="127">
        <v>0.05</v>
      </c>
      <c r="N83" s="127">
        <v>0.1</v>
      </c>
      <c r="O83" s="127">
        <v>0.05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8">
        <v>0</v>
      </c>
    </row>
    <row r="84" spans="1:22">
      <c r="A84" s="93" t="s">
        <v>1221</v>
      </c>
      <c r="B84" s="93"/>
      <c r="C84" s="59" t="s">
        <v>695</v>
      </c>
      <c r="D84" s="60" t="s">
        <v>696</v>
      </c>
      <c r="E84" s="46" t="s">
        <v>305</v>
      </c>
      <c r="F84" s="46" t="s">
        <v>305</v>
      </c>
      <c r="G84" s="46" t="s">
        <v>305</v>
      </c>
      <c r="H84" s="46" t="s">
        <v>305</v>
      </c>
      <c r="I84" s="10" t="s">
        <v>3638</v>
      </c>
      <c r="J84" s="127">
        <v>0.05</v>
      </c>
      <c r="K84" s="127">
        <v>-0.05</v>
      </c>
      <c r="L84" s="127">
        <v>0</v>
      </c>
      <c r="M84" s="127">
        <v>0.05</v>
      </c>
      <c r="N84" s="127">
        <v>0.1</v>
      </c>
      <c r="O84" s="127">
        <v>0.05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8">
        <v>0</v>
      </c>
    </row>
    <row r="85" spans="1:22">
      <c r="A85" s="162" t="s">
        <v>1222</v>
      </c>
      <c r="B85" s="10"/>
      <c r="C85" s="59" t="s">
        <v>695</v>
      </c>
      <c r="D85" s="60" t="s">
        <v>697</v>
      </c>
      <c r="E85" s="59" t="s">
        <v>695</v>
      </c>
      <c r="F85" s="46" t="s">
        <v>305</v>
      </c>
      <c r="G85" s="46" t="s">
        <v>305</v>
      </c>
      <c r="H85" s="46" t="s">
        <v>305</v>
      </c>
      <c r="I85" s="93" t="s">
        <v>3638</v>
      </c>
      <c r="J85" s="127">
        <v>0.05</v>
      </c>
      <c r="K85" s="127">
        <v>-0.05</v>
      </c>
      <c r="L85" s="127">
        <v>0</v>
      </c>
      <c r="M85" s="127">
        <v>0.05</v>
      </c>
      <c r="N85" s="127">
        <v>0.1</v>
      </c>
      <c r="O85" s="127">
        <v>0.05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8">
        <v>0</v>
      </c>
    </row>
    <row r="86" spans="1:22">
      <c r="A86" s="93" t="s">
        <v>3076</v>
      </c>
      <c r="B86" s="93"/>
      <c r="C86" s="46" t="s">
        <v>305</v>
      </c>
      <c r="D86" s="60" t="s">
        <v>697</v>
      </c>
      <c r="E86" s="59" t="s">
        <v>695</v>
      </c>
      <c r="F86" s="60" t="s">
        <v>696</v>
      </c>
      <c r="G86" s="46" t="s">
        <v>305</v>
      </c>
      <c r="H86" s="59" t="s">
        <v>698</v>
      </c>
      <c r="I86" s="10" t="s">
        <v>3638</v>
      </c>
      <c r="J86" s="127">
        <v>0.05</v>
      </c>
      <c r="K86" s="127">
        <v>-0.05</v>
      </c>
      <c r="L86" s="127">
        <v>0</v>
      </c>
      <c r="M86" s="127">
        <v>0.05</v>
      </c>
      <c r="N86" s="127">
        <v>0.1</v>
      </c>
      <c r="O86" s="127">
        <v>0.05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8">
        <v>0</v>
      </c>
    </row>
    <row r="87" spans="1:22">
      <c r="A87" s="10" t="s">
        <v>3077</v>
      </c>
      <c r="B87" s="10"/>
      <c r="C87" s="46" t="s">
        <v>305</v>
      </c>
      <c r="D87" s="60" t="s">
        <v>697</v>
      </c>
      <c r="E87" s="59" t="s">
        <v>695</v>
      </c>
      <c r="F87" s="60" t="s">
        <v>696</v>
      </c>
      <c r="G87" s="46" t="s">
        <v>305</v>
      </c>
      <c r="H87" s="59" t="s">
        <v>698</v>
      </c>
      <c r="I87" s="93" t="s">
        <v>3638</v>
      </c>
      <c r="J87" s="127">
        <v>0.05</v>
      </c>
      <c r="K87" s="127">
        <v>-0.05</v>
      </c>
      <c r="L87" s="127">
        <v>0</v>
      </c>
      <c r="M87" s="127">
        <v>0.05</v>
      </c>
      <c r="N87" s="127">
        <v>0.1</v>
      </c>
      <c r="O87" s="127">
        <v>0.05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8">
        <v>0</v>
      </c>
    </row>
    <row r="88" spans="1:22">
      <c r="A88" s="162" t="s">
        <v>1223</v>
      </c>
      <c r="B88" s="93"/>
      <c r="C88" s="46" t="s">
        <v>305</v>
      </c>
      <c r="D88" s="60" t="s">
        <v>696</v>
      </c>
      <c r="E88" s="59" t="s">
        <v>695</v>
      </c>
      <c r="F88" s="46" t="s">
        <v>305</v>
      </c>
      <c r="G88" s="46" t="s">
        <v>305</v>
      </c>
      <c r="H88" s="46" t="s">
        <v>305</v>
      </c>
      <c r="I88" s="93" t="s">
        <v>3638</v>
      </c>
      <c r="J88" s="127">
        <v>0.05</v>
      </c>
      <c r="K88" s="127">
        <v>-0.05</v>
      </c>
      <c r="L88" s="127">
        <v>0</v>
      </c>
      <c r="M88" s="127">
        <v>0.05</v>
      </c>
      <c r="N88" s="127">
        <v>0.1</v>
      </c>
      <c r="O88" s="127">
        <v>0.05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8">
        <v>0</v>
      </c>
    </row>
    <row r="89" spans="1:22">
      <c r="A89" s="10" t="s">
        <v>3084</v>
      </c>
      <c r="B89" s="10"/>
      <c r="C89" s="59" t="s">
        <v>695</v>
      </c>
      <c r="D89" s="60" t="s">
        <v>696</v>
      </c>
      <c r="E89" s="59" t="s">
        <v>698</v>
      </c>
      <c r="F89" s="60" t="s">
        <v>697</v>
      </c>
      <c r="G89" s="46" t="s">
        <v>305</v>
      </c>
      <c r="H89" s="46" t="s">
        <v>305</v>
      </c>
      <c r="I89" s="10" t="s">
        <v>3638</v>
      </c>
      <c r="J89" s="127">
        <v>0.05</v>
      </c>
      <c r="K89" s="127">
        <v>-0.05</v>
      </c>
      <c r="L89" s="127">
        <v>0</v>
      </c>
      <c r="M89" s="127">
        <v>0.05</v>
      </c>
      <c r="N89" s="127">
        <v>0.1</v>
      </c>
      <c r="O89" s="127">
        <v>0.05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8">
        <v>0</v>
      </c>
    </row>
    <row r="90" spans="1:22">
      <c r="A90" s="93" t="s">
        <v>3082</v>
      </c>
      <c r="B90" s="93"/>
      <c r="C90" s="60" t="s">
        <v>696</v>
      </c>
      <c r="D90" s="60" t="s">
        <v>696</v>
      </c>
      <c r="E90" s="59" t="s">
        <v>695</v>
      </c>
      <c r="F90" s="46" t="s">
        <v>305</v>
      </c>
      <c r="G90" s="46" t="s">
        <v>305</v>
      </c>
      <c r="H90" s="59" t="s">
        <v>695</v>
      </c>
      <c r="I90" s="93" t="s">
        <v>3912</v>
      </c>
      <c r="J90" s="127">
        <v>0.05</v>
      </c>
      <c r="K90" s="127">
        <v>-0.05</v>
      </c>
      <c r="L90" s="127">
        <v>0</v>
      </c>
      <c r="M90" s="127">
        <v>0.05</v>
      </c>
      <c r="N90" s="127">
        <v>0.1</v>
      </c>
      <c r="O90" s="127">
        <v>0.05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8">
        <v>0</v>
      </c>
    </row>
    <row r="91" spans="1:22">
      <c r="A91" s="10" t="s">
        <v>3087</v>
      </c>
      <c r="B91" s="10"/>
      <c r="C91" s="60" t="s">
        <v>696</v>
      </c>
      <c r="D91" s="60" t="s">
        <v>696</v>
      </c>
      <c r="E91" s="59" t="s">
        <v>695</v>
      </c>
      <c r="F91" s="46" t="s">
        <v>305</v>
      </c>
      <c r="G91" s="46" t="s">
        <v>305</v>
      </c>
      <c r="H91" s="59" t="s">
        <v>695</v>
      </c>
      <c r="I91" s="10" t="s">
        <v>3638</v>
      </c>
      <c r="J91" s="127">
        <v>0.05</v>
      </c>
      <c r="K91" s="127">
        <v>-0.05</v>
      </c>
      <c r="L91" s="127">
        <v>0</v>
      </c>
      <c r="M91" s="127">
        <v>0.05</v>
      </c>
      <c r="N91" s="127">
        <v>0.1</v>
      </c>
      <c r="O91" s="127">
        <v>0.05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  <c r="U91" s="127">
        <v>0</v>
      </c>
      <c r="V91" s="128">
        <v>0</v>
      </c>
    </row>
    <row r="92" spans="1:22">
      <c r="A92" s="93" t="s">
        <v>3080</v>
      </c>
      <c r="B92" s="93"/>
      <c r="C92" s="59" t="s">
        <v>695</v>
      </c>
      <c r="D92" s="60" t="s">
        <v>696</v>
      </c>
      <c r="E92" s="59" t="s">
        <v>698</v>
      </c>
      <c r="F92" s="60" t="s">
        <v>697</v>
      </c>
      <c r="G92" s="46" t="s">
        <v>305</v>
      </c>
      <c r="H92" s="46" t="s">
        <v>305</v>
      </c>
      <c r="I92" s="93" t="s">
        <v>3638</v>
      </c>
      <c r="J92" s="127">
        <v>0.05</v>
      </c>
      <c r="K92" s="127">
        <v>-0.05</v>
      </c>
      <c r="L92" s="127">
        <v>0</v>
      </c>
      <c r="M92" s="127">
        <v>0.05</v>
      </c>
      <c r="N92" s="127">
        <v>0.1</v>
      </c>
      <c r="O92" s="127">
        <v>0.05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  <c r="U92" s="127">
        <v>0</v>
      </c>
      <c r="V92" s="128">
        <v>0</v>
      </c>
    </row>
    <row r="93" spans="1:22">
      <c r="A93" s="10" t="s">
        <v>3081</v>
      </c>
      <c r="B93" s="10"/>
      <c r="C93" s="46" t="s">
        <v>305</v>
      </c>
      <c r="D93" s="60" t="s">
        <v>696</v>
      </c>
      <c r="E93" s="59" t="s">
        <v>695</v>
      </c>
      <c r="F93" s="46" t="s">
        <v>305</v>
      </c>
      <c r="G93" s="46" t="s">
        <v>305</v>
      </c>
      <c r="H93" s="46" t="s">
        <v>305</v>
      </c>
      <c r="I93" s="93" t="s">
        <v>3638</v>
      </c>
      <c r="J93" s="127">
        <v>0.05</v>
      </c>
      <c r="K93" s="127">
        <v>-0.05</v>
      </c>
      <c r="L93" s="127">
        <v>0</v>
      </c>
      <c r="M93" s="127">
        <v>0.05</v>
      </c>
      <c r="N93" s="127">
        <v>0.1</v>
      </c>
      <c r="O93" s="127">
        <v>0.05</v>
      </c>
      <c r="P93" s="127">
        <v>0</v>
      </c>
      <c r="Q93" s="127">
        <v>0</v>
      </c>
      <c r="R93" s="127">
        <v>0.1</v>
      </c>
      <c r="S93" s="127">
        <v>0</v>
      </c>
      <c r="T93" s="127">
        <v>0.15</v>
      </c>
      <c r="U93" s="127">
        <v>-0.1</v>
      </c>
      <c r="V93" s="128">
        <v>0</v>
      </c>
    </row>
    <row r="94" spans="1:22">
      <c r="A94" s="162" t="s">
        <v>1224</v>
      </c>
      <c r="B94" s="93"/>
      <c r="C94" s="46" t="s">
        <v>305</v>
      </c>
      <c r="D94" s="60" t="s">
        <v>696</v>
      </c>
      <c r="E94" s="59" t="s">
        <v>695</v>
      </c>
      <c r="F94" s="46" t="s">
        <v>305</v>
      </c>
      <c r="G94" s="46" t="s">
        <v>305</v>
      </c>
      <c r="H94" s="46" t="s">
        <v>305</v>
      </c>
      <c r="I94" s="10" t="s">
        <v>3638</v>
      </c>
      <c r="J94" s="127">
        <v>0.05</v>
      </c>
      <c r="K94" s="127">
        <v>-0.05</v>
      </c>
      <c r="L94" s="127">
        <v>0</v>
      </c>
      <c r="M94" s="127">
        <v>0.05</v>
      </c>
      <c r="N94" s="127">
        <v>0.1</v>
      </c>
      <c r="O94" s="127">
        <v>0.05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8">
        <v>0</v>
      </c>
    </row>
    <row r="95" spans="1:22">
      <c r="A95" s="10" t="s">
        <v>1225</v>
      </c>
      <c r="B95" s="10"/>
      <c r="C95" s="60" t="s">
        <v>696</v>
      </c>
      <c r="D95" s="60" t="s">
        <v>697</v>
      </c>
      <c r="E95" s="60" t="s">
        <v>696</v>
      </c>
      <c r="F95" s="59" t="s">
        <v>702</v>
      </c>
      <c r="G95" s="46" t="s">
        <v>305</v>
      </c>
      <c r="H95" s="46" t="s">
        <v>305</v>
      </c>
      <c r="I95" s="93" t="s">
        <v>3638</v>
      </c>
      <c r="J95" s="127">
        <v>0.05</v>
      </c>
      <c r="K95" s="127">
        <v>-0.05</v>
      </c>
      <c r="L95" s="127">
        <v>0</v>
      </c>
      <c r="M95" s="127">
        <v>0.05</v>
      </c>
      <c r="N95" s="127">
        <v>0.1</v>
      </c>
      <c r="O95" s="127">
        <v>0.05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8">
        <v>0</v>
      </c>
    </row>
    <row r="96" spans="1:22">
      <c r="A96" s="162" t="s">
        <v>1226</v>
      </c>
      <c r="B96" s="93"/>
      <c r="C96" s="46" t="s">
        <v>305</v>
      </c>
      <c r="D96" s="60" t="s">
        <v>696</v>
      </c>
      <c r="E96" s="59" t="s">
        <v>695</v>
      </c>
      <c r="F96" s="46" t="s">
        <v>305</v>
      </c>
      <c r="G96" s="46" t="s">
        <v>305</v>
      </c>
      <c r="H96" s="46" t="s">
        <v>305</v>
      </c>
      <c r="I96" s="10">
        <v>6</v>
      </c>
      <c r="J96" s="127">
        <v>0.05</v>
      </c>
      <c r="K96" s="127">
        <v>-0.05</v>
      </c>
      <c r="L96" s="127">
        <v>0</v>
      </c>
      <c r="M96" s="127">
        <v>0.05</v>
      </c>
      <c r="N96" s="127">
        <v>0.1</v>
      </c>
      <c r="O96" s="127">
        <v>0.05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8">
        <v>0</v>
      </c>
    </row>
    <row r="97" spans="1:22">
      <c r="A97" s="10" t="s">
        <v>3085</v>
      </c>
      <c r="B97" s="10"/>
      <c r="C97" s="46" t="s">
        <v>305</v>
      </c>
      <c r="D97" s="60" t="s">
        <v>696</v>
      </c>
      <c r="E97" s="59" t="s">
        <v>695</v>
      </c>
      <c r="F97" s="46" t="s">
        <v>305</v>
      </c>
      <c r="G97" s="46" t="s">
        <v>305</v>
      </c>
      <c r="H97" s="46" t="s">
        <v>305</v>
      </c>
      <c r="I97" s="93" t="s">
        <v>3638</v>
      </c>
      <c r="J97" s="127">
        <v>0.05</v>
      </c>
      <c r="K97" s="127">
        <v>-0.05</v>
      </c>
      <c r="L97" s="127">
        <v>0</v>
      </c>
      <c r="M97" s="127">
        <v>0.05</v>
      </c>
      <c r="N97" s="127">
        <v>0.1</v>
      </c>
      <c r="O97" s="127">
        <v>0.05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8">
        <v>0</v>
      </c>
    </row>
    <row r="98" spans="1:22">
      <c r="A98" s="93" t="s">
        <v>1227</v>
      </c>
      <c r="B98" s="93"/>
      <c r="C98" s="46" t="s">
        <v>305</v>
      </c>
      <c r="D98" s="60" t="s">
        <v>696</v>
      </c>
      <c r="E98" s="59" t="s">
        <v>695</v>
      </c>
      <c r="F98" s="46" t="s">
        <v>305</v>
      </c>
      <c r="G98" s="46" t="s">
        <v>305</v>
      </c>
      <c r="H98" s="46" t="s">
        <v>305</v>
      </c>
      <c r="I98" s="10" t="s">
        <v>3638</v>
      </c>
      <c r="J98" s="127">
        <v>0.05</v>
      </c>
      <c r="K98" s="127">
        <v>-0.05</v>
      </c>
      <c r="L98" s="127">
        <v>0</v>
      </c>
      <c r="M98" s="127">
        <v>0.05</v>
      </c>
      <c r="N98" s="127">
        <v>0.1</v>
      </c>
      <c r="O98" s="127">
        <v>0.05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8">
        <v>0</v>
      </c>
    </row>
    <row r="99" spans="1:22">
      <c r="A99" s="162" t="s">
        <v>1228</v>
      </c>
      <c r="B99" s="10"/>
      <c r="C99" s="59" t="s">
        <v>695</v>
      </c>
      <c r="D99" s="60" t="s">
        <v>696</v>
      </c>
      <c r="E99" s="59" t="s">
        <v>695</v>
      </c>
      <c r="F99" s="60" t="s">
        <v>696</v>
      </c>
      <c r="G99" s="60" t="s">
        <v>696</v>
      </c>
      <c r="H99" s="59" t="s">
        <v>695</v>
      </c>
      <c r="I99" s="93" t="s">
        <v>3638</v>
      </c>
      <c r="J99" s="127">
        <v>0.05</v>
      </c>
      <c r="K99" s="127">
        <v>-0.05</v>
      </c>
      <c r="L99" s="127">
        <v>0</v>
      </c>
      <c r="M99" s="127">
        <v>0.05</v>
      </c>
      <c r="N99" s="127">
        <v>0.1</v>
      </c>
      <c r="O99" s="127">
        <v>0.05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8">
        <v>0</v>
      </c>
    </row>
    <row r="100" spans="1:22">
      <c r="A100" s="93" t="s">
        <v>1295</v>
      </c>
      <c r="B100" s="93"/>
      <c r="C100" s="46" t="s">
        <v>305</v>
      </c>
      <c r="D100" s="60" t="s">
        <v>696</v>
      </c>
      <c r="E100" s="59" t="s">
        <v>695</v>
      </c>
      <c r="F100" s="46" t="s">
        <v>305</v>
      </c>
      <c r="G100" s="46" t="s">
        <v>305</v>
      </c>
      <c r="H100" s="46" t="s">
        <v>305</v>
      </c>
      <c r="I100" s="10" t="s">
        <v>3638</v>
      </c>
      <c r="J100" s="127">
        <v>0.05</v>
      </c>
      <c r="K100" s="127">
        <v>-0.05</v>
      </c>
      <c r="L100" s="127">
        <v>0</v>
      </c>
      <c r="M100" s="127">
        <v>0.05</v>
      </c>
      <c r="N100" s="127">
        <v>0.1</v>
      </c>
      <c r="O100" s="127">
        <v>0.05</v>
      </c>
      <c r="P100" s="127">
        <v>0</v>
      </c>
      <c r="Q100" s="127">
        <v>0</v>
      </c>
      <c r="R100" s="127">
        <v>0</v>
      </c>
      <c r="S100" s="127">
        <v>0</v>
      </c>
      <c r="T100" s="127">
        <v>0</v>
      </c>
      <c r="U100" s="127">
        <v>0</v>
      </c>
      <c r="V100" s="128">
        <v>0</v>
      </c>
    </row>
    <row r="101" spans="1:22">
      <c r="A101" s="162" t="s">
        <v>1229</v>
      </c>
      <c r="B101" s="10"/>
      <c r="C101" s="46" t="s">
        <v>305</v>
      </c>
      <c r="D101" s="60" t="s">
        <v>696</v>
      </c>
      <c r="E101" s="59" t="s">
        <v>695</v>
      </c>
      <c r="F101" s="46" t="s">
        <v>305</v>
      </c>
      <c r="G101" s="46" t="s">
        <v>305</v>
      </c>
      <c r="H101" s="46" t="s">
        <v>305</v>
      </c>
      <c r="I101" s="93" t="s">
        <v>3912</v>
      </c>
      <c r="J101" s="127">
        <v>0.05</v>
      </c>
      <c r="K101" s="127">
        <v>-0.05</v>
      </c>
      <c r="L101" s="127">
        <v>0</v>
      </c>
      <c r="M101" s="127">
        <v>0.05</v>
      </c>
      <c r="N101" s="127">
        <v>0.1</v>
      </c>
      <c r="O101" s="127">
        <v>0.05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8">
        <v>0</v>
      </c>
    </row>
    <row r="102" spans="1:22">
      <c r="A102" s="93" t="s">
        <v>3078</v>
      </c>
      <c r="B102" s="93"/>
      <c r="C102" s="60" t="s">
        <v>696</v>
      </c>
      <c r="D102" s="60" t="s">
        <v>696</v>
      </c>
      <c r="E102" s="59" t="s">
        <v>695</v>
      </c>
      <c r="F102" s="46" t="s">
        <v>305</v>
      </c>
      <c r="G102" s="46" t="s">
        <v>305</v>
      </c>
      <c r="H102" s="59" t="s">
        <v>695</v>
      </c>
      <c r="I102" s="93" t="s">
        <v>3638</v>
      </c>
      <c r="J102" s="127">
        <v>0.05</v>
      </c>
      <c r="K102" s="127">
        <v>-0.05</v>
      </c>
      <c r="L102" s="127">
        <v>0</v>
      </c>
      <c r="M102" s="127">
        <v>0.05</v>
      </c>
      <c r="N102" s="127">
        <v>0.1</v>
      </c>
      <c r="O102" s="127">
        <v>0.05</v>
      </c>
      <c r="P102" s="127">
        <v>0</v>
      </c>
      <c r="Q102" s="127">
        <v>0</v>
      </c>
      <c r="R102" s="127">
        <v>0</v>
      </c>
      <c r="S102" s="127">
        <v>0</v>
      </c>
      <c r="T102" s="127">
        <v>0</v>
      </c>
      <c r="U102" s="127">
        <v>0</v>
      </c>
      <c r="V102" s="128">
        <v>0</v>
      </c>
    </row>
    <row r="103" spans="1:22">
      <c r="A103" s="162" t="s">
        <v>1313</v>
      </c>
      <c r="B103" s="10"/>
      <c r="C103" s="46" t="s">
        <v>305</v>
      </c>
      <c r="D103" s="60" t="s">
        <v>696</v>
      </c>
      <c r="E103" s="59" t="s">
        <v>695</v>
      </c>
      <c r="F103" s="46" t="s">
        <v>305</v>
      </c>
      <c r="G103" s="46" t="s">
        <v>305</v>
      </c>
      <c r="H103" s="46" t="s">
        <v>305</v>
      </c>
      <c r="I103" s="10" t="s">
        <v>3912</v>
      </c>
      <c r="J103" s="127">
        <v>0.05</v>
      </c>
      <c r="K103" s="127">
        <v>-0.05</v>
      </c>
      <c r="L103" s="127">
        <v>0</v>
      </c>
      <c r="M103" s="127">
        <v>0.05</v>
      </c>
      <c r="N103" s="127">
        <v>0.1</v>
      </c>
      <c r="O103" s="127">
        <v>0.05</v>
      </c>
      <c r="P103" s="127">
        <v>0</v>
      </c>
      <c r="Q103" s="127">
        <v>0</v>
      </c>
      <c r="R103" s="127">
        <v>0</v>
      </c>
      <c r="S103" s="127">
        <v>0</v>
      </c>
      <c r="T103" s="127">
        <v>0</v>
      </c>
      <c r="U103" s="127">
        <v>0</v>
      </c>
      <c r="V103" s="128">
        <v>0</v>
      </c>
    </row>
    <row r="104" spans="1:22">
      <c r="A104" s="162" t="s">
        <v>1230</v>
      </c>
      <c r="B104" s="93"/>
      <c r="C104" s="46" t="s">
        <v>305</v>
      </c>
      <c r="D104" s="60" t="s">
        <v>697</v>
      </c>
      <c r="E104" s="59" t="s">
        <v>698</v>
      </c>
      <c r="F104" s="46" t="s">
        <v>305</v>
      </c>
      <c r="G104" s="46" t="s">
        <v>305</v>
      </c>
      <c r="H104" s="46" t="s">
        <v>305</v>
      </c>
      <c r="I104" s="93" t="s">
        <v>3638</v>
      </c>
      <c r="J104" s="127">
        <v>0</v>
      </c>
      <c r="K104" s="127">
        <v>-0.05</v>
      </c>
      <c r="L104" s="127">
        <v>0.05</v>
      </c>
      <c r="M104" s="127">
        <v>0</v>
      </c>
      <c r="N104" s="127">
        <v>-0.05</v>
      </c>
      <c r="O104" s="127">
        <v>0.15</v>
      </c>
      <c r="P104" s="127">
        <v>-0.2</v>
      </c>
      <c r="Q104" s="127">
        <v>0</v>
      </c>
      <c r="R104" s="127">
        <v>0</v>
      </c>
      <c r="S104" s="127">
        <v>0</v>
      </c>
      <c r="T104" s="127">
        <v>0</v>
      </c>
      <c r="U104" s="127">
        <v>0</v>
      </c>
      <c r="V104" s="128">
        <v>0</v>
      </c>
    </row>
    <row r="105" spans="1:22">
      <c r="A105" s="101" t="s">
        <v>61</v>
      </c>
      <c r="B105" s="102"/>
      <c r="C105" s="103" t="s">
        <v>197</v>
      </c>
      <c r="D105" s="103" t="s">
        <v>198</v>
      </c>
      <c r="E105" s="103" t="s">
        <v>199</v>
      </c>
      <c r="F105" s="103" t="s">
        <v>194</v>
      </c>
      <c r="G105" s="103" t="s">
        <v>195</v>
      </c>
      <c r="H105" s="103" t="s">
        <v>196</v>
      </c>
      <c r="I105" s="103" t="s">
        <v>3917</v>
      </c>
      <c r="J105" s="104" t="s">
        <v>1363</v>
      </c>
      <c r="K105" s="104" t="s">
        <v>1364</v>
      </c>
      <c r="L105" s="104" t="s">
        <v>1365</v>
      </c>
      <c r="M105" s="104" t="s">
        <v>1366</v>
      </c>
      <c r="N105" s="104" t="s">
        <v>1367</v>
      </c>
      <c r="O105" s="104" t="s">
        <v>1368</v>
      </c>
      <c r="P105" s="104" t="s">
        <v>1369</v>
      </c>
      <c r="Q105" s="104" t="s">
        <v>1375</v>
      </c>
      <c r="R105" s="104" t="s">
        <v>1370</v>
      </c>
      <c r="S105" s="104" t="s">
        <v>1371</v>
      </c>
      <c r="T105" s="104" t="s">
        <v>1372</v>
      </c>
      <c r="U105" s="104" t="s">
        <v>1373</v>
      </c>
      <c r="V105" s="104" t="s">
        <v>1374</v>
      </c>
    </row>
    <row r="106" spans="1:22">
      <c r="A106" s="93" t="s">
        <v>3066</v>
      </c>
      <c r="B106" s="93"/>
      <c r="C106" s="46" t="s">
        <v>305</v>
      </c>
      <c r="D106" s="46" t="s">
        <v>305</v>
      </c>
      <c r="E106" s="46" t="s">
        <v>305</v>
      </c>
      <c r="F106" s="60" t="s">
        <v>696</v>
      </c>
      <c r="G106" s="59" t="s">
        <v>695</v>
      </c>
      <c r="H106" s="46" t="s">
        <v>305</v>
      </c>
      <c r="I106" s="93" t="s">
        <v>3912</v>
      </c>
      <c r="J106" s="127">
        <v>0</v>
      </c>
      <c r="K106" s="127">
        <v>0.05</v>
      </c>
      <c r="L106" s="127">
        <v>0.1</v>
      </c>
      <c r="M106" s="127">
        <v>0.05</v>
      </c>
      <c r="N106" s="127">
        <v>0.05</v>
      </c>
      <c r="O106" s="127">
        <v>0.1</v>
      </c>
      <c r="P106" s="127">
        <v>-0.15</v>
      </c>
      <c r="Q106" s="127">
        <v>0</v>
      </c>
      <c r="R106" s="127">
        <v>0.05</v>
      </c>
      <c r="S106" s="127">
        <v>0.1</v>
      </c>
      <c r="T106" s="127">
        <v>0.05</v>
      </c>
      <c r="U106" s="127">
        <v>0.05</v>
      </c>
      <c r="V106" s="128">
        <v>0</v>
      </c>
    </row>
    <row r="107" spans="1:22">
      <c r="A107" s="10" t="s">
        <v>3067</v>
      </c>
      <c r="B107" s="10"/>
      <c r="C107" s="59" t="s">
        <v>695</v>
      </c>
      <c r="D107" s="60" t="s">
        <v>696</v>
      </c>
      <c r="E107" s="46" t="s">
        <v>305</v>
      </c>
      <c r="F107" s="59" t="s">
        <v>695</v>
      </c>
      <c r="G107" s="60" t="s">
        <v>696</v>
      </c>
      <c r="H107" s="46" t="s">
        <v>305</v>
      </c>
      <c r="I107" s="10" t="s">
        <v>3638</v>
      </c>
      <c r="J107" s="127">
        <v>0</v>
      </c>
      <c r="K107" s="127">
        <v>0.05</v>
      </c>
      <c r="L107" s="127">
        <v>0.1</v>
      </c>
      <c r="M107" s="127">
        <v>0.05</v>
      </c>
      <c r="N107" s="127">
        <v>0.05</v>
      </c>
      <c r="O107" s="127">
        <v>0.1</v>
      </c>
      <c r="P107" s="127">
        <v>-0.15</v>
      </c>
      <c r="Q107" s="127">
        <v>0</v>
      </c>
      <c r="R107" s="127">
        <v>0.05</v>
      </c>
      <c r="S107" s="127">
        <v>0.1</v>
      </c>
      <c r="T107" s="127">
        <v>0.05</v>
      </c>
      <c r="U107" s="127">
        <v>0.05</v>
      </c>
      <c r="V107" s="128">
        <v>0</v>
      </c>
    </row>
    <row r="108" spans="1:22">
      <c r="A108" s="93" t="s">
        <v>3065</v>
      </c>
      <c r="B108" s="93"/>
      <c r="C108" s="46" t="s">
        <v>305</v>
      </c>
      <c r="D108" s="46" t="s">
        <v>305</v>
      </c>
      <c r="E108" s="46" t="s">
        <v>305</v>
      </c>
      <c r="F108" s="60" t="s">
        <v>696</v>
      </c>
      <c r="G108" s="59" t="s">
        <v>695</v>
      </c>
      <c r="H108" s="46" t="s">
        <v>305</v>
      </c>
      <c r="I108" s="93" t="s">
        <v>3638</v>
      </c>
      <c r="J108" s="127">
        <v>0</v>
      </c>
      <c r="K108" s="127">
        <v>0.05</v>
      </c>
      <c r="L108" s="127">
        <v>0.1</v>
      </c>
      <c r="M108" s="127">
        <v>0.05</v>
      </c>
      <c r="N108" s="127">
        <v>0.05</v>
      </c>
      <c r="O108" s="127">
        <v>0.1</v>
      </c>
      <c r="P108" s="127">
        <v>-0.15</v>
      </c>
      <c r="Q108" s="127">
        <v>0</v>
      </c>
      <c r="R108" s="127">
        <v>0.05</v>
      </c>
      <c r="S108" s="127">
        <v>0.1</v>
      </c>
      <c r="T108" s="127">
        <v>0.05</v>
      </c>
      <c r="U108" s="127">
        <v>0.05</v>
      </c>
      <c r="V108" s="128">
        <v>0</v>
      </c>
    </row>
    <row r="109" spans="1:22">
      <c r="A109" s="10" t="s">
        <v>1295</v>
      </c>
      <c r="B109" s="10"/>
      <c r="C109" s="46" t="s">
        <v>305</v>
      </c>
      <c r="D109" s="46" t="s">
        <v>305</v>
      </c>
      <c r="E109" s="46" t="s">
        <v>305</v>
      </c>
      <c r="F109" s="60" t="s">
        <v>696</v>
      </c>
      <c r="G109" s="59" t="s">
        <v>695</v>
      </c>
      <c r="H109" s="46" t="s">
        <v>305</v>
      </c>
      <c r="I109" s="10" t="s">
        <v>3638</v>
      </c>
      <c r="J109" s="127">
        <v>0</v>
      </c>
      <c r="K109" s="127">
        <v>0.05</v>
      </c>
      <c r="L109" s="127">
        <v>0.1</v>
      </c>
      <c r="M109" s="127">
        <v>0.05</v>
      </c>
      <c r="N109" s="127">
        <v>0.05</v>
      </c>
      <c r="O109" s="127">
        <v>0.1</v>
      </c>
      <c r="P109" s="127">
        <v>-0.15</v>
      </c>
      <c r="Q109" s="127">
        <v>0</v>
      </c>
      <c r="R109" s="127">
        <v>0.05</v>
      </c>
      <c r="S109" s="127">
        <v>0.1</v>
      </c>
      <c r="T109" s="127">
        <v>0.05</v>
      </c>
      <c r="U109" s="127">
        <v>0.05</v>
      </c>
      <c r="V109" s="128">
        <v>0</v>
      </c>
    </row>
    <row r="110" spans="1:22">
      <c r="A110" s="93" t="s">
        <v>3068</v>
      </c>
      <c r="B110" s="93"/>
      <c r="C110" s="46" t="s">
        <v>305</v>
      </c>
      <c r="D110" s="60" t="s">
        <v>696</v>
      </c>
      <c r="E110" s="46" t="s">
        <v>305</v>
      </c>
      <c r="F110" s="59" t="s">
        <v>695</v>
      </c>
      <c r="G110" s="60" t="s">
        <v>696</v>
      </c>
      <c r="H110" s="59" t="s">
        <v>698</v>
      </c>
      <c r="I110" s="93" t="s">
        <v>3638</v>
      </c>
      <c r="J110" s="127">
        <v>0</v>
      </c>
      <c r="K110" s="127">
        <v>0.05</v>
      </c>
      <c r="L110" s="127">
        <v>0.1</v>
      </c>
      <c r="M110" s="127">
        <v>0.05</v>
      </c>
      <c r="N110" s="127">
        <v>0.05</v>
      </c>
      <c r="O110" s="127">
        <v>0.1</v>
      </c>
      <c r="P110" s="127">
        <v>-0.15</v>
      </c>
      <c r="Q110" s="127">
        <v>0</v>
      </c>
      <c r="R110" s="127">
        <v>0.05</v>
      </c>
      <c r="S110" s="127">
        <v>0.1</v>
      </c>
      <c r="T110" s="127">
        <v>0.05</v>
      </c>
      <c r="U110" s="127">
        <v>0.05</v>
      </c>
      <c r="V110" s="128">
        <v>0</v>
      </c>
    </row>
    <row r="111" spans="1:22">
      <c r="A111" s="10" t="s">
        <v>3069</v>
      </c>
      <c r="B111" s="10"/>
      <c r="C111" s="46" t="s">
        <v>305</v>
      </c>
      <c r="D111" s="46" t="s">
        <v>305</v>
      </c>
      <c r="E111" s="46" t="s">
        <v>305</v>
      </c>
      <c r="F111" s="60" t="s">
        <v>696</v>
      </c>
      <c r="G111" s="59" t="s">
        <v>695</v>
      </c>
      <c r="H111" s="46" t="s">
        <v>305</v>
      </c>
      <c r="I111" s="10" t="s">
        <v>3638</v>
      </c>
      <c r="J111" s="127">
        <v>0</v>
      </c>
      <c r="K111" s="127">
        <v>0.05</v>
      </c>
      <c r="L111" s="127">
        <v>0.1</v>
      </c>
      <c r="M111" s="127">
        <v>0.05</v>
      </c>
      <c r="N111" s="127">
        <v>0.05</v>
      </c>
      <c r="O111" s="127">
        <v>0.1</v>
      </c>
      <c r="P111" s="127">
        <v>-0.15</v>
      </c>
      <c r="Q111" s="127">
        <v>0</v>
      </c>
      <c r="R111" s="127">
        <v>0.05</v>
      </c>
      <c r="S111" s="127">
        <v>0.1</v>
      </c>
      <c r="T111" s="127">
        <v>0.05</v>
      </c>
      <c r="U111" s="127">
        <v>0.05</v>
      </c>
      <c r="V111" s="128">
        <v>0</v>
      </c>
    </row>
    <row r="112" spans="1:22">
      <c r="A112" s="93" t="s">
        <v>3070</v>
      </c>
      <c r="B112" s="93"/>
      <c r="C112" s="59" t="s">
        <v>695</v>
      </c>
      <c r="D112" s="60" t="s">
        <v>697</v>
      </c>
      <c r="E112" s="46" t="s">
        <v>305</v>
      </c>
      <c r="F112" s="46" t="s">
        <v>305</v>
      </c>
      <c r="G112" s="59" t="s">
        <v>695</v>
      </c>
      <c r="H112" s="46" t="s">
        <v>305</v>
      </c>
      <c r="I112" s="93" t="s">
        <v>3638</v>
      </c>
      <c r="J112" s="127">
        <v>0</v>
      </c>
      <c r="K112" s="127">
        <v>0.05</v>
      </c>
      <c r="L112" s="127">
        <v>0.1</v>
      </c>
      <c r="M112" s="127">
        <v>0.05</v>
      </c>
      <c r="N112" s="127">
        <v>0.05</v>
      </c>
      <c r="O112" s="127">
        <v>0.1</v>
      </c>
      <c r="P112" s="127">
        <v>-0.15</v>
      </c>
      <c r="Q112" s="127">
        <v>0</v>
      </c>
      <c r="R112" s="127">
        <v>0.05</v>
      </c>
      <c r="S112" s="127">
        <v>0.1</v>
      </c>
      <c r="T112" s="127">
        <v>0.05</v>
      </c>
      <c r="U112" s="127">
        <v>0.05</v>
      </c>
      <c r="V112" s="128">
        <v>0</v>
      </c>
    </row>
    <row r="113" spans="1:22">
      <c r="A113" s="10" t="s">
        <v>3071</v>
      </c>
      <c r="B113" s="10"/>
      <c r="C113" s="59" t="s">
        <v>695</v>
      </c>
      <c r="D113" s="60" t="s">
        <v>697</v>
      </c>
      <c r="E113" s="46" t="s">
        <v>305</v>
      </c>
      <c r="F113" s="46" t="s">
        <v>305</v>
      </c>
      <c r="G113" s="46" t="s">
        <v>305</v>
      </c>
      <c r="H113" s="46" t="s">
        <v>305</v>
      </c>
      <c r="I113" s="10" t="s">
        <v>3638</v>
      </c>
      <c r="J113" s="127">
        <v>0</v>
      </c>
      <c r="K113" s="127">
        <v>0.05</v>
      </c>
      <c r="L113" s="127">
        <v>0.1</v>
      </c>
      <c r="M113" s="127">
        <v>0.05</v>
      </c>
      <c r="N113" s="127">
        <v>0.05</v>
      </c>
      <c r="O113" s="127">
        <v>0.1</v>
      </c>
      <c r="P113" s="127">
        <v>-0.15</v>
      </c>
      <c r="Q113" s="127">
        <v>0</v>
      </c>
      <c r="R113" s="127">
        <v>0.05</v>
      </c>
      <c r="S113" s="127">
        <v>0.1</v>
      </c>
      <c r="T113" s="127">
        <v>0.05</v>
      </c>
      <c r="U113" s="127">
        <v>0.05</v>
      </c>
      <c r="V113" s="128">
        <v>0</v>
      </c>
    </row>
    <row r="114" spans="1:22">
      <c r="A114" s="101" t="s">
        <v>275</v>
      </c>
      <c r="B114" s="102"/>
      <c r="C114" s="103" t="s">
        <v>197</v>
      </c>
      <c r="D114" s="103" t="s">
        <v>198</v>
      </c>
      <c r="E114" s="103" t="s">
        <v>199</v>
      </c>
      <c r="F114" s="103" t="s">
        <v>194</v>
      </c>
      <c r="G114" s="103" t="s">
        <v>195</v>
      </c>
      <c r="H114" s="103" t="s">
        <v>196</v>
      </c>
      <c r="I114" s="103" t="s">
        <v>3917</v>
      </c>
      <c r="J114" s="104" t="s">
        <v>1363</v>
      </c>
      <c r="K114" s="104" t="s">
        <v>1364</v>
      </c>
      <c r="L114" s="104" t="s">
        <v>1365</v>
      </c>
      <c r="M114" s="104" t="s">
        <v>1366</v>
      </c>
      <c r="N114" s="104" t="s">
        <v>1367</v>
      </c>
      <c r="O114" s="104" t="s">
        <v>1368</v>
      </c>
      <c r="P114" s="104" t="s">
        <v>1369</v>
      </c>
      <c r="Q114" s="104" t="s">
        <v>1375</v>
      </c>
      <c r="R114" s="104" t="s">
        <v>1370</v>
      </c>
      <c r="S114" s="104" t="s">
        <v>1371</v>
      </c>
      <c r="T114" s="104" t="s">
        <v>1372</v>
      </c>
      <c r="U114" s="104" t="s">
        <v>1373</v>
      </c>
      <c r="V114" s="104" t="s">
        <v>1374</v>
      </c>
    </row>
    <row r="115" spans="1:22">
      <c r="A115" s="93" t="str">
        <f>IF('Feuille 1'!H301="Femelle","Duchesse des vents (Air)","Duc des vents (Air)")</f>
        <v>Duc des vents (Air)</v>
      </c>
      <c r="B115" s="93"/>
      <c r="C115" s="46" t="s">
        <v>305</v>
      </c>
      <c r="D115" s="60" t="s">
        <v>696</v>
      </c>
      <c r="E115" s="46" t="s">
        <v>305</v>
      </c>
      <c r="F115" s="60" t="s">
        <v>696</v>
      </c>
      <c r="G115" s="59" t="s">
        <v>695</v>
      </c>
      <c r="H115" s="59" t="s">
        <v>695</v>
      </c>
      <c r="I115" s="93" t="s">
        <v>3638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8">
        <v>0</v>
      </c>
    </row>
    <row r="116" spans="1:22">
      <c r="A116" s="10" t="str">
        <f>IF('Feuille 1'!H301="Femelle","Reine des mers (Eau)","Roi des mers (Eau)")</f>
        <v>Roi des mers (Eau)</v>
      </c>
      <c r="B116" s="10"/>
      <c r="C116" s="60" t="s">
        <v>696</v>
      </c>
      <c r="D116" s="46" t="s">
        <v>305</v>
      </c>
      <c r="E116" s="60" t="s">
        <v>696</v>
      </c>
      <c r="F116" s="46" t="s">
        <v>305</v>
      </c>
      <c r="G116" s="59" t="s">
        <v>695</v>
      </c>
      <c r="H116" s="59" t="s">
        <v>695</v>
      </c>
      <c r="I116" s="10" t="s">
        <v>3638</v>
      </c>
      <c r="J116" s="127">
        <v>0</v>
      </c>
      <c r="K116" s="127">
        <v>0</v>
      </c>
      <c r="L116" s="127">
        <v>0</v>
      </c>
      <c r="M116" s="127">
        <v>0.05</v>
      </c>
      <c r="N116" s="127">
        <v>0.1</v>
      </c>
      <c r="O116" s="127">
        <v>0</v>
      </c>
      <c r="P116" s="127">
        <v>0</v>
      </c>
      <c r="Q116" s="127">
        <v>0</v>
      </c>
      <c r="R116" s="127">
        <v>0.05</v>
      </c>
      <c r="S116" s="127">
        <v>0.05</v>
      </c>
      <c r="T116" s="127">
        <v>0</v>
      </c>
      <c r="U116" s="127">
        <v>0</v>
      </c>
      <c r="V116" s="128">
        <v>0</v>
      </c>
    </row>
    <row r="117" spans="1:22">
      <c r="A117" s="93" t="str">
        <f>IF('Feuille 1'!H301="Femelle","Dame des flammes (Feu)","Seigneur des flammes (Feu)")</f>
        <v>Seigneur des flammes (Feu)</v>
      </c>
      <c r="B117" s="93"/>
      <c r="C117" s="46" t="s">
        <v>305</v>
      </c>
      <c r="D117" s="46" t="s">
        <v>305</v>
      </c>
      <c r="E117" s="46" t="s">
        <v>305</v>
      </c>
      <c r="F117" s="60" t="s">
        <v>696</v>
      </c>
      <c r="G117" s="46" t="s">
        <v>305</v>
      </c>
      <c r="H117" s="59" t="s">
        <v>695</v>
      </c>
      <c r="I117" s="93" t="s">
        <v>3638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8">
        <v>0</v>
      </c>
    </row>
    <row r="118" spans="1:22">
      <c r="A118" s="10" t="str">
        <f>IF('Feuille 1'!H301="Femelle","Princesse de la pierre (Terre)","Prince de la pierre (Terre)")</f>
        <v>Prince de la pierre (Terre)</v>
      </c>
      <c r="B118" s="10"/>
      <c r="C118" s="60" t="s">
        <v>696</v>
      </c>
      <c r="D118" s="46" t="s">
        <v>305</v>
      </c>
      <c r="E118" s="60" t="s">
        <v>696</v>
      </c>
      <c r="F118" s="46" t="s">
        <v>305</v>
      </c>
      <c r="G118" s="59" t="s">
        <v>695</v>
      </c>
      <c r="H118" s="59" t="s">
        <v>695</v>
      </c>
      <c r="I118" s="10">
        <v>8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8">
        <v>0</v>
      </c>
    </row>
    <row r="119" spans="1:22">
      <c r="A119" s="101" t="s">
        <v>303</v>
      </c>
      <c r="B119" s="102"/>
      <c r="C119" s="103" t="s">
        <v>197</v>
      </c>
      <c r="D119" s="103" t="s">
        <v>198</v>
      </c>
      <c r="E119" s="103" t="s">
        <v>199</v>
      </c>
      <c r="F119" s="103" t="s">
        <v>194</v>
      </c>
      <c r="G119" s="103" t="s">
        <v>195</v>
      </c>
      <c r="H119" s="103" t="s">
        <v>196</v>
      </c>
      <c r="I119" s="103" t="s">
        <v>3917</v>
      </c>
      <c r="J119" s="104" t="s">
        <v>1363</v>
      </c>
      <c r="K119" s="104" t="s">
        <v>1364</v>
      </c>
      <c r="L119" s="104" t="s">
        <v>1365</v>
      </c>
      <c r="M119" s="104" t="s">
        <v>1366</v>
      </c>
      <c r="N119" s="104" t="s">
        <v>1367</v>
      </c>
      <c r="O119" s="104" t="s">
        <v>1368</v>
      </c>
      <c r="P119" s="104" t="s">
        <v>1369</v>
      </c>
      <c r="Q119" s="104" t="s">
        <v>1375</v>
      </c>
      <c r="R119" s="104" t="s">
        <v>1370</v>
      </c>
      <c r="S119" s="104" t="s">
        <v>1371</v>
      </c>
      <c r="T119" s="104" t="s">
        <v>1372</v>
      </c>
      <c r="U119" s="104" t="s">
        <v>1373</v>
      </c>
      <c r="V119" s="104" t="s">
        <v>1374</v>
      </c>
    </row>
    <row r="120" spans="1:22">
      <c r="A120" s="93" t="s">
        <v>1295</v>
      </c>
      <c r="B120" s="93"/>
      <c r="C120" s="59" t="s">
        <v>695</v>
      </c>
      <c r="D120" s="60" t="s">
        <v>696</v>
      </c>
      <c r="E120" s="59" t="s">
        <v>695</v>
      </c>
      <c r="F120" s="46" t="s">
        <v>305</v>
      </c>
      <c r="G120" s="46" t="s">
        <v>305</v>
      </c>
      <c r="H120" s="46" t="s">
        <v>305</v>
      </c>
      <c r="I120" s="93">
        <v>7</v>
      </c>
      <c r="J120" s="127">
        <v>0</v>
      </c>
      <c r="K120" s="105">
        <v>-0.1</v>
      </c>
      <c r="L120" s="105">
        <v>0</v>
      </c>
      <c r="M120" s="105">
        <v>-0.05</v>
      </c>
      <c r="N120" s="105">
        <v>0</v>
      </c>
      <c r="O120" s="105">
        <v>0.15</v>
      </c>
      <c r="P120" s="105">
        <v>0</v>
      </c>
      <c r="Q120" s="105">
        <v>-0.05</v>
      </c>
      <c r="R120" s="105">
        <v>0</v>
      </c>
      <c r="S120" s="105">
        <v>0</v>
      </c>
      <c r="T120" s="105">
        <v>0</v>
      </c>
      <c r="U120" s="105">
        <v>0</v>
      </c>
      <c r="V120" s="105">
        <v>0</v>
      </c>
    </row>
    <row r="121" spans="1:22">
      <c r="A121" s="10" t="s">
        <v>1152</v>
      </c>
      <c r="B121" s="10"/>
      <c r="C121" s="61" t="s">
        <v>695</v>
      </c>
      <c r="D121" s="62" t="s">
        <v>697</v>
      </c>
      <c r="E121" s="61" t="s">
        <v>695</v>
      </c>
      <c r="F121" s="53" t="s">
        <v>305</v>
      </c>
      <c r="G121" s="53" t="s">
        <v>305</v>
      </c>
      <c r="H121" s="53" t="s">
        <v>305</v>
      </c>
      <c r="I121" s="10">
        <v>7</v>
      </c>
      <c r="J121" s="106">
        <v>-0.1</v>
      </c>
      <c r="K121" s="106">
        <v>-0.05</v>
      </c>
      <c r="L121" s="106">
        <v>0</v>
      </c>
      <c r="M121" s="106">
        <v>0.1</v>
      </c>
      <c r="N121" s="106">
        <v>0</v>
      </c>
      <c r="O121" s="106">
        <v>0.05</v>
      </c>
      <c r="P121" s="106">
        <v>-0.15</v>
      </c>
      <c r="Q121" s="106">
        <v>0</v>
      </c>
      <c r="R121" s="106">
        <v>0</v>
      </c>
      <c r="S121" s="106">
        <v>0</v>
      </c>
      <c r="T121" s="106">
        <v>0</v>
      </c>
      <c r="U121" s="106">
        <v>0</v>
      </c>
      <c r="V121" s="106">
        <v>0</v>
      </c>
    </row>
    <row r="122" spans="1:22">
      <c r="A122" s="101" t="s">
        <v>287</v>
      </c>
      <c r="B122" s="102"/>
      <c r="C122" s="103" t="s">
        <v>197</v>
      </c>
      <c r="D122" s="103" t="s">
        <v>198</v>
      </c>
      <c r="E122" s="103" t="s">
        <v>199</v>
      </c>
      <c r="F122" s="103" t="s">
        <v>194</v>
      </c>
      <c r="G122" s="103" t="s">
        <v>195</v>
      </c>
      <c r="H122" s="103" t="s">
        <v>196</v>
      </c>
      <c r="I122" s="103" t="s">
        <v>3917</v>
      </c>
      <c r="J122" s="104" t="s">
        <v>1363</v>
      </c>
      <c r="K122" s="104" t="s">
        <v>1364</v>
      </c>
      <c r="L122" s="104" t="s">
        <v>1365</v>
      </c>
      <c r="M122" s="104" t="s">
        <v>1366</v>
      </c>
      <c r="N122" s="104" t="s">
        <v>1367</v>
      </c>
      <c r="O122" s="104" t="s">
        <v>1368</v>
      </c>
      <c r="P122" s="104" t="s">
        <v>1369</v>
      </c>
      <c r="Q122" s="104" t="s">
        <v>1375</v>
      </c>
      <c r="R122" s="104" t="s">
        <v>1370</v>
      </c>
      <c r="S122" s="104" t="s">
        <v>1371</v>
      </c>
      <c r="T122" s="104" t="s">
        <v>1372</v>
      </c>
      <c r="U122" s="104" t="s">
        <v>1373</v>
      </c>
      <c r="V122" s="104" t="s">
        <v>1374</v>
      </c>
    </row>
    <row r="123" spans="1:22">
      <c r="A123" s="93" t="s">
        <v>1295</v>
      </c>
      <c r="B123" s="93"/>
      <c r="C123" s="63" t="s">
        <v>699</v>
      </c>
      <c r="D123" s="46" t="s">
        <v>305</v>
      </c>
      <c r="E123" s="59" t="s">
        <v>698</v>
      </c>
      <c r="F123" s="46" t="s">
        <v>305</v>
      </c>
      <c r="G123" s="60" t="s">
        <v>696</v>
      </c>
      <c r="H123" s="63" t="s">
        <v>699</v>
      </c>
      <c r="I123" s="93" t="s">
        <v>3638</v>
      </c>
      <c r="J123" s="127">
        <v>0</v>
      </c>
      <c r="K123" s="105">
        <v>0</v>
      </c>
      <c r="L123" s="105">
        <v>0.1</v>
      </c>
      <c r="M123" s="105">
        <v>0.05</v>
      </c>
      <c r="N123" s="105">
        <v>0.1</v>
      </c>
      <c r="O123" s="105">
        <v>0.05</v>
      </c>
      <c r="P123" s="105">
        <v>0</v>
      </c>
      <c r="Q123" s="105">
        <v>0</v>
      </c>
      <c r="R123" s="105">
        <v>0.1</v>
      </c>
      <c r="S123" s="105">
        <v>0.1</v>
      </c>
      <c r="T123" s="105">
        <v>0</v>
      </c>
      <c r="U123" s="105">
        <v>-0.05</v>
      </c>
      <c r="V123" s="105">
        <v>0</v>
      </c>
    </row>
    <row r="124" spans="1:22">
      <c r="A124" s="10" t="s">
        <v>1155</v>
      </c>
      <c r="B124" s="10"/>
      <c r="C124" s="60" t="s">
        <v>696</v>
      </c>
      <c r="D124" s="46" t="s">
        <v>305</v>
      </c>
      <c r="E124" s="59" t="s">
        <v>698</v>
      </c>
      <c r="F124" s="46" t="s">
        <v>305</v>
      </c>
      <c r="G124" s="60" t="s">
        <v>696</v>
      </c>
      <c r="H124" s="46" t="s">
        <v>305</v>
      </c>
      <c r="I124" s="10" t="s">
        <v>3638</v>
      </c>
      <c r="J124" s="106">
        <v>0</v>
      </c>
      <c r="K124" s="106">
        <v>0.05</v>
      </c>
      <c r="L124" s="106">
        <v>0.1</v>
      </c>
      <c r="M124" s="106">
        <v>0.05</v>
      </c>
      <c r="N124" s="106">
        <v>0.1</v>
      </c>
      <c r="O124" s="106">
        <v>0.05</v>
      </c>
      <c r="P124" s="106">
        <v>0</v>
      </c>
      <c r="Q124" s="106">
        <v>0</v>
      </c>
      <c r="R124" s="106">
        <v>0.1</v>
      </c>
      <c r="S124" s="106">
        <v>0.1</v>
      </c>
      <c r="T124" s="106">
        <v>0</v>
      </c>
      <c r="U124" s="106">
        <v>-0.05</v>
      </c>
      <c r="V124" s="106">
        <v>0</v>
      </c>
    </row>
    <row r="125" spans="1:22">
      <c r="A125" s="101" t="s">
        <v>1140</v>
      </c>
      <c r="B125" s="102"/>
      <c r="C125" s="103" t="s">
        <v>197</v>
      </c>
      <c r="D125" s="103" t="s">
        <v>198</v>
      </c>
      <c r="E125" s="103" t="s">
        <v>199</v>
      </c>
      <c r="F125" s="103" t="s">
        <v>194</v>
      </c>
      <c r="G125" s="103" t="s">
        <v>195</v>
      </c>
      <c r="H125" s="103" t="s">
        <v>196</v>
      </c>
      <c r="I125" s="103" t="s">
        <v>3917</v>
      </c>
      <c r="J125" s="104" t="s">
        <v>1363</v>
      </c>
      <c r="K125" s="104" t="s">
        <v>1364</v>
      </c>
      <c r="L125" s="104" t="s">
        <v>1365</v>
      </c>
      <c r="M125" s="104" t="s">
        <v>1366</v>
      </c>
      <c r="N125" s="104" t="s">
        <v>1367</v>
      </c>
      <c r="O125" s="104" t="s">
        <v>1368</v>
      </c>
      <c r="P125" s="104" t="s">
        <v>1369</v>
      </c>
      <c r="Q125" s="104" t="s">
        <v>1375</v>
      </c>
      <c r="R125" s="104" t="s">
        <v>1370</v>
      </c>
      <c r="S125" s="104" t="s">
        <v>1371</v>
      </c>
      <c r="T125" s="104" t="s">
        <v>1372</v>
      </c>
      <c r="U125" s="104" t="s">
        <v>1373</v>
      </c>
      <c r="V125" s="104" t="s">
        <v>1374</v>
      </c>
    </row>
    <row r="126" spans="1:22">
      <c r="A126" s="162" t="s">
        <v>1156</v>
      </c>
      <c r="B126" s="93"/>
      <c r="C126" s="60" t="s">
        <v>697</v>
      </c>
      <c r="D126" s="46" t="s">
        <v>305</v>
      </c>
      <c r="E126" s="60" t="s">
        <v>696</v>
      </c>
      <c r="F126" s="46" t="s">
        <v>305</v>
      </c>
      <c r="G126" s="46" t="s">
        <v>305</v>
      </c>
      <c r="H126" s="46" t="s">
        <v>305</v>
      </c>
      <c r="I126" s="93">
        <v>1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8">
        <v>0</v>
      </c>
    </row>
    <row r="127" spans="1:22">
      <c r="A127" s="162" t="s">
        <v>1157</v>
      </c>
      <c r="B127" s="10"/>
      <c r="C127" s="46" t="s">
        <v>305</v>
      </c>
      <c r="D127" s="63" t="s">
        <v>699</v>
      </c>
      <c r="E127" s="46" t="s">
        <v>305</v>
      </c>
      <c r="F127" s="63" t="s">
        <v>699</v>
      </c>
      <c r="G127" s="63" t="s">
        <v>699</v>
      </c>
      <c r="H127" s="59" t="s">
        <v>695</v>
      </c>
      <c r="I127" s="10">
        <v>5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8">
        <v>0</v>
      </c>
    </row>
    <row r="128" spans="1:22">
      <c r="A128" s="162" t="s">
        <v>1158</v>
      </c>
      <c r="B128" s="93"/>
      <c r="C128" s="46" t="s">
        <v>305</v>
      </c>
      <c r="D128" s="46" t="s">
        <v>305</v>
      </c>
      <c r="E128" s="46" t="s">
        <v>305</v>
      </c>
      <c r="F128" s="46" t="s">
        <v>305</v>
      </c>
      <c r="G128" s="60" t="s">
        <v>697</v>
      </c>
      <c r="H128" s="60" t="s">
        <v>696</v>
      </c>
      <c r="I128" s="93">
        <v>-5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8">
        <v>0</v>
      </c>
    </row>
    <row r="129" spans="1:22">
      <c r="A129" s="162" t="s">
        <v>1159</v>
      </c>
      <c r="B129" s="10"/>
      <c r="C129" s="46" t="s">
        <v>305</v>
      </c>
      <c r="D129" s="46" t="s">
        <v>305</v>
      </c>
      <c r="E129" s="46" t="s">
        <v>305</v>
      </c>
      <c r="F129" s="60" t="s">
        <v>696</v>
      </c>
      <c r="G129" s="60" t="s">
        <v>697</v>
      </c>
      <c r="H129" s="60" t="s">
        <v>700</v>
      </c>
      <c r="I129" s="10">
        <v>-3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8">
        <v>0</v>
      </c>
    </row>
    <row r="130" spans="1:22">
      <c r="A130" s="162" t="s">
        <v>1160</v>
      </c>
      <c r="B130" s="93"/>
      <c r="C130" s="60" t="s">
        <v>700</v>
      </c>
      <c r="D130" s="46" t="s">
        <v>305</v>
      </c>
      <c r="E130" s="60" t="s">
        <v>697</v>
      </c>
      <c r="F130" s="60" t="s">
        <v>696</v>
      </c>
      <c r="G130" s="46" t="s">
        <v>305</v>
      </c>
      <c r="H130" s="46" t="s">
        <v>305</v>
      </c>
      <c r="I130" s="93">
        <v>-1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8">
        <v>0</v>
      </c>
    </row>
    <row r="131" spans="1:22">
      <c r="A131" s="101" t="s">
        <v>1141</v>
      </c>
      <c r="B131" s="102"/>
      <c r="C131" s="103" t="s">
        <v>197</v>
      </c>
      <c r="D131" s="103" t="s">
        <v>198</v>
      </c>
      <c r="E131" s="103" t="s">
        <v>199</v>
      </c>
      <c r="F131" s="103" t="s">
        <v>194</v>
      </c>
      <c r="G131" s="103" t="s">
        <v>195</v>
      </c>
      <c r="H131" s="103" t="s">
        <v>196</v>
      </c>
      <c r="I131" s="103" t="s">
        <v>3917</v>
      </c>
      <c r="J131" s="104" t="s">
        <v>1363</v>
      </c>
      <c r="K131" s="104" t="s">
        <v>1364</v>
      </c>
      <c r="L131" s="104" t="s">
        <v>1365</v>
      </c>
      <c r="M131" s="104" t="s">
        <v>1366</v>
      </c>
      <c r="N131" s="104" t="s">
        <v>1367</v>
      </c>
      <c r="O131" s="104" t="s">
        <v>1368</v>
      </c>
      <c r="P131" s="104" t="s">
        <v>1369</v>
      </c>
      <c r="Q131" s="104" t="s">
        <v>1375</v>
      </c>
      <c r="R131" s="104" t="s">
        <v>1370</v>
      </c>
      <c r="S131" s="104" t="s">
        <v>1371</v>
      </c>
      <c r="T131" s="104" t="s">
        <v>1372</v>
      </c>
      <c r="U131" s="104" t="s">
        <v>1373</v>
      </c>
      <c r="V131" s="104" t="s">
        <v>1374</v>
      </c>
    </row>
    <row r="132" spans="1:22">
      <c r="A132" s="162" t="s">
        <v>1163</v>
      </c>
      <c r="B132" s="93"/>
      <c r="C132" s="60" t="s">
        <v>701</v>
      </c>
      <c r="D132" s="59" t="s">
        <v>702</v>
      </c>
      <c r="E132" s="46" t="s">
        <v>305</v>
      </c>
      <c r="F132" s="60" t="s">
        <v>700</v>
      </c>
      <c r="G132" s="60" t="s">
        <v>696</v>
      </c>
      <c r="H132" s="60" t="s">
        <v>697</v>
      </c>
      <c r="I132" s="93" t="s">
        <v>3912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8">
        <v>0</v>
      </c>
    </row>
    <row r="133" spans="1:22">
      <c r="A133" s="162" t="s">
        <v>1164</v>
      </c>
      <c r="B133" s="10"/>
      <c r="C133" s="60" t="s">
        <v>700</v>
      </c>
      <c r="D133" s="59" t="s">
        <v>695</v>
      </c>
      <c r="E133" s="46" t="s">
        <v>305</v>
      </c>
      <c r="F133" s="59" t="s">
        <v>695</v>
      </c>
      <c r="G133" s="59" t="s">
        <v>695</v>
      </c>
      <c r="H133" s="60" t="s">
        <v>696</v>
      </c>
      <c r="I133" s="10" t="s">
        <v>3912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8">
        <v>0</v>
      </c>
    </row>
    <row r="134" spans="1:22">
      <c r="A134" s="162" t="s">
        <v>1165</v>
      </c>
      <c r="B134" s="93"/>
      <c r="C134" s="60" t="s">
        <v>701</v>
      </c>
      <c r="D134" s="59" t="s">
        <v>702</v>
      </c>
      <c r="E134" s="60" t="s">
        <v>696</v>
      </c>
      <c r="F134" s="46" t="s">
        <v>305</v>
      </c>
      <c r="G134" s="46" t="s">
        <v>305</v>
      </c>
      <c r="H134" s="60" t="s">
        <v>697</v>
      </c>
      <c r="I134" s="93" t="s">
        <v>3912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8">
        <v>0</v>
      </c>
    </row>
    <row r="135" spans="1:22">
      <c r="A135" s="162" t="s">
        <v>1167</v>
      </c>
      <c r="B135" s="10"/>
      <c r="C135" s="60" t="s">
        <v>700</v>
      </c>
      <c r="D135" s="59" t="s">
        <v>695</v>
      </c>
      <c r="E135" s="46" t="s">
        <v>305</v>
      </c>
      <c r="F135" s="60" t="s">
        <v>696</v>
      </c>
      <c r="G135" s="46" t="s">
        <v>305</v>
      </c>
      <c r="H135" s="46" t="s">
        <v>305</v>
      </c>
      <c r="I135" s="10" t="s">
        <v>3912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8">
        <v>0</v>
      </c>
    </row>
    <row r="136" spans="1:22">
      <c r="A136" s="162" t="s">
        <v>1166</v>
      </c>
      <c r="B136" s="93"/>
      <c r="C136" s="60" t="s">
        <v>701</v>
      </c>
      <c r="D136" s="59" t="s">
        <v>698</v>
      </c>
      <c r="E136" s="46" t="s">
        <v>305</v>
      </c>
      <c r="F136" s="60" t="s">
        <v>697</v>
      </c>
      <c r="G136" s="46" t="s">
        <v>305</v>
      </c>
      <c r="H136" s="60" t="s">
        <v>696</v>
      </c>
      <c r="I136" s="93" t="s">
        <v>3912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8">
        <v>0</v>
      </c>
    </row>
    <row r="137" spans="1:22">
      <c r="A137" s="162" t="s">
        <v>1168</v>
      </c>
      <c r="B137" s="10"/>
      <c r="C137" s="60" t="s">
        <v>701</v>
      </c>
      <c r="D137" s="59" t="s">
        <v>703</v>
      </c>
      <c r="E137" s="46" t="s">
        <v>305</v>
      </c>
      <c r="F137" s="60" t="s">
        <v>700</v>
      </c>
      <c r="G137" s="46" t="s">
        <v>305</v>
      </c>
      <c r="H137" s="60" t="s">
        <v>700</v>
      </c>
      <c r="I137" s="93" t="s">
        <v>3912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8">
        <v>0</v>
      </c>
    </row>
    <row r="138" spans="1:22">
      <c r="A138" s="162" t="s">
        <v>1169</v>
      </c>
      <c r="B138" s="93"/>
      <c r="C138" s="60" t="s">
        <v>704</v>
      </c>
      <c r="D138" s="59" t="s">
        <v>695</v>
      </c>
      <c r="E138" s="46" t="s">
        <v>305</v>
      </c>
      <c r="F138" s="60" t="s">
        <v>696</v>
      </c>
      <c r="G138" s="46" t="s">
        <v>305</v>
      </c>
      <c r="H138" s="46" t="s">
        <v>305</v>
      </c>
      <c r="I138" s="10" t="s">
        <v>3912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8">
        <v>0</v>
      </c>
    </row>
    <row r="139" spans="1:22">
      <c r="A139" s="162" t="s">
        <v>1170</v>
      </c>
      <c r="B139" s="10"/>
      <c r="C139" s="60" t="s">
        <v>696</v>
      </c>
      <c r="D139" s="46" t="s">
        <v>305</v>
      </c>
      <c r="E139" s="46" t="s">
        <v>305</v>
      </c>
      <c r="F139" s="60" t="s">
        <v>697</v>
      </c>
      <c r="G139" s="60" t="s">
        <v>696</v>
      </c>
      <c r="H139" s="60" t="s">
        <v>696</v>
      </c>
      <c r="I139" s="93" t="s">
        <v>3912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8">
        <v>0</v>
      </c>
    </row>
    <row r="140" spans="1:22">
      <c r="A140" s="162" t="s">
        <v>1171</v>
      </c>
      <c r="B140" s="93"/>
      <c r="C140" s="60" t="s">
        <v>701</v>
      </c>
      <c r="D140" s="59" t="s">
        <v>702</v>
      </c>
      <c r="E140" s="46" t="s">
        <v>305</v>
      </c>
      <c r="F140" s="60" t="s">
        <v>697</v>
      </c>
      <c r="G140" s="46" t="s">
        <v>305</v>
      </c>
      <c r="H140" s="60" t="s">
        <v>696</v>
      </c>
      <c r="I140" s="10" t="s">
        <v>3912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8">
        <v>0</v>
      </c>
    </row>
    <row r="141" spans="1:22">
      <c r="A141" s="162" t="s">
        <v>1172</v>
      </c>
      <c r="B141" s="10"/>
      <c r="C141" s="60" t="s">
        <v>700</v>
      </c>
      <c r="D141" s="59" t="s">
        <v>698</v>
      </c>
      <c r="E141" s="46" t="s">
        <v>305</v>
      </c>
      <c r="F141" s="60" t="s">
        <v>697</v>
      </c>
      <c r="G141" s="60" t="s">
        <v>696</v>
      </c>
      <c r="H141" s="59" t="s">
        <v>695</v>
      </c>
      <c r="I141" s="93" t="s">
        <v>3912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8">
        <v>0</v>
      </c>
    </row>
    <row r="142" spans="1:22">
      <c r="A142" s="162" t="s">
        <v>1173</v>
      </c>
      <c r="B142" s="93"/>
      <c r="C142" s="60" t="s">
        <v>705</v>
      </c>
      <c r="D142" s="59" t="s">
        <v>702</v>
      </c>
      <c r="E142" s="60" t="s">
        <v>697</v>
      </c>
      <c r="F142" s="60" t="s">
        <v>700</v>
      </c>
      <c r="G142" s="46" t="s">
        <v>305</v>
      </c>
      <c r="H142" s="60" t="s">
        <v>700</v>
      </c>
      <c r="I142" s="93" t="s">
        <v>3912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8">
        <v>0</v>
      </c>
    </row>
    <row r="143" spans="1:22">
      <c r="A143" s="162" t="s">
        <v>1174</v>
      </c>
      <c r="B143" s="10"/>
      <c r="C143" s="60" t="s">
        <v>704</v>
      </c>
      <c r="D143" s="59" t="s">
        <v>698</v>
      </c>
      <c r="E143" s="46" t="s">
        <v>305</v>
      </c>
      <c r="F143" s="46" t="s">
        <v>305</v>
      </c>
      <c r="G143" s="46" t="s">
        <v>305</v>
      </c>
      <c r="H143" s="60" t="s">
        <v>696</v>
      </c>
      <c r="I143" s="10" t="s">
        <v>3912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8">
        <v>0</v>
      </c>
    </row>
    <row r="144" spans="1:22">
      <c r="A144" s="162" t="s">
        <v>1175</v>
      </c>
      <c r="B144" s="93"/>
      <c r="C144" s="60" t="s">
        <v>697</v>
      </c>
      <c r="D144" s="46" t="s">
        <v>305</v>
      </c>
      <c r="E144" s="46" t="s">
        <v>305</v>
      </c>
      <c r="F144" s="60" t="s">
        <v>696</v>
      </c>
      <c r="G144" s="46" t="s">
        <v>305</v>
      </c>
      <c r="H144" s="60" t="s">
        <v>696</v>
      </c>
      <c r="I144" s="93" t="s">
        <v>3912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8">
        <v>0</v>
      </c>
    </row>
    <row r="145" spans="1:22">
      <c r="A145" s="162" t="s">
        <v>1176</v>
      </c>
      <c r="B145" s="10"/>
      <c r="C145" s="60" t="s">
        <v>697</v>
      </c>
      <c r="D145" s="59" t="s">
        <v>702</v>
      </c>
      <c r="E145" s="46" t="s">
        <v>305</v>
      </c>
      <c r="F145" s="60" t="s">
        <v>697</v>
      </c>
      <c r="G145" s="46" t="s">
        <v>305</v>
      </c>
      <c r="H145" s="46" t="s">
        <v>305</v>
      </c>
      <c r="I145" s="10" t="s">
        <v>3912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8">
        <v>0</v>
      </c>
    </row>
    <row r="146" spans="1:22">
      <c r="A146" s="162" t="s">
        <v>1177</v>
      </c>
      <c r="B146" s="93"/>
      <c r="C146" s="60" t="s">
        <v>706</v>
      </c>
      <c r="D146" s="59" t="s">
        <v>702</v>
      </c>
      <c r="E146" s="60" t="s">
        <v>697</v>
      </c>
      <c r="F146" s="60" t="s">
        <v>697</v>
      </c>
      <c r="G146" s="46" t="s">
        <v>305</v>
      </c>
      <c r="H146" s="60" t="s">
        <v>700</v>
      </c>
      <c r="I146" s="93" t="s">
        <v>3912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8">
        <v>0</v>
      </c>
    </row>
    <row r="147" spans="1:22">
      <c r="A147" s="162" t="s">
        <v>1178</v>
      </c>
      <c r="B147" s="10"/>
      <c r="C147" s="60" t="s">
        <v>704</v>
      </c>
      <c r="D147" s="59" t="s">
        <v>702</v>
      </c>
      <c r="E147" s="46" t="s">
        <v>305</v>
      </c>
      <c r="F147" s="60" t="s">
        <v>700</v>
      </c>
      <c r="G147" s="60" t="s">
        <v>696</v>
      </c>
      <c r="H147" s="60" t="s">
        <v>696</v>
      </c>
      <c r="I147" s="93" t="s">
        <v>3912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8">
        <v>0</v>
      </c>
    </row>
    <row r="148" spans="1:22">
      <c r="A148" s="162" t="s">
        <v>1179</v>
      </c>
      <c r="B148" s="93"/>
      <c r="C148" s="60" t="s">
        <v>697</v>
      </c>
      <c r="D148" s="59" t="s">
        <v>702</v>
      </c>
      <c r="E148" s="46" t="s">
        <v>305</v>
      </c>
      <c r="F148" s="60" t="s">
        <v>700</v>
      </c>
      <c r="G148" s="46" t="s">
        <v>305</v>
      </c>
      <c r="H148" s="46" t="s">
        <v>305</v>
      </c>
      <c r="I148" s="10" t="s">
        <v>3912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8">
        <v>0</v>
      </c>
    </row>
    <row r="149" spans="1:22">
      <c r="A149" s="162" t="s">
        <v>1180</v>
      </c>
      <c r="B149" s="10"/>
      <c r="C149" s="60" t="s">
        <v>706</v>
      </c>
      <c r="D149" s="59" t="s">
        <v>702</v>
      </c>
      <c r="E149" s="60" t="s">
        <v>696</v>
      </c>
      <c r="F149" s="60" t="s">
        <v>697</v>
      </c>
      <c r="G149" s="46" t="s">
        <v>305</v>
      </c>
      <c r="H149" s="60" t="s">
        <v>697</v>
      </c>
      <c r="I149" s="93" t="s">
        <v>3912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8">
        <v>0</v>
      </c>
    </row>
    <row r="150" spans="1:22">
      <c r="A150" s="162" t="s">
        <v>1181</v>
      </c>
      <c r="B150" s="93"/>
      <c r="C150" s="60" t="s">
        <v>697</v>
      </c>
      <c r="D150" s="59" t="s">
        <v>702</v>
      </c>
      <c r="E150" s="46" t="s">
        <v>305</v>
      </c>
      <c r="F150" s="60" t="s">
        <v>704</v>
      </c>
      <c r="G150" s="46" t="s">
        <v>305</v>
      </c>
      <c r="H150" s="60" t="s">
        <v>697</v>
      </c>
      <c r="I150" s="10" t="s">
        <v>3912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8">
        <v>0</v>
      </c>
    </row>
    <row r="151" spans="1:22">
      <c r="A151" s="162" t="s">
        <v>1182</v>
      </c>
      <c r="B151" s="10"/>
      <c r="C151" s="60" t="s">
        <v>697</v>
      </c>
      <c r="D151" s="59" t="s">
        <v>695</v>
      </c>
      <c r="E151" s="46" t="s">
        <v>305</v>
      </c>
      <c r="F151" s="60" t="s">
        <v>697</v>
      </c>
      <c r="G151" s="60" t="s">
        <v>696</v>
      </c>
      <c r="H151" s="46" t="s">
        <v>305</v>
      </c>
      <c r="I151" s="93" t="s">
        <v>3912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8">
        <v>0</v>
      </c>
    </row>
    <row r="152" spans="1:22">
      <c r="A152" s="162" t="s">
        <v>1184</v>
      </c>
      <c r="B152" s="93"/>
      <c r="C152" s="60" t="s">
        <v>697</v>
      </c>
      <c r="D152" s="59" t="s">
        <v>695</v>
      </c>
      <c r="E152" s="46" t="s">
        <v>305</v>
      </c>
      <c r="F152" s="59" t="s">
        <v>702</v>
      </c>
      <c r="G152" s="59" t="s">
        <v>702</v>
      </c>
      <c r="H152" s="46" t="s">
        <v>305</v>
      </c>
      <c r="I152" s="93" t="s">
        <v>3912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8">
        <v>0</v>
      </c>
    </row>
    <row r="153" spans="1:22">
      <c r="A153" s="162" t="s">
        <v>1183</v>
      </c>
      <c r="B153" s="10"/>
      <c r="C153" s="60" t="s">
        <v>704</v>
      </c>
      <c r="D153" s="59" t="s">
        <v>695</v>
      </c>
      <c r="E153" s="46" t="s">
        <v>305</v>
      </c>
      <c r="F153" s="46" t="s">
        <v>305</v>
      </c>
      <c r="G153" s="46" t="s">
        <v>305</v>
      </c>
      <c r="H153" s="60" t="s">
        <v>696</v>
      </c>
      <c r="I153" s="10" t="s">
        <v>3912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8">
        <v>0</v>
      </c>
    </row>
    <row r="154" spans="1:22">
      <c r="A154" s="101" t="s">
        <v>1142</v>
      </c>
      <c r="B154" s="102"/>
      <c r="C154" s="103" t="s">
        <v>197</v>
      </c>
      <c r="D154" s="103" t="s">
        <v>198</v>
      </c>
      <c r="E154" s="103" t="s">
        <v>199</v>
      </c>
      <c r="F154" s="103" t="s">
        <v>194</v>
      </c>
      <c r="G154" s="103" t="s">
        <v>195</v>
      </c>
      <c r="H154" s="103" t="s">
        <v>196</v>
      </c>
      <c r="I154" s="103" t="s">
        <v>3917</v>
      </c>
      <c r="J154" s="104" t="s">
        <v>1363</v>
      </c>
      <c r="K154" s="104" t="s">
        <v>1364</v>
      </c>
      <c r="L154" s="104" t="s">
        <v>1365</v>
      </c>
      <c r="M154" s="104" t="s">
        <v>1366</v>
      </c>
      <c r="N154" s="104" t="s">
        <v>1367</v>
      </c>
      <c r="O154" s="104" t="s">
        <v>1368</v>
      </c>
      <c r="P154" s="104" t="s">
        <v>1369</v>
      </c>
      <c r="Q154" s="104" t="s">
        <v>1375</v>
      </c>
      <c r="R154" s="104" t="s">
        <v>1370</v>
      </c>
      <c r="S154" s="104" t="s">
        <v>1371</v>
      </c>
      <c r="T154" s="104" t="s">
        <v>1372</v>
      </c>
      <c r="U154" s="104" t="s">
        <v>1373</v>
      </c>
      <c r="V154" s="104" t="s">
        <v>1374</v>
      </c>
    </row>
    <row r="155" spans="1:22">
      <c r="A155" s="162" t="s">
        <v>1208</v>
      </c>
      <c r="B155" s="93"/>
      <c r="C155" s="60" t="s">
        <v>696</v>
      </c>
      <c r="D155" s="60" t="s">
        <v>696</v>
      </c>
      <c r="E155" s="46" t="s">
        <v>305</v>
      </c>
      <c r="F155" s="46" t="s">
        <v>305</v>
      </c>
      <c r="G155" s="59" t="s">
        <v>695</v>
      </c>
      <c r="H155" s="46" t="s">
        <v>305</v>
      </c>
      <c r="I155" s="93">
        <v>6</v>
      </c>
      <c r="J155" s="127">
        <v>0</v>
      </c>
      <c r="K155" s="127">
        <v>0.05</v>
      </c>
      <c r="L155" s="127">
        <v>0</v>
      </c>
      <c r="M155" s="127">
        <v>0</v>
      </c>
      <c r="N155" s="127">
        <v>0</v>
      </c>
      <c r="O155" s="127">
        <v>0.05</v>
      </c>
      <c r="P155" s="127">
        <v>0</v>
      </c>
      <c r="Q155" s="127">
        <v>0.1</v>
      </c>
      <c r="R155" s="127">
        <v>0</v>
      </c>
      <c r="S155" s="127">
        <v>0</v>
      </c>
      <c r="T155" s="127">
        <v>0</v>
      </c>
      <c r="U155" s="127">
        <v>0</v>
      </c>
      <c r="V155" s="128">
        <v>0</v>
      </c>
    </row>
    <row r="156" spans="1:22">
      <c r="A156" s="162" t="s">
        <v>1209</v>
      </c>
      <c r="B156" s="10"/>
      <c r="C156" s="59" t="s">
        <v>698</v>
      </c>
      <c r="D156" s="60" t="s">
        <v>697</v>
      </c>
      <c r="E156" s="46" t="s">
        <v>305</v>
      </c>
      <c r="F156" s="46" t="s">
        <v>305</v>
      </c>
      <c r="G156" s="46" t="s">
        <v>305</v>
      </c>
      <c r="H156" s="46" t="s">
        <v>305</v>
      </c>
      <c r="I156" s="10">
        <v>9</v>
      </c>
      <c r="J156" s="127">
        <v>0.1</v>
      </c>
      <c r="K156" s="127">
        <v>0</v>
      </c>
      <c r="L156" s="127">
        <v>0</v>
      </c>
      <c r="M156" s="127">
        <v>0.15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8">
        <v>0</v>
      </c>
    </row>
    <row r="157" spans="1:22">
      <c r="A157" s="162" t="s">
        <v>1210</v>
      </c>
      <c r="B157" s="93"/>
      <c r="C157" s="60" t="s">
        <v>696</v>
      </c>
      <c r="D157" s="46" t="s">
        <v>305</v>
      </c>
      <c r="E157" s="46" t="s">
        <v>305</v>
      </c>
      <c r="F157" s="60" t="s">
        <v>696</v>
      </c>
      <c r="G157" s="59" t="s">
        <v>695</v>
      </c>
      <c r="H157" s="46" t="s">
        <v>305</v>
      </c>
      <c r="I157" s="93">
        <v>1</v>
      </c>
      <c r="J157" s="127">
        <v>0.05</v>
      </c>
      <c r="K157" s="127">
        <v>0.05</v>
      </c>
      <c r="L157" s="127">
        <v>0.05</v>
      </c>
      <c r="M157" s="127">
        <v>0.05</v>
      </c>
      <c r="N157" s="127">
        <v>0</v>
      </c>
      <c r="O157" s="127">
        <v>0</v>
      </c>
      <c r="P157" s="127">
        <v>0</v>
      </c>
      <c r="Q157" s="127">
        <v>0.05</v>
      </c>
      <c r="R157" s="127">
        <v>0</v>
      </c>
      <c r="S157" s="127">
        <v>0</v>
      </c>
      <c r="T157" s="127">
        <v>0</v>
      </c>
      <c r="U157" s="127">
        <v>0</v>
      </c>
      <c r="V157" s="128">
        <v>0</v>
      </c>
    </row>
    <row r="158" spans="1:22">
      <c r="A158" s="162" t="s">
        <v>1211</v>
      </c>
      <c r="B158" s="10"/>
      <c r="C158" s="60" t="s">
        <v>696</v>
      </c>
      <c r="D158" s="60" t="s">
        <v>696</v>
      </c>
      <c r="E158" s="46" t="s">
        <v>305</v>
      </c>
      <c r="F158" s="46" t="s">
        <v>305</v>
      </c>
      <c r="G158" s="46" t="s">
        <v>305</v>
      </c>
      <c r="H158" s="60" t="s">
        <v>696</v>
      </c>
      <c r="I158" s="10">
        <v>-1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8">
        <v>0</v>
      </c>
    </row>
    <row r="159" spans="1:22">
      <c r="A159" s="162" t="s">
        <v>1212</v>
      </c>
      <c r="B159" s="93"/>
      <c r="C159" s="60" t="s">
        <v>696</v>
      </c>
      <c r="D159" s="46" t="s">
        <v>305</v>
      </c>
      <c r="E159" s="59" t="s">
        <v>695</v>
      </c>
      <c r="F159" s="46" t="s">
        <v>305</v>
      </c>
      <c r="G159" s="46" t="s">
        <v>305</v>
      </c>
      <c r="H159" s="60" t="s">
        <v>697</v>
      </c>
      <c r="I159" s="93">
        <v>3</v>
      </c>
      <c r="J159" s="127">
        <v>0.05</v>
      </c>
      <c r="K159" s="127">
        <v>0</v>
      </c>
      <c r="L159" s="127">
        <v>0</v>
      </c>
      <c r="M159" s="127">
        <v>0</v>
      </c>
      <c r="N159" s="127">
        <v>0</v>
      </c>
      <c r="O159" s="127">
        <v>0.1</v>
      </c>
      <c r="P159" s="127">
        <v>0</v>
      </c>
      <c r="Q159" s="127">
        <v>0.05</v>
      </c>
      <c r="R159" s="127">
        <v>0</v>
      </c>
      <c r="S159" s="127">
        <v>0</v>
      </c>
      <c r="T159" s="127">
        <v>0</v>
      </c>
      <c r="U159" s="127">
        <v>0</v>
      </c>
      <c r="V159" s="128">
        <v>0</v>
      </c>
    </row>
    <row r="160" spans="1:22">
      <c r="A160" s="162" t="s">
        <v>1213</v>
      </c>
      <c r="B160" s="10"/>
      <c r="C160" s="60" t="s">
        <v>697</v>
      </c>
      <c r="D160" s="60" t="s">
        <v>696</v>
      </c>
      <c r="E160" s="46" t="s">
        <v>305</v>
      </c>
      <c r="F160" s="46" t="s">
        <v>305</v>
      </c>
      <c r="G160" s="46" t="s">
        <v>305</v>
      </c>
      <c r="H160" s="46" t="s">
        <v>305</v>
      </c>
      <c r="I160" s="93">
        <v>4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8">
        <v>0</v>
      </c>
    </row>
    <row r="161" spans="1:22">
      <c r="A161" s="162" t="s">
        <v>1214</v>
      </c>
      <c r="B161" s="93"/>
      <c r="C161" s="60" t="s">
        <v>697</v>
      </c>
      <c r="D161" s="60" t="s">
        <v>696</v>
      </c>
      <c r="E161" s="46" t="s">
        <v>305</v>
      </c>
      <c r="F161" s="60" t="s">
        <v>697</v>
      </c>
      <c r="G161" s="60" t="s">
        <v>696</v>
      </c>
      <c r="H161" s="60" t="s">
        <v>700</v>
      </c>
      <c r="I161" s="10">
        <v>-3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8">
        <v>0</v>
      </c>
    </row>
    <row r="162" spans="1:22">
      <c r="A162" s="101" t="s">
        <v>1325</v>
      </c>
      <c r="B162" s="102"/>
      <c r="C162" s="103" t="s">
        <v>197</v>
      </c>
      <c r="D162" s="103" t="s">
        <v>198</v>
      </c>
      <c r="E162" s="103" t="s">
        <v>199</v>
      </c>
      <c r="F162" s="103" t="s">
        <v>194</v>
      </c>
      <c r="G162" s="103" t="s">
        <v>195</v>
      </c>
      <c r="H162" s="103" t="s">
        <v>196</v>
      </c>
      <c r="I162" s="103" t="s">
        <v>3917</v>
      </c>
      <c r="J162" s="104" t="s">
        <v>1363</v>
      </c>
      <c r="K162" s="104" t="s">
        <v>1364</v>
      </c>
      <c r="L162" s="104" t="s">
        <v>1365</v>
      </c>
      <c r="M162" s="104" t="s">
        <v>1366</v>
      </c>
      <c r="N162" s="104" t="s">
        <v>1367</v>
      </c>
      <c r="O162" s="104" t="s">
        <v>1368</v>
      </c>
      <c r="P162" s="104" t="s">
        <v>1369</v>
      </c>
      <c r="Q162" s="104" t="s">
        <v>1375</v>
      </c>
      <c r="R162" s="104" t="s">
        <v>1370</v>
      </c>
      <c r="S162" s="104" t="s">
        <v>1371</v>
      </c>
      <c r="T162" s="104" t="s">
        <v>1372</v>
      </c>
      <c r="U162" s="104" t="s">
        <v>1373</v>
      </c>
      <c r="V162" s="104" t="s">
        <v>1374</v>
      </c>
    </row>
    <row r="163" spans="1:22">
      <c r="A163" s="93" t="s">
        <v>3918</v>
      </c>
      <c r="B163" s="93"/>
      <c r="C163" s="60" t="s">
        <v>704</v>
      </c>
      <c r="D163" s="46" t="s">
        <v>305</v>
      </c>
      <c r="E163" s="60" t="s">
        <v>697</v>
      </c>
      <c r="F163" s="59" t="s">
        <v>698</v>
      </c>
      <c r="G163" s="59" t="s">
        <v>698</v>
      </c>
      <c r="H163" s="59" t="s">
        <v>698</v>
      </c>
      <c r="I163" s="93" t="s">
        <v>3638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8">
        <v>0</v>
      </c>
    </row>
    <row r="164" spans="1:22">
      <c r="A164" s="162" t="s">
        <v>1234</v>
      </c>
      <c r="B164" s="10"/>
      <c r="C164" s="60" t="s">
        <v>697</v>
      </c>
      <c r="D164" s="46" t="s">
        <v>305</v>
      </c>
      <c r="E164" s="46" t="s">
        <v>305</v>
      </c>
      <c r="F164" s="46" t="s">
        <v>305</v>
      </c>
      <c r="G164" s="46" t="s">
        <v>305</v>
      </c>
      <c r="H164" s="59" t="s">
        <v>698</v>
      </c>
      <c r="I164" s="10">
        <v>3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8">
        <v>0</v>
      </c>
    </row>
    <row r="165" spans="1:22">
      <c r="A165" s="162" t="s">
        <v>1235</v>
      </c>
      <c r="B165" s="93"/>
      <c r="C165" s="60" t="s">
        <v>697</v>
      </c>
      <c r="D165" s="60" t="s">
        <v>697</v>
      </c>
      <c r="E165" s="46" t="s">
        <v>305</v>
      </c>
      <c r="F165" s="46" t="s">
        <v>305</v>
      </c>
      <c r="G165" s="59" t="s">
        <v>698</v>
      </c>
      <c r="H165" s="59" t="s">
        <v>698</v>
      </c>
      <c r="I165" s="93">
        <v>4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8">
        <v>0</v>
      </c>
    </row>
    <row r="166" spans="1:22">
      <c r="A166" s="162" t="s">
        <v>1236</v>
      </c>
      <c r="B166" s="10"/>
      <c r="C166" s="60" t="s">
        <v>696</v>
      </c>
      <c r="D166" s="60" t="s">
        <v>697</v>
      </c>
      <c r="E166" s="59" t="s">
        <v>695</v>
      </c>
      <c r="F166" s="46" t="s">
        <v>305</v>
      </c>
      <c r="G166" s="59" t="s">
        <v>698</v>
      </c>
      <c r="H166" s="46" t="s">
        <v>305</v>
      </c>
      <c r="I166" s="10">
        <v>8</v>
      </c>
      <c r="J166" s="127">
        <v>-0.05</v>
      </c>
      <c r="K166" s="127">
        <v>-0.05</v>
      </c>
      <c r="L166" s="127">
        <v>0</v>
      </c>
      <c r="M166" s="127">
        <v>0</v>
      </c>
      <c r="N166" s="127">
        <v>0.05</v>
      </c>
      <c r="O166" s="127">
        <v>0.05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8">
        <v>0</v>
      </c>
    </row>
    <row r="167" spans="1:22">
      <c r="A167" s="162" t="s">
        <v>1237</v>
      </c>
      <c r="B167" s="93"/>
      <c r="C167" s="60" t="s">
        <v>697</v>
      </c>
      <c r="D167" s="60" t="s">
        <v>696</v>
      </c>
      <c r="E167" s="46" t="s">
        <v>305</v>
      </c>
      <c r="F167" s="46" t="s">
        <v>305</v>
      </c>
      <c r="G167" s="59" t="s">
        <v>695</v>
      </c>
      <c r="H167" s="59" t="s">
        <v>698</v>
      </c>
      <c r="I167" s="93">
        <v>8</v>
      </c>
      <c r="J167" s="127">
        <v>-0.05</v>
      </c>
      <c r="K167" s="127">
        <v>-0.05</v>
      </c>
      <c r="L167" s="127">
        <v>0</v>
      </c>
      <c r="M167" s="127">
        <v>0</v>
      </c>
      <c r="N167" s="127">
        <v>0.05</v>
      </c>
      <c r="O167" s="127">
        <v>0.05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8">
        <v>0</v>
      </c>
    </row>
    <row r="168" spans="1:22">
      <c r="A168" s="101" t="s">
        <v>495</v>
      </c>
      <c r="B168" s="102"/>
      <c r="C168" s="103" t="s">
        <v>197</v>
      </c>
      <c r="D168" s="103" t="s">
        <v>198</v>
      </c>
      <c r="E168" s="103" t="s">
        <v>199</v>
      </c>
      <c r="F168" s="103" t="s">
        <v>194</v>
      </c>
      <c r="G168" s="103" t="s">
        <v>195</v>
      </c>
      <c r="H168" s="103" t="s">
        <v>196</v>
      </c>
      <c r="I168" s="103" t="s">
        <v>3917</v>
      </c>
      <c r="J168" s="104" t="s">
        <v>1363</v>
      </c>
      <c r="K168" s="104" t="s">
        <v>1364</v>
      </c>
      <c r="L168" s="104" t="s">
        <v>1365</v>
      </c>
      <c r="M168" s="104" t="s">
        <v>1366</v>
      </c>
      <c r="N168" s="104" t="s">
        <v>1367</v>
      </c>
      <c r="O168" s="104" t="s">
        <v>1368</v>
      </c>
      <c r="P168" s="104" t="s">
        <v>1369</v>
      </c>
      <c r="Q168" s="104" t="s">
        <v>1375</v>
      </c>
      <c r="R168" s="104" t="s">
        <v>1370</v>
      </c>
      <c r="S168" s="104" t="s">
        <v>1371</v>
      </c>
      <c r="T168" s="104" t="s">
        <v>1372</v>
      </c>
      <c r="U168" s="104" t="s">
        <v>1373</v>
      </c>
      <c r="V168" s="104" t="s">
        <v>1374</v>
      </c>
    </row>
    <row r="169" spans="1:22">
      <c r="A169" s="162" t="s">
        <v>1241</v>
      </c>
      <c r="B169" s="93"/>
      <c r="C169" s="59" t="s">
        <v>702</v>
      </c>
      <c r="D169" s="60" t="s">
        <v>697</v>
      </c>
      <c r="E169" s="46" t="s">
        <v>305</v>
      </c>
      <c r="F169" s="60" t="s">
        <v>696</v>
      </c>
      <c r="G169" s="46" t="s">
        <v>305</v>
      </c>
      <c r="H169" s="46" t="s">
        <v>305</v>
      </c>
      <c r="I169" s="93">
        <v>6</v>
      </c>
      <c r="J169" s="127">
        <v>0.1</v>
      </c>
      <c r="K169" s="127">
        <v>0</v>
      </c>
      <c r="L169" s="127">
        <v>0</v>
      </c>
      <c r="M169" s="127">
        <v>0</v>
      </c>
      <c r="N169" s="127">
        <v>0.1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8">
        <v>0</v>
      </c>
    </row>
    <row r="170" spans="1:22">
      <c r="A170" s="162" t="s">
        <v>1242</v>
      </c>
      <c r="B170" s="10"/>
      <c r="C170" s="63" t="s">
        <v>711</v>
      </c>
      <c r="D170" s="63" t="s">
        <v>712</v>
      </c>
      <c r="E170" s="63" t="s">
        <v>713</v>
      </c>
      <c r="F170" s="46" t="s">
        <v>305</v>
      </c>
      <c r="G170" s="46" t="s">
        <v>305</v>
      </c>
      <c r="H170" s="46" t="s">
        <v>305</v>
      </c>
      <c r="I170" s="10">
        <v>7</v>
      </c>
      <c r="J170" s="127">
        <v>-0.3</v>
      </c>
      <c r="K170" s="127">
        <v>-0.2</v>
      </c>
      <c r="L170" s="127">
        <v>0.05</v>
      </c>
      <c r="M170" s="127">
        <v>0.4</v>
      </c>
      <c r="N170" s="127">
        <v>0.45</v>
      </c>
      <c r="O170" s="127">
        <v>0.3</v>
      </c>
      <c r="P170" s="127">
        <v>-0.35</v>
      </c>
      <c r="Q170" s="127">
        <v>0</v>
      </c>
      <c r="R170" s="127">
        <v>0</v>
      </c>
      <c r="S170" s="127">
        <v>0</v>
      </c>
      <c r="T170" s="127">
        <v>0</v>
      </c>
      <c r="U170" s="127">
        <v>0</v>
      </c>
      <c r="V170" s="128">
        <v>0</v>
      </c>
    </row>
    <row r="171" spans="1:22">
      <c r="A171" s="101" t="s">
        <v>1344</v>
      </c>
      <c r="B171" s="102"/>
      <c r="C171" s="103" t="s">
        <v>197</v>
      </c>
      <c r="D171" s="103" t="s">
        <v>198</v>
      </c>
      <c r="E171" s="103" t="s">
        <v>199</v>
      </c>
      <c r="F171" s="103" t="s">
        <v>194</v>
      </c>
      <c r="G171" s="103" t="s">
        <v>195</v>
      </c>
      <c r="H171" s="103" t="s">
        <v>196</v>
      </c>
      <c r="I171" s="103" t="s">
        <v>3917</v>
      </c>
      <c r="J171" s="104" t="s">
        <v>1363</v>
      </c>
      <c r="K171" s="104" t="s">
        <v>1364</v>
      </c>
      <c r="L171" s="104" t="s">
        <v>1365</v>
      </c>
      <c r="M171" s="104" t="s">
        <v>1366</v>
      </c>
      <c r="N171" s="104" t="s">
        <v>1367</v>
      </c>
      <c r="O171" s="104" t="s">
        <v>1368</v>
      </c>
      <c r="P171" s="104" t="s">
        <v>1369</v>
      </c>
      <c r="Q171" s="104" t="s">
        <v>1375</v>
      </c>
      <c r="R171" s="104" t="s">
        <v>1370</v>
      </c>
      <c r="S171" s="104" t="s">
        <v>1371</v>
      </c>
      <c r="T171" s="104" t="s">
        <v>1372</v>
      </c>
      <c r="U171" s="104" t="s">
        <v>1373</v>
      </c>
      <c r="V171" s="104" t="s">
        <v>1374</v>
      </c>
    </row>
    <row r="172" spans="1:22">
      <c r="A172" s="93" t="s">
        <v>477</v>
      </c>
      <c r="B172" s="93"/>
      <c r="C172" s="60" t="s">
        <v>696</v>
      </c>
      <c r="D172" s="46" t="s">
        <v>305</v>
      </c>
      <c r="E172" s="46" t="s">
        <v>305</v>
      </c>
      <c r="F172" s="59" t="s">
        <v>695</v>
      </c>
      <c r="G172" s="46" t="s">
        <v>305</v>
      </c>
      <c r="H172" s="59" t="s">
        <v>695</v>
      </c>
      <c r="I172" s="93" t="s">
        <v>3638</v>
      </c>
      <c r="J172" s="127">
        <v>-0.05</v>
      </c>
      <c r="K172" s="127">
        <v>-0.05</v>
      </c>
      <c r="L172" s="127">
        <v>0</v>
      </c>
      <c r="M172" s="127">
        <v>0</v>
      </c>
      <c r="N172" s="127">
        <v>0.05</v>
      </c>
      <c r="O172" s="127">
        <v>0.05</v>
      </c>
      <c r="P172" s="127">
        <v>0</v>
      </c>
      <c r="Q172" s="127">
        <v>-0.1</v>
      </c>
      <c r="R172" s="127">
        <v>0</v>
      </c>
      <c r="S172" s="127">
        <v>0</v>
      </c>
      <c r="T172" s="127">
        <v>0</v>
      </c>
      <c r="U172" s="127">
        <v>0</v>
      </c>
      <c r="V172" s="128">
        <v>0</v>
      </c>
    </row>
    <row r="173" spans="1:22">
      <c r="A173" s="10" t="s">
        <v>1238</v>
      </c>
      <c r="B173" s="10"/>
      <c r="C173" s="60" t="s">
        <v>696</v>
      </c>
      <c r="D173" s="46" t="s">
        <v>305</v>
      </c>
      <c r="E173" s="46" t="s">
        <v>305</v>
      </c>
      <c r="F173" s="46" t="s">
        <v>305</v>
      </c>
      <c r="G173" s="46" t="s">
        <v>305</v>
      </c>
      <c r="H173" s="59" t="s">
        <v>695</v>
      </c>
      <c r="I173" s="10" t="s">
        <v>3638</v>
      </c>
      <c r="J173" s="127">
        <v>0</v>
      </c>
      <c r="K173" s="127">
        <v>0</v>
      </c>
      <c r="L173" s="127">
        <v>0</v>
      </c>
      <c r="M173" s="127">
        <v>0</v>
      </c>
      <c r="N173" s="127">
        <v>0</v>
      </c>
      <c r="O173" s="127">
        <v>0</v>
      </c>
      <c r="P173" s="127">
        <v>0</v>
      </c>
      <c r="Q173" s="127">
        <v>-0.05</v>
      </c>
      <c r="R173" s="127">
        <v>0</v>
      </c>
      <c r="S173" s="127">
        <v>0</v>
      </c>
      <c r="T173" s="127">
        <v>0</v>
      </c>
      <c r="U173" s="127">
        <v>0</v>
      </c>
      <c r="V173" s="128">
        <v>0</v>
      </c>
    </row>
    <row r="174" spans="1:22">
      <c r="A174" s="101" t="s">
        <v>1153</v>
      </c>
      <c r="B174" s="102"/>
      <c r="C174" s="103" t="s">
        <v>197</v>
      </c>
      <c r="D174" s="103" t="s">
        <v>198</v>
      </c>
      <c r="E174" s="103" t="s">
        <v>199</v>
      </c>
      <c r="F174" s="103" t="s">
        <v>194</v>
      </c>
      <c r="G174" s="103" t="s">
        <v>195</v>
      </c>
      <c r="H174" s="103" t="s">
        <v>196</v>
      </c>
      <c r="I174" s="103" t="s">
        <v>3917</v>
      </c>
      <c r="J174" s="104" t="s">
        <v>1363</v>
      </c>
      <c r="K174" s="104" t="s">
        <v>1364</v>
      </c>
      <c r="L174" s="104" t="s">
        <v>1365</v>
      </c>
      <c r="M174" s="104" t="s">
        <v>1366</v>
      </c>
      <c r="N174" s="104" t="s">
        <v>1367</v>
      </c>
      <c r="O174" s="104" t="s">
        <v>1368</v>
      </c>
      <c r="P174" s="104" t="s">
        <v>1369</v>
      </c>
      <c r="Q174" s="104" t="s">
        <v>1375</v>
      </c>
      <c r="R174" s="104" t="s">
        <v>1370</v>
      </c>
      <c r="S174" s="104" t="s">
        <v>1371</v>
      </c>
      <c r="T174" s="104" t="s">
        <v>1372</v>
      </c>
      <c r="U174" s="104" t="s">
        <v>1373</v>
      </c>
      <c r="V174" s="104" t="s">
        <v>1374</v>
      </c>
    </row>
    <row r="175" spans="1:22">
      <c r="A175" s="93" t="s">
        <v>1295</v>
      </c>
      <c r="B175" s="93"/>
      <c r="C175" s="59" t="s">
        <v>695</v>
      </c>
      <c r="D175" s="46" t="s">
        <v>305</v>
      </c>
      <c r="E175" s="46" t="s">
        <v>305</v>
      </c>
      <c r="F175" s="46" t="s">
        <v>305</v>
      </c>
      <c r="G175" s="46" t="s">
        <v>305</v>
      </c>
      <c r="H175" s="59" t="s">
        <v>695</v>
      </c>
      <c r="I175" s="93" t="s">
        <v>3638</v>
      </c>
      <c r="J175" s="127">
        <v>0.05</v>
      </c>
      <c r="K175" s="127">
        <v>0</v>
      </c>
      <c r="L175" s="127">
        <v>0.1</v>
      </c>
      <c r="M175" s="127">
        <v>0.05</v>
      </c>
      <c r="N175" s="127">
        <v>0.05</v>
      </c>
      <c r="O175" s="127">
        <v>0</v>
      </c>
      <c r="P175" s="127">
        <v>-0.1</v>
      </c>
      <c r="Q175" s="127">
        <v>-0.1</v>
      </c>
      <c r="R175" s="127">
        <v>0</v>
      </c>
      <c r="S175" s="127">
        <v>0</v>
      </c>
      <c r="T175" s="127">
        <v>0</v>
      </c>
      <c r="U175" s="127">
        <v>0</v>
      </c>
      <c r="V175" s="128">
        <v>0</v>
      </c>
    </row>
    <row r="176" spans="1:22">
      <c r="A176" s="162" t="s">
        <v>1239</v>
      </c>
      <c r="B176" s="10"/>
      <c r="C176" s="46" t="s">
        <v>305</v>
      </c>
      <c r="D176" s="60" t="s">
        <v>697</v>
      </c>
      <c r="E176" s="60" t="s">
        <v>696</v>
      </c>
      <c r="F176" s="59" t="s">
        <v>695</v>
      </c>
      <c r="G176" s="46" t="s">
        <v>305</v>
      </c>
      <c r="H176" s="59" t="s">
        <v>698</v>
      </c>
      <c r="I176" s="10" t="s">
        <v>3638</v>
      </c>
      <c r="J176" s="127">
        <v>0</v>
      </c>
      <c r="K176" s="127">
        <v>0</v>
      </c>
      <c r="L176" s="127">
        <v>0.1</v>
      </c>
      <c r="M176" s="127">
        <v>0.05</v>
      </c>
      <c r="N176" s="127">
        <v>0.1</v>
      </c>
      <c r="O176" s="127">
        <v>0</v>
      </c>
      <c r="P176" s="127">
        <v>0</v>
      </c>
      <c r="Q176" s="127">
        <v>-0.1</v>
      </c>
      <c r="R176" s="127">
        <v>0</v>
      </c>
      <c r="S176" s="127">
        <v>0</v>
      </c>
      <c r="T176" s="127">
        <v>0</v>
      </c>
      <c r="U176" s="127">
        <v>0</v>
      </c>
      <c r="V176" s="128">
        <v>0</v>
      </c>
    </row>
    <row r="177" spans="1:22">
      <c r="A177" s="162" t="s">
        <v>1240</v>
      </c>
      <c r="B177" s="93"/>
      <c r="C177" s="59" t="s">
        <v>695</v>
      </c>
      <c r="D177" s="60" t="s">
        <v>696</v>
      </c>
      <c r="E177" s="46" t="s">
        <v>305</v>
      </c>
      <c r="F177" s="46" t="s">
        <v>305</v>
      </c>
      <c r="G177" s="46" t="s">
        <v>305</v>
      </c>
      <c r="H177" s="46" t="s">
        <v>305</v>
      </c>
      <c r="I177" s="93" t="s">
        <v>3638</v>
      </c>
      <c r="J177" s="127">
        <v>0</v>
      </c>
      <c r="K177" s="127">
        <v>0</v>
      </c>
      <c r="L177" s="127">
        <v>0</v>
      </c>
      <c r="M177" s="127">
        <v>0.05</v>
      </c>
      <c r="N177" s="127">
        <v>0.05</v>
      </c>
      <c r="O177" s="127">
        <v>0</v>
      </c>
      <c r="P177" s="127">
        <v>-0.1</v>
      </c>
      <c r="Q177" s="127">
        <v>0</v>
      </c>
      <c r="R177" s="127">
        <v>0</v>
      </c>
      <c r="S177" s="127">
        <v>0</v>
      </c>
      <c r="T177" s="127">
        <v>0</v>
      </c>
      <c r="U177" s="127">
        <v>0</v>
      </c>
      <c r="V177" s="128">
        <v>0</v>
      </c>
    </row>
    <row r="178" spans="1:22">
      <c r="A178" s="101" t="s">
        <v>1144</v>
      </c>
      <c r="B178" s="102"/>
      <c r="C178" s="103" t="s">
        <v>197</v>
      </c>
      <c r="D178" s="103" t="s">
        <v>198</v>
      </c>
      <c r="E178" s="103" t="s">
        <v>199</v>
      </c>
      <c r="F178" s="103" t="s">
        <v>194</v>
      </c>
      <c r="G178" s="103" t="s">
        <v>195</v>
      </c>
      <c r="H178" s="103" t="s">
        <v>196</v>
      </c>
      <c r="I178" s="103" t="s">
        <v>3917</v>
      </c>
      <c r="J178" s="104" t="s">
        <v>1363</v>
      </c>
      <c r="K178" s="104" t="s">
        <v>1364</v>
      </c>
      <c r="L178" s="104" t="s">
        <v>1365</v>
      </c>
      <c r="M178" s="104" t="s">
        <v>1366</v>
      </c>
      <c r="N178" s="104" t="s">
        <v>1367</v>
      </c>
      <c r="O178" s="104" t="s">
        <v>1368</v>
      </c>
      <c r="P178" s="104" t="s">
        <v>1369</v>
      </c>
      <c r="Q178" s="104" t="s">
        <v>1375</v>
      </c>
      <c r="R178" s="104" t="s">
        <v>1370</v>
      </c>
      <c r="S178" s="104" t="s">
        <v>1371</v>
      </c>
      <c r="T178" s="104" t="s">
        <v>1372</v>
      </c>
      <c r="U178" s="104" t="s">
        <v>1373</v>
      </c>
      <c r="V178" s="104" t="s">
        <v>1374</v>
      </c>
    </row>
    <row r="179" spans="1:22">
      <c r="A179" s="162" t="s">
        <v>1243</v>
      </c>
      <c r="B179" s="93"/>
      <c r="C179" s="46" t="s">
        <v>305</v>
      </c>
      <c r="D179" s="60" t="s">
        <v>696</v>
      </c>
      <c r="E179" s="46" t="s">
        <v>305</v>
      </c>
      <c r="F179" s="60" t="s">
        <v>696</v>
      </c>
      <c r="G179" s="59" t="s">
        <v>695</v>
      </c>
      <c r="H179" s="46" t="s">
        <v>305</v>
      </c>
      <c r="I179" s="93">
        <v>3</v>
      </c>
      <c r="J179" s="127">
        <v>0</v>
      </c>
      <c r="K179" s="127">
        <v>0</v>
      </c>
      <c r="L179" s="127">
        <v>0</v>
      </c>
      <c r="M179" s="127">
        <v>0</v>
      </c>
      <c r="N179" s="127">
        <v>0</v>
      </c>
      <c r="O179" s="127">
        <v>0</v>
      </c>
      <c r="P179" s="127">
        <v>0</v>
      </c>
      <c r="Q179" s="127">
        <v>0</v>
      </c>
      <c r="R179" s="127">
        <v>0</v>
      </c>
      <c r="S179" s="127">
        <v>0</v>
      </c>
      <c r="T179" s="127">
        <v>0</v>
      </c>
      <c r="U179" s="127">
        <v>0</v>
      </c>
      <c r="V179" s="128">
        <v>0</v>
      </c>
    </row>
    <row r="180" spans="1:22">
      <c r="A180" s="162" t="s">
        <v>1244</v>
      </c>
      <c r="B180" s="10"/>
      <c r="C180" s="60" t="s">
        <v>696</v>
      </c>
      <c r="D180" s="60" t="s">
        <v>696</v>
      </c>
      <c r="E180" s="46" t="s">
        <v>305</v>
      </c>
      <c r="F180" s="59" t="s">
        <v>695</v>
      </c>
      <c r="G180" s="46" t="s">
        <v>305</v>
      </c>
      <c r="H180" s="46" t="s">
        <v>305</v>
      </c>
      <c r="I180" s="10">
        <v>4</v>
      </c>
      <c r="J180" s="127">
        <v>0.05</v>
      </c>
      <c r="K180" s="127">
        <v>0</v>
      </c>
      <c r="L180" s="127">
        <v>0.1</v>
      </c>
      <c r="M180" s="127">
        <v>0</v>
      </c>
      <c r="N180" s="127">
        <v>0</v>
      </c>
      <c r="O180" s="127">
        <v>0.05</v>
      </c>
      <c r="P180" s="127">
        <v>-0.15</v>
      </c>
      <c r="Q180" s="127">
        <v>0</v>
      </c>
      <c r="R180" s="127">
        <v>0</v>
      </c>
      <c r="S180" s="127">
        <v>0</v>
      </c>
      <c r="T180" s="127">
        <v>0</v>
      </c>
      <c r="U180" s="127">
        <v>0</v>
      </c>
      <c r="V180" s="128">
        <v>0</v>
      </c>
    </row>
    <row r="181" spans="1:22">
      <c r="A181" s="162" t="s">
        <v>1245</v>
      </c>
      <c r="B181" s="93"/>
      <c r="C181" s="60" t="s">
        <v>704</v>
      </c>
      <c r="D181" s="46" t="s">
        <v>305</v>
      </c>
      <c r="E181" s="46" t="s">
        <v>305</v>
      </c>
      <c r="F181" s="46" t="s">
        <v>305</v>
      </c>
      <c r="G181" s="59" t="s">
        <v>695</v>
      </c>
      <c r="H181" s="59" t="s">
        <v>695</v>
      </c>
      <c r="I181" s="93">
        <v>3</v>
      </c>
      <c r="J181" s="127">
        <v>0</v>
      </c>
      <c r="K181" s="127">
        <v>0</v>
      </c>
      <c r="L181" s="127">
        <v>0</v>
      </c>
      <c r="M181" s="127">
        <v>0</v>
      </c>
      <c r="N181" s="127">
        <v>0</v>
      </c>
      <c r="O181" s="127">
        <v>0</v>
      </c>
      <c r="P181" s="127">
        <v>0</v>
      </c>
      <c r="Q181" s="127">
        <v>0</v>
      </c>
      <c r="R181" s="127">
        <v>0</v>
      </c>
      <c r="S181" s="127">
        <v>0</v>
      </c>
      <c r="T181" s="127">
        <v>0</v>
      </c>
      <c r="U181" s="127">
        <v>0</v>
      </c>
      <c r="V181" s="128">
        <v>0</v>
      </c>
    </row>
    <row r="182" spans="1:22">
      <c r="A182" s="162" t="s">
        <v>1246</v>
      </c>
      <c r="B182" s="10"/>
      <c r="C182" s="60" t="s">
        <v>700</v>
      </c>
      <c r="D182" s="60" t="s">
        <v>696</v>
      </c>
      <c r="E182" s="46" t="s">
        <v>305</v>
      </c>
      <c r="F182" s="46" t="s">
        <v>305</v>
      </c>
      <c r="G182" s="46" t="s">
        <v>305</v>
      </c>
      <c r="H182" s="60" t="s">
        <v>697</v>
      </c>
      <c r="I182" s="93">
        <v>-2</v>
      </c>
      <c r="J182" s="127">
        <v>0</v>
      </c>
      <c r="K182" s="127">
        <v>0</v>
      </c>
      <c r="L182" s="127">
        <v>0</v>
      </c>
      <c r="M182" s="127">
        <v>0</v>
      </c>
      <c r="N182" s="127">
        <v>0</v>
      </c>
      <c r="O182" s="127">
        <v>0</v>
      </c>
      <c r="P182" s="127">
        <v>0</v>
      </c>
      <c r="Q182" s="127">
        <v>0</v>
      </c>
      <c r="R182" s="127">
        <v>0</v>
      </c>
      <c r="S182" s="127">
        <v>0</v>
      </c>
      <c r="T182" s="127">
        <v>0</v>
      </c>
      <c r="U182" s="127">
        <v>0</v>
      </c>
      <c r="V182" s="128">
        <v>0</v>
      </c>
    </row>
    <row r="183" spans="1:22">
      <c r="A183" s="162" t="s">
        <v>1247</v>
      </c>
      <c r="B183" s="93"/>
      <c r="C183" s="60" t="s">
        <v>696</v>
      </c>
      <c r="D183" s="60" t="s">
        <v>696</v>
      </c>
      <c r="E183" s="46" t="s">
        <v>305</v>
      </c>
      <c r="F183" s="46" t="s">
        <v>305</v>
      </c>
      <c r="G183" s="59" t="s">
        <v>695</v>
      </c>
      <c r="H183" s="46" t="s">
        <v>305</v>
      </c>
      <c r="I183" s="10">
        <v>2</v>
      </c>
      <c r="J183" s="127">
        <v>0</v>
      </c>
      <c r="K183" s="127">
        <v>0</v>
      </c>
      <c r="L183" s="127">
        <v>0</v>
      </c>
      <c r="M183" s="127">
        <v>0.15</v>
      </c>
      <c r="N183" s="127">
        <v>0.15</v>
      </c>
      <c r="O183" s="127">
        <v>0.1</v>
      </c>
      <c r="P183" s="127">
        <v>-0.15</v>
      </c>
      <c r="Q183" s="127">
        <v>0</v>
      </c>
      <c r="R183" s="127">
        <v>0</v>
      </c>
      <c r="S183" s="127">
        <v>0</v>
      </c>
      <c r="T183" s="127">
        <v>0</v>
      </c>
      <c r="U183" s="127">
        <v>0</v>
      </c>
      <c r="V183" s="128">
        <v>0</v>
      </c>
    </row>
    <row r="184" spans="1:22">
      <c r="A184" s="162" t="s">
        <v>1248</v>
      </c>
      <c r="B184" s="10"/>
      <c r="C184" s="60" t="s">
        <v>697</v>
      </c>
      <c r="D184" s="59" t="s">
        <v>698</v>
      </c>
      <c r="E184" s="46" t="s">
        <v>305</v>
      </c>
      <c r="F184" s="60" t="s">
        <v>697</v>
      </c>
      <c r="G184" s="46" t="s">
        <v>305</v>
      </c>
      <c r="H184" s="46" t="s">
        <v>305</v>
      </c>
      <c r="I184" s="93">
        <v>-2</v>
      </c>
      <c r="J184" s="127">
        <v>-0.1</v>
      </c>
      <c r="K184" s="127">
        <v>0</v>
      </c>
      <c r="L184" s="127">
        <v>0</v>
      </c>
      <c r="M184" s="127">
        <v>0</v>
      </c>
      <c r="N184" s="127">
        <v>0</v>
      </c>
      <c r="O184" s="127">
        <v>0.1</v>
      </c>
      <c r="P184" s="127">
        <v>-0.05</v>
      </c>
      <c r="Q184" s="127">
        <v>0.15</v>
      </c>
      <c r="R184" s="127">
        <v>0</v>
      </c>
      <c r="S184" s="127">
        <v>0</v>
      </c>
      <c r="T184" s="127">
        <v>0</v>
      </c>
      <c r="U184" s="127">
        <v>0</v>
      </c>
      <c r="V184" s="128">
        <v>0</v>
      </c>
    </row>
    <row r="185" spans="1:22">
      <c r="A185" s="101" t="s">
        <v>1326</v>
      </c>
      <c r="B185" s="102"/>
      <c r="C185" s="103" t="s">
        <v>197</v>
      </c>
      <c r="D185" s="103" t="s">
        <v>198</v>
      </c>
      <c r="E185" s="103" t="s">
        <v>199</v>
      </c>
      <c r="F185" s="103" t="s">
        <v>194</v>
      </c>
      <c r="G185" s="103" t="s">
        <v>195</v>
      </c>
      <c r="H185" s="103" t="s">
        <v>196</v>
      </c>
      <c r="I185" s="103" t="s">
        <v>3917</v>
      </c>
      <c r="J185" s="104" t="s">
        <v>1363</v>
      </c>
      <c r="K185" s="104" t="s">
        <v>1364</v>
      </c>
      <c r="L185" s="104" t="s">
        <v>1365</v>
      </c>
      <c r="M185" s="104" t="s">
        <v>1366</v>
      </c>
      <c r="N185" s="104" t="s">
        <v>1367</v>
      </c>
      <c r="O185" s="104" t="s">
        <v>1368</v>
      </c>
      <c r="P185" s="104" t="s">
        <v>1369</v>
      </c>
      <c r="Q185" s="104" t="s">
        <v>1375</v>
      </c>
      <c r="R185" s="104" t="s">
        <v>1370</v>
      </c>
      <c r="S185" s="104" t="s">
        <v>1371</v>
      </c>
      <c r="T185" s="104" t="s">
        <v>1372</v>
      </c>
      <c r="U185" s="104" t="s">
        <v>1373</v>
      </c>
      <c r="V185" s="104" t="s">
        <v>1374</v>
      </c>
    </row>
    <row r="186" spans="1:22">
      <c r="A186" s="162" t="s">
        <v>1166</v>
      </c>
      <c r="B186" s="93"/>
      <c r="C186" s="60" t="s">
        <v>696</v>
      </c>
      <c r="D186" s="60" t="s">
        <v>696</v>
      </c>
      <c r="E186" s="46" t="s">
        <v>305</v>
      </c>
      <c r="F186" s="46" t="s">
        <v>305</v>
      </c>
      <c r="G186" s="60" t="s">
        <v>696</v>
      </c>
      <c r="H186" s="46" t="s">
        <v>305</v>
      </c>
      <c r="I186" s="93" t="s">
        <v>3638</v>
      </c>
      <c r="J186" s="127">
        <v>0.05</v>
      </c>
      <c r="K186" s="127">
        <v>0</v>
      </c>
      <c r="L186" s="127">
        <v>-0.05</v>
      </c>
      <c r="M186" s="127">
        <v>0.1</v>
      </c>
      <c r="N186" s="127">
        <v>0.1</v>
      </c>
      <c r="O186" s="127">
        <v>0</v>
      </c>
      <c r="P186" s="127">
        <v>0</v>
      </c>
      <c r="Q186" s="127">
        <v>0</v>
      </c>
      <c r="R186" s="127">
        <v>0</v>
      </c>
      <c r="S186" s="127">
        <v>0</v>
      </c>
      <c r="T186" s="127">
        <v>0</v>
      </c>
      <c r="U186" s="127">
        <v>0</v>
      </c>
      <c r="V186" s="128">
        <v>0</v>
      </c>
    </row>
    <row r="187" spans="1:22">
      <c r="A187" s="162" t="s">
        <v>1249</v>
      </c>
      <c r="B187" s="10"/>
      <c r="C187" s="46" t="s">
        <v>305</v>
      </c>
      <c r="D187" s="46" t="s">
        <v>305</v>
      </c>
      <c r="E187" s="46" t="s">
        <v>305</v>
      </c>
      <c r="F187" s="46" t="s">
        <v>305</v>
      </c>
      <c r="G187" s="46" t="s">
        <v>305</v>
      </c>
      <c r="H187" s="46" t="s">
        <v>305</v>
      </c>
      <c r="I187" s="10" t="s">
        <v>3638</v>
      </c>
      <c r="J187" s="127">
        <v>0</v>
      </c>
      <c r="K187" s="127">
        <v>0</v>
      </c>
      <c r="L187" s="127">
        <v>0</v>
      </c>
      <c r="M187" s="127">
        <v>0</v>
      </c>
      <c r="N187" s="127">
        <v>0</v>
      </c>
      <c r="O187" s="127">
        <v>0</v>
      </c>
      <c r="P187" s="127">
        <v>0</v>
      </c>
      <c r="Q187" s="127">
        <v>0</v>
      </c>
      <c r="R187" s="127">
        <v>0</v>
      </c>
      <c r="S187" s="127">
        <v>0</v>
      </c>
      <c r="T187" s="127">
        <v>0</v>
      </c>
      <c r="U187" s="127">
        <v>0</v>
      </c>
      <c r="V187" s="128">
        <v>0</v>
      </c>
    </row>
    <row r="188" spans="1:22">
      <c r="A188" s="162" t="s">
        <v>1250</v>
      </c>
      <c r="B188" s="93"/>
      <c r="C188" s="46" t="s">
        <v>305</v>
      </c>
      <c r="D188" s="60" t="s">
        <v>697</v>
      </c>
      <c r="E188" s="46" t="s">
        <v>305</v>
      </c>
      <c r="F188" s="46" t="s">
        <v>305</v>
      </c>
      <c r="G188" s="59" t="s">
        <v>698</v>
      </c>
      <c r="H188" s="46" t="s">
        <v>305</v>
      </c>
      <c r="I188" s="93" t="s">
        <v>3638</v>
      </c>
      <c r="J188" s="127">
        <v>-0.05</v>
      </c>
      <c r="K188" s="127">
        <v>-0.05</v>
      </c>
      <c r="L188" s="127">
        <v>0.05</v>
      </c>
      <c r="M188" s="127">
        <v>0.1</v>
      </c>
      <c r="N188" s="127">
        <v>0.1</v>
      </c>
      <c r="O188" s="127">
        <v>0</v>
      </c>
      <c r="P188" s="127">
        <v>0.05</v>
      </c>
      <c r="Q188" s="127">
        <v>-0.1</v>
      </c>
      <c r="R188" s="127">
        <v>0</v>
      </c>
      <c r="S188" s="127">
        <v>0</v>
      </c>
      <c r="T188" s="127">
        <v>0</v>
      </c>
      <c r="U188" s="127">
        <v>0</v>
      </c>
      <c r="V188" s="128">
        <v>0</v>
      </c>
    </row>
    <row r="189" spans="1:22">
      <c r="A189" s="162" t="s">
        <v>1173</v>
      </c>
      <c r="B189" s="10"/>
      <c r="C189" s="60" t="s">
        <v>697</v>
      </c>
      <c r="D189" s="46" t="s">
        <v>305</v>
      </c>
      <c r="E189" s="46" t="s">
        <v>305</v>
      </c>
      <c r="F189" s="46" t="s">
        <v>305</v>
      </c>
      <c r="G189" s="59" t="s">
        <v>698</v>
      </c>
      <c r="H189" s="60" t="s">
        <v>696</v>
      </c>
      <c r="I189" s="93" t="s">
        <v>3638</v>
      </c>
      <c r="J189" s="127">
        <v>-0.05</v>
      </c>
      <c r="K189" s="127">
        <v>0.05</v>
      </c>
      <c r="L189" s="127">
        <v>0</v>
      </c>
      <c r="M189" s="127">
        <v>-0.1</v>
      </c>
      <c r="N189" s="127">
        <v>0</v>
      </c>
      <c r="O189" s="127">
        <v>0.1</v>
      </c>
      <c r="P189" s="127">
        <v>-0.1</v>
      </c>
      <c r="Q189" s="127">
        <v>0.05</v>
      </c>
      <c r="R189" s="127">
        <v>0</v>
      </c>
      <c r="S189" s="127">
        <v>0</v>
      </c>
      <c r="T189" s="127">
        <v>0</v>
      </c>
      <c r="U189" s="127">
        <v>0</v>
      </c>
      <c r="V189" s="128">
        <v>0</v>
      </c>
    </row>
    <row r="190" spans="1:22">
      <c r="A190" s="162" t="s">
        <v>293</v>
      </c>
      <c r="B190" s="93"/>
      <c r="C190" s="60" t="s">
        <v>696</v>
      </c>
      <c r="D190" s="59" t="s">
        <v>695</v>
      </c>
      <c r="E190" s="46" t="s">
        <v>305</v>
      </c>
      <c r="F190" s="60" t="s">
        <v>697</v>
      </c>
      <c r="G190" s="46" t="s">
        <v>305</v>
      </c>
      <c r="H190" s="46" t="s">
        <v>305</v>
      </c>
      <c r="I190" s="10" t="s">
        <v>3638</v>
      </c>
      <c r="J190" s="127">
        <v>0.05</v>
      </c>
      <c r="K190" s="127">
        <v>-0.05</v>
      </c>
      <c r="L190" s="127">
        <v>-0.05</v>
      </c>
      <c r="M190" s="127">
        <v>0</v>
      </c>
      <c r="N190" s="127">
        <v>0</v>
      </c>
      <c r="O190" s="127">
        <v>0.05</v>
      </c>
      <c r="P190" s="127">
        <v>0</v>
      </c>
      <c r="Q190" s="127">
        <v>0.15</v>
      </c>
      <c r="R190" s="127">
        <v>0</v>
      </c>
      <c r="S190" s="127">
        <v>0</v>
      </c>
      <c r="T190" s="127">
        <v>0</v>
      </c>
      <c r="U190" s="127">
        <v>0</v>
      </c>
      <c r="V190" s="128">
        <v>0</v>
      </c>
    </row>
    <row r="191" spans="1:22">
      <c r="A191" s="162" t="s">
        <v>1251</v>
      </c>
      <c r="B191" s="10"/>
      <c r="C191" s="60" t="s">
        <v>697</v>
      </c>
      <c r="D191" s="46" t="s">
        <v>305</v>
      </c>
      <c r="E191" s="60" t="s">
        <v>697</v>
      </c>
      <c r="F191" s="59" t="s">
        <v>698</v>
      </c>
      <c r="G191" s="59" t="s">
        <v>698</v>
      </c>
      <c r="H191" s="46" t="s">
        <v>305</v>
      </c>
      <c r="I191" s="93" t="s">
        <v>3638</v>
      </c>
      <c r="J191" s="127">
        <v>-0.05</v>
      </c>
      <c r="K191" s="127">
        <v>0.05</v>
      </c>
      <c r="L191" s="127">
        <v>0.05</v>
      </c>
      <c r="M191" s="127">
        <v>0</v>
      </c>
      <c r="N191" s="127">
        <v>0</v>
      </c>
      <c r="O191" s="127">
        <v>0</v>
      </c>
      <c r="P191" s="127">
        <v>-0.1</v>
      </c>
      <c r="Q191" s="127">
        <v>0</v>
      </c>
      <c r="R191" s="127">
        <v>0</v>
      </c>
      <c r="S191" s="127">
        <v>0</v>
      </c>
      <c r="T191" s="127">
        <v>0</v>
      </c>
      <c r="U191" s="127">
        <v>0</v>
      </c>
      <c r="V191" s="128">
        <v>0</v>
      </c>
    </row>
    <row r="192" spans="1:22">
      <c r="A192" s="162" t="s">
        <v>1252</v>
      </c>
      <c r="B192" s="93"/>
      <c r="C192" s="46" t="s">
        <v>305</v>
      </c>
      <c r="D192" s="46" t="s">
        <v>305</v>
      </c>
      <c r="E192" s="46" t="s">
        <v>305</v>
      </c>
      <c r="F192" s="46" t="s">
        <v>305</v>
      </c>
      <c r="G192" s="46" t="s">
        <v>305</v>
      </c>
      <c r="H192" s="46" t="s">
        <v>305</v>
      </c>
      <c r="I192" s="93" t="s">
        <v>3638</v>
      </c>
      <c r="J192" s="127">
        <v>0</v>
      </c>
      <c r="K192" s="127">
        <v>0</v>
      </c>
      <c r="L192" s="127">
        <v>0</v>
      </c>
      <c r="M192" s="127">
        <v>0</v>
      </c>
      <c r="N192" s="127">
        <v>0</v>
      </c>
      <c r="O192" s="127">
        <v>0</v>
      </c>
      <c r="P192" s="127">
        <v>0</v>
      </c>
      <c r="Q192" s="127">
        <v>0</v>
      </c>
      <c r="R192" s="127">
        <v>0</v>
      </c>
      <c r="S192" s="127">
        <v>0</v>
      </c>
      <c r="T192" s="127">
        <v>0</v>
      </c>
      <c r="U192" s="127">
        <v>0</v>
      </c>
      <c r="V192" s="128">
        <v>0</v>
      </c>
    </row>
    <row r="193" spans="1:22">
      <c r="A193" s="162" t="s">
        <v>1180</v>
      </c>
      <c r="B193" s="10"/>
      <c r="C193" s="60" t="s">
        <v>696</v>
      </c>
      <c r="D193" s="46" t="s">
        <v>305</v>
      </c>
      <c r="E193" s="60" t="s">
        <v>696</v>
      </c>
      <c r="F193" s="59" t="s">
        <v>695</v>
      </c>
      <c r="G193" s="46" t="s">
        <v>305</v>
      </c>
      <c r="H193" s="46" t="s">
        <v>305</v>
      </c>
      <c r="I193" s="10" t="s">
        <v>3638</v>
      </c>
      <c r="J193" s="127">
        <v>0</v>
      </c>
      <c r="K193" s="127">
        <v>-0.05</v>
      </c>
      <c r="L193" s="127">
        <v>0.05</v>
      </c>
      <c r="M193" s="127">
        <v>0</v>
      </c>
      <c r="N193" s="127">
        <v>0.05</v>
      </c>
      <c r="O193" s="127">
        <v>-0.05</v>
      </c>
      <c r="P193" s="127">
        <v>-0.05</v>
      </c>
      <c r="Q193" s="127">
        <v>0</v>
      </c>
      <c r="R193" s="127">
        <v>0</v>
      </c>
      <c r="S193" s="127">
        <v>0</v>
      </c>
      <c r="T193" s="127">
        <v>0</v>
      </c>
      <c r="U193" s="127">
        <v>0</v>
      </c>
      <c r="V193" s="128">
        <v>0</v>
      </c>
    </row>
    <row r="194" spans="1:22">
      <c r="A194" s="162" t="s">
        <v>1181</v>
      </c>
      <c r="B194" s="93"/>
      <c r="C194" s="60" t="s">
        <v>696</v>
      </c>
      <c r="D194" s="59" t="s">
        <v>695</v>
      </c>
      <c r="E194" s="46" t="s">
        <v>305</v>
      </c>
      <c r="F194" s="60" t="s">
        <v>697</v>
      </c>
      <c r="G194" s="46" t="s">
        <v>305</v>
      </c>
      <c r="H194" s="46" t="s">
        <v>305</v>
      </c>
      <c r="I194" s="93" t="s">
        <v>3638</v>
      </c>
      <c r="J194" s="127">
        <v>0.05</v>
      </c>
      <c r="K194" s="127">
        <v>-0.05</v>
      </c>
      <c r="L194" s="127">
        <v>-0.05</v>
      </c>
      <c r="M194" s="127">
        <v>0</v>
      </c>
      <c r="N194" s="127">
        <v>0</v>
      </c>
      <c r="O194" s="127">
        <v>0.05</v>
      </c>
      <c r="P194" s="127">
        <v>0</v>
      </c>
      <c r="Q194" s="127">
        <v>0.15</v>
      </c>
      <c r="R194" s="127">
        <v>0</v>
      </c>
      <c r="S194" s="127">
        <v>0</v>
      </c>
      <c r="T194" s="127">
        <v>0</v>
      </c>
      <c r="U194" s="127">
        <v>0</v>
      </c>
      <c r="V194" s="128">
        <v>0</v>
      </c>
    </row>
    <row r="195" spans="1:22">
      <c r="A195" s="101" t="s">
        <v>1145</v>
      </c>
      <c r="B195" s="102"/>
      <c r="C195" s="103" t="s">
        <v>197</v>
      </c>
      <c r="D195" s="103" t="s">
        <v>198</v>
      </c>
      <c r="E195" s="103" t="s">
        <v>199</v>
      </c>
      <c r="F195" s="103" t="s">
        <v>194</v>
      </c>
      <c r="G195" s="103" t="s">
        <v>195</v>
      </c>
      <c r="H195" s="103" t="s">
        <v>196</v>
      </c>
      <c r="I195" s="103" t="s">
        <v>3917</v>
      </c>
      <c r="J195" s="104" t="s">
        <v>1363</v>
      </c>
      <c r="K195" s="104" t="s">
        <v>1364</v>
      </c>
      <c r="L195" s="104" t="s">
        <v>1365</v>
      </c>
      <c r="M195" s="104" t="s">
        <v>1366</v>
      </c>
      <c r="N195" s="104" t="s">
        <v>1367</v>
      </c>
      <c r="O195" s="104" t="s">
        <v>1368</v>
      </c>
      <c r="P195" s="104" t="s">
        <v>1369</v>
      </c>
      <c r="Q195" s="104" t="s">
        <v>1375</v>
      </c>
      <c r="R195" s="104" t="s">
        <v>1370</v>
      </c>
      <c r="S195" s="104" t="s">
        <v>1371</v>
      </c>
      <c r="T195" s="104" t="s">
        <v>1372</v>
      </c>
      <c r="U195" s="104" t="s">
        <v>1373</v>
      </c>
      <c r="V195" s="104" t="s">
        <v>1374</v>
      </c>
    </row>
    <row r="196" spans="1:22">
      <c r="A196" s="162" t="s">
        <v>1253</v>
      </c>
      <c r="B196" s="93"/>
      <c r="C196" s="60" t="s">
        <v>696</v>
      </c>
      <c r="D196" s="46" t="s">
        <v>305</v>
      </c>
      <c r="E196" s="46" t="s">
        <v>305</v>
      </c>
      <c r="F196" s="46" t="s">
        <v>305</v>
      </c>
      <c r="G196" s="46" t="s">
        <v>305</v>
      </c>
      <c r="H196" s="59" t="s">
        <v>695</v>
      </c>
      <c r="I196" s="93">
        <v>4</v>
      </c>
      <c r="J196" s="127">
        <v>0</v>
      </c>
      <c r="K196" s="127">
        <v>0</v>
      </c>
      <c r="L196" s="127">
        <v>0</v>
      </c>
      <c r="M196" s="127">
        <v>0</v>
      </c>
      <c r="N196" s="127">
        <v>0</v>
      </c>
      <c r="O196" s="127">
        <v>0</v>
      </c>
      <c r="P196" s="127">
        <v>0</v>
      </c>
      <c r="Q196" s="127">
        <v>0</v>
      </c>
      <c r="R196" s="127">
        <v>0</v>
      </c>
      <c r="S196" s="127">
        <v>0</v>
      </c>
      <c r="T196" s="127">
        <v>0</v>
      </c>
      <c r="U196" s="127">
        <v>0</v>
      </c>
      <c r="V196" s="128">
        <v>0</v>
      </c>
    </row>
    <row r="197" spans="1:22">
      <c r="A197" s="162" t="s">
        <v>1254</v>
      </c>
      <c r="B197" s="10"/>
      <c r="C197" s="59" t="s">
        <v>695</v>
      </c>
      <c r="D197" s="46" t="s">
        <v>305</v>
      </c>
      <c r="E197" s="46" t="s">
        <v>305</v>
      </c>
      <c r="F197" s="46" t="s">
        <v>305</v>
      </c>
      <c r="G197" s="60" t="s">
        <v>696</v>
      </c>
      <c r="H197" s="46" t="s">
        <v>305</v>
      </c>
      <c r="I197" s="10">
        <v>7</v>
      </c>
      <c r="J197" s="127">
        <v>0</v>
      </c>
      <c r="K197" s="127">
        <v>0</v>
      </c>
      <c r="L197" s="127">
        <v>0</v>
      </c>
      <c r="M197" s="127">
        <v>0</v>
      </c>
      <c r="N197" s="127">
        <v>0</v>
      </c>
      <c r="O197" s="127">
        <v>0</v>
      </c>
      <c r="P197" s="127">
        <v>0</v>
      </c>
      <c r="Q197" s="127">
        <v>0</v>
      </c>
      <c r="R197" s="127">
        <v>0</v>
      </c>
      <c r="S197" s="127">
        <v>0</v>
      </c>
      <c r="T197" s="127">
        <v>0</v>
      </c>
      <c r="U197" s="127">
        <v>0</v>
      </c>
      <c r="V197" s="128">
        <v>0</v>
      </c>
    </row>
    <row r="198" spans="1:22">
      <c r="A198" s="162" t="s">
        <v>1255</v>
      </c>
      <c r="B198" s="93"/>
      <c r="C198" s="46" t="s">
        <v>305</v>
      </c>
      <c r="D198" s="59" t="s">
        <v>695</v>
      </c>
      <c r="E198" s="46" t="s">
        <v>305</v>
      </c>
      <c r="F198" s="46" t="s">
        <v>305</v>
      </c>
      <c r="G198" s="59" t="s">
        <v>695</v>
      </c>
      <c r="H198" s="46" t="s">
        <v>305</v>
      </c>
      <c r="I198" s="93">
        <v>9</v>
      </c>
      <c r="J198" s="127">
        <v>0</v>
      </c>
      <c r="K198" s="127">
        <v>0</v>
      </c>
      <c r="L198" s="127">
        <v>0</v>
      </c>
      <c r="M198" s="127">
        <v>0</v>
      </c>
      <c r="N198" s="127">
        <v>0</v>
      </c>
      <c r="O198" s="127">
        <v>0</v>
      </c>
      <c r="P198" s="127">
        <v>0</v>
      </c>
      <c r="Q198" s="127">
        <v>0</v>
      </c>
      <c r="R198" s="127">
        <v>0</v>
      </c>
      <c r="S198" s="127">
        <v>0</v>
      </c>
      <c r="T198" s="127">
        <v>0</v>
      </c>
      <c r="U198" s="127">
        <v>0</v>
      </c>
      <c r="V198" s="128">
        <v>0</v>
      </c>
    </row>
    <row r="199" spans="1:22">
      <c r="A199" s="162" t="s">
        <v>1256</v>
      </c>
      <c r="B199" s="10"/>
      <c r="C199" s="60" t="s">
        <v>697</v>
      </c>
      <c r="D199" s="46" t="s">
        <v>305</v>
      </c>
      <c r="E199" s="46" t="s">
        <v>305</v>
      </c>
      <c r="F199" s="46" t="s">
        <v>305</v>
      </c>
      <c r="G199" s="46" t="s">
        <v>305</v>
      </c>
      <c r="H199" s="59" t="s">
        <v>698</v>
      </c>
      <c r="I199" s="10">
        <v>8</v>
      </c>
      <c r="J199" s="127">
        <v>0</v>
      </c>
      <c r="K199" s="127">
        <v>0</v>
      </c>
      <c r="L199" s="127">
        <v>0</v>
      </c>
      <c r="M199" s="127">
        <v>0</v>
      </c>
      <c r="N199" s="127">
        <v>0</v>
      </c>
      <c r="O199" s="127">
        <v>0</v>
      </c>
      <c r="P199" s="127">
        <v>0</v>
      </c>
      <c r="Q199" s="127">
        <v>0</v>
      </c>
      <c r="R199" s="127">
        <v>0</v>
      </c>
      <c r="S199" s="127">
        <v>0</v>
      </c>
      <c r="T199" s="127">
        <v>0</v>
      </c>
      <c r="U199" s="127">
        <v>0</v>
      </c>
      <c r="V199" s="128">
        <v>0</v>
      </c>
    </row>
    <row r="200" spans="1:22">
      <c r="A200" s="162" t="s">
        <v>1257</v>
      </c>
      <c r="B200" s="93"/>
      <c r="C200" s="46" t="s">
        <v>305</v>
      </c>
      <c r="D200" s="59" t="s">
        <v>695</v>
      </c>
      <c r="E200" s="46" t="s">
        <v>305</v>
      </c>
      <c r="F200" s="46" t="s">
        <v>305</v>
      </c>
      <c r="G200" s="60" t="s">
        <v>696</v>
      </c>
      <c r="H200" s="46" t="s">
        <v>305</v>
      </c>
      <c r="I200" s="93">
        <v>9</v>
      </c>
      <c r="J200" s="127">
        <v>0</v>
      </c>
      <c r="K200" s="127">
        <v>0</v>
      </c>
      <c r="L200" s="127">
        <v>0</v>
      </c>
      <c r="M200" s="127">
        <v>0</v>
      </c>
      <c r="N200" s="127">
        <v>0</v>
      </c>
      <c r="O200" s="127">
        <v>0</v>
      </c>
      <c r="P200" s="127">
        <v>0</v>
      </c>
      <c r="Q200" s="127">
        <v>0</v>
      </c>
      <c r="R200" s="127">
        <v>0</v>
      </c>
      <c r="S200" s="127">
        <v>0</v>
      </c>
      <c r="T200" s="127">
        <v>0</v>
      </c>
      <c r="U200" s="127">
        <v>0</v>
      </c>
      <c r="V200" s="128">
        <v>0</v>
      </c>
    </row>
    <row r="201" spans="1:22">
      <c r="A201" s="162" t="s">
        <v>1258</v>
      </c>
      <c r="B201" s="10"/>
      <c r="C201" s="46" t="s">
        <v>305</v>
      </c>
      <c r="D201" s="46" t="s">
        <v>305</v>
      </c>
      <c r="E201" s="60" t="s">
        <v>696</v>
      </c>
      <c r="F201" s="59" t="s">
        <v>695</v>
      </c>
      <c r="G201" s="46" t="s">
        <v>305</v>
      </c>
      <c r="H201" s="46" t="s">
        <v>305</v>
      </c>
      <c r="I201" s="10">
        <v>9</v>
      </c>
      <c r="J201" s="127">
        <v>0</v>
      </c>
      <c r="K201" s="127">
        <v>0</v>
      </c>
      <c r="L201" s="127">
        <v>0</v>
      </c>
      <c r="M201" s="127">
        <v>0</v>
      </c>
      <c r="N201" s="127">
        <v>0</v>
      </c>
      <c r="O201" s="127">
        <v>0</v>
      </c>
      <c r="P201" s="127">
        <v>0</v>
      </c>
      <c r="Q201" s="127">
        <v>0</v>
      </c>
      <c r="R201" s="127">
        <v>0</v>
      </c>
      <c r="S201" s="127">
        <v>0</v>
      </c>
      <c r="T201" s="127">
        <v>0</v>
      </c>
      <c r="U201" s="127">
        <v>0</v>
      </c>
      <c r="V201" s="128">
        <v>0</v>
      </c>
    </row>
    <row r="202" spans="1:22">
      <c r="A202" s="162" t="s">
        <v>1259</v>
      </c>
      <c r="B202" s="93"/>
      <c r="C202" s="46" t="s">
        <v>305</v>
      </c>
      <c r="D202" s="46" t="s">
        <v>305</v>
      </c>
      <c r="E202" s="46" t="s">
        <v>305</v>
      </c>
      <c r="F202" s="60" t="s">
        <v>696</v>
      </c>
      <c r="G202" s="59" t="s">
        <v>695</v>
      </c>
      <c r="H202" s="46" t="s">
        <v>305</v>
      </c>
      <c r="I202" s="93">
        <v>5</v>
      </c>
      <c r="J202" s="127">
        <v>0</v>
      </c>
      <c r="K202" s="127">
        <v>0</v>
      </c>
      <c r="L202" s="127">
        <v>0</v>
      </c>
      <c r="M202" s="127">
        <v>0</v>
      </c>
      <c r="N202" s="127">
        <v>0</v>
      </c>
      <c r="O202" s="127">
        <v>0</v>
      </c>
      <c r="P202" s="127">
        <v>0</v>
      </c>
      <c r="Q202" s="127">
        <v>0</v>
      </c>
      <c r="R202" s="127">
        <v>0</v>
      </c>
      <c r="S202" s="127">
        <v>0</v>
      </c>
      <c r="T202" s="127">
        <v>0</v>
      </c>
      <c r="U202" s="127">
        <v>0</v>
      </c>
      <c r="V202" s="128">
        <v>0</v>
      </c>
    </row>
    <row r="203" spans="1:22">
      <c r="A203" s="162" t="s">
        <v>1260</v>
      </c>
      <c r="B203" s="10"/>
      <c r="C203" s="46" t="s">
        <v>305</v>
      </c>
      <c r="D203" s="59" t="s">
        <v>695</v>
      </c>
      <c r="E203" s="46" t="s">
        <v>305</v>
      </c>
      <c r="F203" s="46" t="s">
        <v>305</v>
      </c>
      <c r="G203" s="46" t="s">
        <v>305</v>
      </c>
      <c r="H203" s="60" t="s">
        <v>696</v>
      </c>
      <c r="I203" s="10">
        <v>7</v>
      </c>
      <c r="J203" s="127">
        <v>0</v>
      </c>
      <c r="K203" s="127">
        <v>0</v>
      </c>
      <c r="L203" s="127">
        <v>0</v>
      </c>
      <c r="M203" s="127">
        <v>0</v>
      </c>
      <c r="N203" s="127">
        <v>0</v>
      </c>
      <c r="O203" s="127">
        <v>0</v>
      </c>
      <c r="P203" s="127">
        <v>0</v>
      </c>
      <c r="Q203" s="127">
        <v>0</v>
      </c>
      <c r="R203" s="127">
        <v>0</v>
      </c>
      <c r="S203" s="127">
        <v>0</v>
      </c>
      <c r="T203" s="127">
        <v>0</v>
      </c>
      <c r="U203" s="127">
        <v>0</v>
      </c>
      <c r="V203" s="128">
        <v>0</v>
      </c>
    </row>
    <row r="204" spans="1:22">
      <c r="A204" s="162" t="s">
        <v>1261</v>
      </c>
      <c r="B204" s="93"/>
      <c r="C204" s="60" t="s">
        <v>696</v>
      </c>
      <c r="D204" s="46" t="s">
        <v>305</v>
      </c>
      <c r="E204" s="59" t="s">
        <v>695</v>
      </c>
      <c r="F204" s="46" t="s">
        <v>305</v>
      </c>
      <c r="G204" s="46" t="s">
        <v>305</v>
      </c>
      <c r="H204" s="46" t="s">
        <v>305</v>
      </c>
      <c r="I204" s="93">
        <v>5</v>
      </c>
      <c r="J204" s="127">
        <v>0</v>
      </c>
      <c r="K204" s="127">
        <v>0</v>
      </c>
      <c r="L204" s="127">
        <v>0</v>
      </c>
      <c r="M204" s="127">
        <v>0</v>
      </c>
      <c r="N204" s="127">
        <v>0</v>
      </c>
      <c r="O204" s="127">
        <v>0</v>
      </c>
      <c r="P204" s="127">
        <v>0</v>
      </c>
      <c r="Q204" s="127">
        <v>0</v>
      </c>
      <c r="R204" s="127">
        <v>0</v>
      </c>
      <c r="S204" s="127">
        <v>0</v>
      </c>
      <c r="T204" s="127">
        <v>0</v>
      </c>
      <c r="U204" s="127">
        <v>0</v>
      </c>
      <c r="V204" s="128">
        <v>0</v>
      </c>
    </row>
    <row r="205" spans="1:22">
      <c r="A205" s="162" t="s">
        <v>1262</v>
      </c>
      <c r="B205" s="10"/>
      <c r="C205" s="46" t="s">
        <v>305</v>
      </c>
      <c r="D205" s="46" t="s">
        <v>305</v>
      </c>
      <c r="E205" s="46" t="s">
        <v>305</v>
      </c>
      <c r="F205" s="60" t="s">
        <v>696</v>
      </c>
      <c r="G205" s="59" t="s">
        <v>695</v>
      </c>
      <c r="H205" s="46" t="s">
        <v>305</v>
      </c>
      <c r="I205" s="10">
        <v>6</v>
      </c>
      <c r="J205" s="127">
        <v>0</v>
      </c>
      <c r="K205" s="127">
        <v>0</v>
      </c>
      <c r="L205" s="127">
        <v>0</v>
      </c>
      <c r="M205" s="127">
        <v>0</v>
      </c>
      <c r="N205" s="127">
        <v>0</v>
      </c>
      <c r="O205" s="127">
        <v>0</v>
      </c>
      <c r="P205" s="127">
        <v>0</v>
      </c>
      <c r="Q205" s="127">
        <v>0</v>
      </c>
      <c r="R205" s="127">
        <v>0</v>
      </c>
      <c r="S205" s="127">
        <v>0</v>
      </c>
      <c r="T205" s="127">
        <v>0</v>
      </c>
      <c r="U205" s="127">
        <v>0</v>
      </c>
      <c r="V205" s="128">
        <v>0</v>
      </c>
    </row>
    <row r="206" spans="1:22">
      <c r="A206" s="162" t="s">
        <v>1263</v>
      </c>
      <c r="B206" s="93"/>
      <c r="C206" s="46" t="s">
        <v>305</v>
      </c>
      <c r="D206" s="60" t="s">
        <v>696</v>
      </c>
      <c r="E206" s="59" t="s">
        <v>695</v>
      </c>
      <c r="F206" s="46" t="s">
        <v>305</v>
      </c>
      <c r="G206" s="46" t="s">
        <v>305</v>
      </c>
      <c r="H206" s="46" t="s">
        <v>305</v>
      </c>
      <c r="I206" s="93">
        <v>9</v>
      </c>
      <c r="J206" s="127">
        <v>0</v>
      </c>
      <c r="K206" s="127">
        <v>0</v>
      </c>
      <c r="L206" s="127">
        <v>0</v>
      </c>
      <c r="M206" s="127">
        <v>0</v>
      </c>
      <c r="N206" s="127">
        <v>0</v>
      </c>
      <c r="O206" s="127">
        <v>0</v>
      </c>
      <c r="P206" s="127">
        <v>0</v>
      </c>
      <c r="Q206" s="127">
        <v>0</v>
      </c>
      <c r="R206" s="127">
        <v>0</v>
      </c>
      <c r="S206" s="127">
        <v>0</v>
      </c>
      <c r="T206" s="127">
        <v>0</v>
      </c>
      <c r="U206" s="127">
        <v>0</v>
      </c>
      <c r="V206" s="128">
        <v>0</v>
      </c>
    </row>
    <row r="207" spans="1:22">
      <c r="A207" s="162" t="s">
        <v>1264</v>
      </c>
      <c r="B207" s="10"/>
      <c r="C207" s="59" t="s">
        <v>695</v>
      </c>
      <c r="D207" s="46" t="s">
        <v>305</v>
      </c>
      <c r="E207" s="46" t="s">
        <v>305</v>
      </c>
      <c r="F207" s="46" t="s">
        <v>305</v>
      </c>
      <c r="G207" s="60" t="s">
        <v>696</v>
      </c>
      <c r="H207" s="46" t="s">
        <v>305</v>
      </c>
      <c r="I207" s="10">
        <v>5</v>
      </c>
      <c r="J207" s="127">
        <v>0</v>
      </c>
      <c r="K207" s="127">
        <v>0</v>
      </c>
      <c r="L207" s="127">
        <v>0</v>
      </c>
      <c r="M207" s="127">
        <v>0</v>
      </c>
      <c r="N207" s="127">
        <v>0</v>
      </c>
      <c r="O207" s="127">
        <v>0</v>
      </c>
      <c r="P207" s="127">
        <v>0</v>
      </c>
      <c r="Q207" s="127">
        <v>0</v>
      </c>
      <c r="R207" s="127">
        <v>0</v>
      </c>
      <c r="S207" s="127">
        <v>0</v>
      </c>
      <c r="T207" s="127">
        <v>0</v>
      </c>
      <c r="U207" s="127">
        <v>0</v>
      </c>
      <c r="V207" s="128">
        <v>0</v>
      </c>
    </row>
    <row r="208" spans="1:22">
      <c r="A208" s="162" t="s">
        <v>1265</v>
      </c>
      <c r="B208" s="93"/>
      <c r="C208" s="46" t="s">
        <v>305</v>
      </c>
      <c r="D208" s="60" t="s">
        <v>696</v>
      </c>
      <c r="E208" s="46" t="s">
        <v>305</v>
      </c>
      <c r="F208" s="46" t="s">
        <v>305</v>
      </c>
      <c r="G208" s="59" t="s">
        <v>695</v>
      </c>
      <c r="H208" s="46" t="s">
        <v>305</v>
      </c>
      <c r="I208" s="93">
        <v>7</v>
      </c>
      <c r="J208" s="127">
        <v>0</v>
      </c>
      <c r="K208" s="127">
        <v>0</v>
      </c>
      <c r="L208" s="127">
        <v>0</v>
      </c>
      <c r="M208" s="127">
        <v>0</v>
      </c>
      <c r="N208" s="127">
        <v>0</v>
      </c>
      <c r="O208" s="127">
        <v>0</v>
      </c>
      <c r="P208" s="127">
        <v>0</v>
      </c>
      <c r="Q208" s="127">
        <v>0</v>
      </c>
      <c r="R208" s="127">
        <v>0</v>
      </c>
      <c r="S208" s="127">
        <v>0</v>
      </c>
      <c r="T208" s="127">
        <v>0</v>
      </c>
      <c r="U208" s="127">
        <v>0</v>
      </c>
      <c r="V208" s="128">
        <v>0</v>
      </c>
    </row>
    <row r="209" spans="1:22">
      <c r="A209" s="162" t="s">
        <v>1266</v>
      </c>
      <c r="B209" s="10"/>
      <c r="C209" s="46" t="s">
        <v>305</v>
      </c>
      <c r="D209" s="46" t="s">
        <v>305</v>
      </c>
      <c r="E209" s="46" t="s">
        <v>305</v>
      </c>
      <c r="F209" s="60" t="s">
        <v>696</v>
      </c>
      <c r="G209" s="46" t="s">
        <v>305</v>
      </c>
      <c r="H209" s="59" t="s">
        <v>695</v>
      </c>
      <c r="I209" s="10">
        <v>6</v>
      </c>
      <c r="J209" s="127">
        <v>0</v>
      </c>
      <c r="K209" s="127">
        <v>0</v>
      </c>
      <c r="L209" s="127">
        <v>0</v>
      </c>
      <c r="M209" s="127">
        <v>0</v>
      </c>
      <c r="N209" s="127">
        <v>0</v>
      </c>
      <c r="O209" s="127">
        <v>0</v>
      </c>
      <c r="P209" s="127">
        <v>0</v>
      </c>
      <c r="Q209" s="127">
        <v>0</v>
      </c>
      <c r="R209" s="127">
        <v>0</v>
      </c>
      <c r="S209" s="127">
        <v>0</v>
      </c>
      <c r="T209" s="127">
        <v>0</v>
      </c>
      <c r="U209" s="127">
        <v>0</v>
      </c>
      <c r="V209" s="128">
        <v>0</v>
      </c>
    </row>
    <row r="210" spans="1:22">
      <c r="A210" s="162" t="s">
        <v>1267</v>
      </c>
      <c r="B210" s="93"/>
      <c r="C210" s="46" t="s">
        <v>305</v>
      </c>
      <c r="D210" s="60" t="s">
        <v>697</v>
      </c>
      <c r="E210" s="46" t="s">
        <v>305</v>
      </c>
      <c r="F210" s="46" t="s">
        <v>305</v>
      </c>
      <c r="G210" s="59" t="s">
        <v>698</v>
      </c>
      <c r="H210" s="46" t="s">
        <v>305</v>
      </c>
      <c r="I210" s="93">
        <v>6</v>
      </c>
      <c r="J210" s="127">
        <v>0</v>
      </c>
      <c r="K210" s="127">
        <v>0</v>
      </c>
      <c r="L210" s="127">
        <v>0</v>
      </c>
      <c r="M210" s="127">
        <v>0</v>
      </c>
      <c r="N210" s="127">
        <v>0</v>
      </c>
      <c r="O210" s="127">
        <v>0</v>
      </c>
      <c r="P210" s="127">
        <v>0</v>
      </c>
      <c r="Q210" s="127">
        <v>0</v>
      </c>
      <c r="R210" s="127">
        <v>0</v>
      </c>
      <c r="S210" s="127">
        <v>0</v>
      </c>
      <c r="T210" s="127">
        <v>0</v>
      </c>
      <c r="U210" s="127">
        <v>0</v>
      </c>
      <c r="V210" s="128">
        <v>0</v>
      </c>
    </row>
    <row r="211" spans="1:22">
      <c r="A211" s="162" t="s">
        <v>1268</v>
      </c>
      <c r="B211" s="10"/>
      <c r="C211" s="46" t="s">
        <v>305</v>
      </c>
      <c r="D211" s="60" t="s">
        <v>697</v>
      </c>
      <c r="E211" s="46" t="s">
        <v>305</v>
      </c>
      <c r="F211" s="46" t="s">
        <v>305</v>
      </c>
      <c r="G211" s="46" t="s">
        <v>305</v>
      </c>
      <c r="H211" s="59" t="s">
        <v>698</v>
      </c>
      <c r="I211" s="10">
        <v>9</v>
      </c>
      <c r="J211" s="127">
        <v>0</v>
      </c>
      <c r="K211" s="127">
        <v>0</v>
      </c>
      <c r="L211" s="127">
        <v>0</v>
      </c>
      <c r="M211" s="127">
        <v>0</v>
      </c>
      <c r="N211" s="127">
        <v>0</v>
      </c>
      <c r="O211" s="127">
        <v>0</v>
      </c>
      <c r="P211" s="127">
        <v>0</v>
      </c>
      <c r="Q211" s="127">
        <v>0</v>
      </c>
      <c r="R211" s="127">
        <v>0</v>
      </c>
      <c r="S211" s="127">
        <v>0</v>
      </c>
      <c r="T211" s="127">
        <v>0</v>
      </c>
      <c r="U211" s="127">
        <v>0</v>
      </c>
      <c r="V211" s="128">
        <v>0</v>
      </c>
    </row>
    <row r="212" spans="1:22">
      <c r="A212" s="162" t="s">
        <v>1269</v>
      </c>
      <c r="B212" s="93"/>
      <c r="C212" s="46" t="s">
        <v>305</v>
      </c>
      <c r="D212" s="60" t="s">
        <v>696</v>
      </c>
      <c r="E212" s="46" t="s">
        <v>305</v>
      </c>
      <c r="F212" s="46" t="s">
        <v>305</v>
      </c>
      <c r="G212" s="59" t="s">
        <v>695</v>
      </c>
      <c r="H212" s="46" t="s">
        <v>305</v>
      </c>
      <c r="I212" s="93">
        <v>5</v>
      </c>
      <c r="J212" s="127">
        <v>0</v>
      </c>
      <c r="K212" s="127">
        <v>0</v>
      </c>
      <c r="L212" s="127">
        <v>0</v>
      </c>
      <c r="M212" s="127">
        <v>0</v>
      </c>
      <c r="N212" s="127">
        <v>0</v>
      </c>
      <c r="O212" s="127">
        <v>0</v>
      </c>
      <c r="P212" s="127">
        <v>0</v>
      </c>
      <c r="Q212" s="127">
        <v>0</v>
      </c>
      <c r="R212" s="127">
        <v>0</v>
      </c>
      <c r="S212" s="127">
        <v>0</v>
      </c>
      <c r="T212" s="127">
        <v>0</v>
      </c>
      <c r="U212" s="127">
        <v>0</v>
      </c>
      <c r="V212" s="128">
        <v>0</v>
      </c>
    </row>
    <row r="213" spans="1:22">
      <c r="A213" s="162" t="s">
        <v>1270</v>
      </c>
      <c r="B213" s="10"/>
      <c r="C213" s="46" t="s">
        <v>305</v>
      </c>
      <c r="D213" s="46" t="s">
        <v>305</v>
      </c>
      <c r="E213" s="59" t="s">
        <v>698</v>
      </c>
      <c r="F213" s="46" t="s">
        <v>305</v>
      </c>
      <c r="G213" s="46" t="s">
        <v>305</v>
      </c>
      <c r="H213" s="46" t="s">
        <v>305</v>
      </c>
      <c r="I213" s="10">
        <v>5</v>
      </c>
      <c r="J213" s="127">
        <v>0</v>
      </c>
      <c r="K213" s="127">
        <v>0</v>
      </c>
      <c r="L213" s="127">
        <v>0</v>
      </c>
      <c r="M213" s="127">
        <v>0</v>
      </c>
      <c r="N213" s="127">
        <v>0</v>
      </c>
      <c r="O213" s="127">
        <v>0</v>
      </c>
      <c r="P213" s="127">
        <v>0</v>
      </c>
      <c r="Q213" s="127">
        <v>0</v>
      </c>
      <c r="R213" s="127">
        <v>0</v>
      </c>
      <c r="S213" s="127">
        <v>0</v>
      </c>
      <c r="T213" s="127">
        <v>0</v>
      </c>
      <c r="U213" s="127">
        <v>0</v>
      </c>
      <c r="V213" s="128">
        <v>0</v>
      </c>
    </row>
    <row r="214" spans="1:22">
      <c r="A214" s="162" t="s">
        <v>1271</v>
      </c>
      <c r="B214" s="93"/>
      <c r="C214" s="46" t="s">
        <v>305</v>
      </c>
      <c r="D214" s="59" t="s">
        <v>695</v>
      </c>
      <c r="E214" s="46" t="s">
        <v>305</v>
      </c>
      <c r="F214" s="46" t="s">
        <v>305</v>
      </c>
      <c r="G214" s="46" t="s">
        <v>305</v>
      </c>
      <c r="H214" s="60" t="s">
        <v>696</v>
      </c>
      <c r="I214" s="93">
        <v>7</v>
      </c>
      <c r="J214" s="127">
        <v>0</v>
      </c>
      <c r="K214" s="127">
        <v>0</v>
      </c>
      <c r="L214" s="127">
        <v>0</v>
      </c>
      <c r="M214" s="127">
        <v>0</v>
      </c>
      <c r="N214" s="127">
        <v>0</v>
      </c>
      <c r="O214" s="127">
        <v>0</v>
      </c>
      <c r="P214" s="127">
        <v>0</v>
      </c>
      <c r="Q214" s="127">
        <v>0</v>
      </c>
      <c r="R214" s="127">
        <v>0</v>
      </c>
      <c r="S214" s="127">
        <v>0</v>
      </c>
      <c r="T214" s="127">
        <v>0</v>
      </c>
      <c r="U214" s="127">
        <v>0</v>
      </c>
      <c r="V214" s="128">
        <v>0</v>
      </c>
    </row>
    <row r="215" spans="1:22">
      <c r="A215" s="162" t="s">
        <v>1272</v>
      </c>
      <c r="B215" s="10"/>
      <c r="C215" s="60" t="s">
        <v>697</v>
      </c>
      <c r="D215" s="46" t="s">
        <v>305</v>
      </c>
      <c r="E215" s="46" t="s">
        <v>305</v>
      </c>
      <c r="F215" s="46" t="s">
        <v>305</v>
      </c>
      <c r="G215" s="59" t="s">
        <v>698</v>
      </c>
      <c r="H215" s="46" t="s">
        <v>305</v>
      </c>
      <c r="I215" s="10">
        <v>9</v>
      </c>
      <c r="J215" s="127">
        <v>0</v>
      </c>
      <c r="K215" s="127">
        <v>0</v>
      </c>
      <c r="L215" s="127">
        <v>0</v>
      </c>
      <c r="M215" s="127">
        <v>0</v>
      </c>
      <c r="N215" s="127">
        <v>0</v>
      </c>
      <c r="O215" s="127">
        <v>0</v>
      </c>
      <c r="P215" s="127">
        <v>0</v>
      </c>
      <c r="Q215" s="127">
        <v>0</v>
      </c>
      <c r="R215" s="127">
        <v>0</v>
      </c>
      <c r="S215" s="127">
        <v>0</v>
      </c>
      <c r="T215" s="127">
        <v>0</v>
      </c>
      <c r="U215" s="127">
        <v>0</v>
      </c>
      <c r="V215" s="128">
        <v>0</v>
      </c>
    </row>
    <row r="216" spans="1:22">
      <c r="A216" s="162" t="s">
        <v>1273</v>
      </c>
      <c r="B216" s="93"/>
      <c r="C216" s="46" t="s">
        <v>305</v>
      </c>
      <c r="D216" s="46" t="s">
        <v>305</v>
      </c>
      <c r="E216" s="60" t="s">
        <v>697</v>
      </c>
      <c r="F216" s="46" t="s">
        <v>305</v>
      </c>
      <c r="G216" s="46" t="s">
        <v>305</v>
      </c>
      <c r="H216" s="59" t="s">
        <v>698</v>
      </c>
      <c r="I216" s="93">
        <v>5</v>
      </c>
      <c r="J216" s="127">
        <v>0</v>
      </c>
      <c r="K216" s="127">
        <v>0</v>
      </c>
      <c r="L216" s="127">
        <v>0</v>
      </c>
      <c r="M216" s="127">
        <v>0</v>
      </c>
      <c r="N216" s="127">
        <v>0</v>
      </c>
      <c r="O216" s="127">
        <v>0</v>
      </c>
      <c r="P216" s="127">
        <v>0</v>
      </c>
      <c r="Q216" s="127">
        <v>0</v>
      </c>
      <c r="R216" s="127">
        <v>0</v>
      </c>
      <c r="S216" s="127">
        <v>0</v>
      </c>
      <c r="T216" s="127">
        <v>0</v>
      </c>
      <c r="U216" s="127">
        <v>0</v>
      </c>
      <c r="V216" s="128">
        <v>0</v>
      </c>
    </row>
    <row r="217" spans="1:22">
      <c r="A217" s="162" t="s">
        <v>1274</v>
      </c>
      <c r="B217" s="10"/>
      <c r="C217" s="46" t="s">
        <v>305</v>
      </c>
      <c r="D217" s="46" t="s">
        <v>305</v>
      </c>
      <c r="E217" s="59" t="s">
        <v>698</v>
      </c>
      <c r="F217" s="46" t="s">
        <v>305</v>
      </c>
      <c r="G217" s="46" t="s">
        <v>305</v>
      </c>
      <c r="H217" s="60" t="s">
        <v>697</v>
      </c>
      <c r="I217" s="10">
        <v>3</v>
      </c>
      <c r="J217" s="127">
        <v>0</v>
      </c>
      <c r="K217" s="127">
        <v>0</v>
      </c>
      <c r="L217" s="127">
        <v>0</v>
      </c>
      <c r="M217" s="127">
        <v>0</v>
      </c>
      <c r="N217" s="127">
        <v>0</v>
      </c>
      <c r="O217" s="127">
        <v>0</v>
      </c>
      <c r="P217" s="127">
        <v>0</v>
      </c>
      <c r="Q217" s="127">
        <v>0</v>
      </c>
      <c r="R217" s="127">
        <v>0</v>
      </c>
      <c r="S217" s="127">
        <v>0</v>
      </c>
      <c r="T217" s="127">
        <v>0</v>
      </c>
      <c r="U217" s="127">
        <v>0</v>
      </c>
      <c r="V217" s="128">
        <v>0</v>
      </c>
    </row>
    <row r="218" spans="1:22">
      <c r="A218" s="162" t="s">
        <v>1275</v>
      </c>
      <c r="B218" s="93"/>
      <c r="C218" s="46" t="s">
        <v>305</v>
      </c>
      <c r="D218" s="59" t="s">
        <v>698</v>
      </c>
      <c r="E218" s="60" t="s">
        <v>697</v>
      </c>
      <c r="F218" s="46" t="s">
        <v>305</v>
      </c>
      <c r="G218" s="46" t="s">
        <v>305</v>
      </c>
      <c r="H218" s="46" t="s">
        <v>305</v>
      </c>
      <c r="I218" s="93">
        <v>7</v>
      </c>
      <c r="J218" s="127">
        <v>0</v>
      </c>
      <c r="K218" s="127">
        <v>0</v>
      </c>
      <c r="L218" s="127">
        <v>0</v>
      </c>
      <c r="M218" s="127">
        <v>0</v>
      </c>
      <c r="N218" s="127">
        <v>0</v>
      </c>
      <c r="O218" s="127">
        <v>0</v>
      </c>
      <c r="P218" s="127">
        <v>0</v>
      </c>
      <c r="Q218" s="127">
        <v>0</v>
      </c>
      <c r="R218" s="127">
        <v>0</v>
      </c>
      <c r="S218" s="127">
        <v>0</v>
      </c>
      <c r="T218" s="127">
        <v>0</v>
      </c>
      <c r="U218" s="127">
        <v>0</v>
      </c>
      <c r="V218" s="128">
        <v>0</v>
      </c>
    </row>
    <row r="219" spans="1:22">
      <c r="A219" s="162" t="s">
        <v>1276</v>
      </c>
      <c r="B219" s="10"/>
      <c r="C219" s="46" t="s">
        <v>305</v>
      </c>
      <c r="D219" s="46" t="s">
        <v>305</v>
      </c>
      <c r="E219" s="46" t="s">
        <v>305</v>
      </c>
      <c r="F219" s="60" t="s">
        <v>696</v>
      </c>
      <c r="G219" s="46" t="s">
        <v>305</v>
      </c>
      <c r="H219" s="59" t="s">
        <v>695</v>
      </c>
      <c r="I219" s="10">
        <v>6</v>
      </c>
      <c r="J219" s="127">
        <v>0</v>
      </c>
      <c r="K219" s="127">
        <v>0</v>
      </c>
      <c r="L219" s="127">
        <v>0</v>
      </c>
      <c r="M219" s="127">
        <v>0</v>
      </c>
      <c r="N219" s="127">
        <v>0</v>
      </c>
      <c r="O219" s="127">
        <v>0</v>
      </c>
      <c r="P219" s="127">
        <v>0</v>
      </c>
      <c r="Q219" s="127">
        <v>0</v>
      </c>
      <c r="R219" s="127">
        <v>0</v>
      </c>
      <c r="S219" s="127">
        <v>0</v>
      </c>
      <c r="T219" s="127">
        <v>0</v>
      </c>
      <c r="U219" s="127">
        <v>0</v>
      </c>
      <c r="V219" s="128">
        <v>0</v>
      </c>
    </row>
    <row r="220" spans="1:22">
      <c r="A220" s="101" t="s">
        <v>1154</v>
      </c>
      <c r="B220" s="102"/>
      <c r="C220" s="103" t="s">
        <v>197</v>
      </c>
      <c r="D220" s="103" t="s">
        <v>198</v>
      </c>
      <c r="E220" s="103" t="s">
        <v>199</v>
      </c>
      <c r="F220" s="103" t="s">
        <v>194</v>
      </c>
      <c r="G220" s="103" t="s">
        <v>195</v>
      </c>
      <c r="H220" s="103" t="s">
        <v>196</v>
      </c>
      <c r="I220" s="103" t="s">
        <v>3917</v>
      </c>
      <c r="J220" s="104" t="s">
        <v>1363</v>
      </c>
      <c r="K220" s="104" t="s">
        <v>1364</v>
      </c>
      <c r="L220" s="104" t="s">
        <v>1365</v>
      </c>
      <c r="M220" s="104" t="s">
        <v>1366</v>
      </c>
      <c r="N220" s="104" t="s">
        <v>1367</v>
      </c>
      <c r="O220" s="104" t="s">
        <v>1368</v>
      </c>
      <c r="P220" s="104" t="s">
        <v>1369</v>
      </c>
      <c r="Q220" s="104" t="s">
        <v>1375</v>
      </c>
      <c r="R220" s="104" t="s">
        <v>1370</v>
      </c>
      <c r="S220" s="104" t="s">
        <v>1371</v>
      </c>
      <c r="T220" s="104" t="s">
        <v>1372</v>
      </c>
      <c r="U220" s="104" t="s">
        <v>1373</v>
      </c>
      <c r="V220" s="104" t="s">
        <v>1374</v>
      </c>
    </row>
    <row r="221" spans="1:22">
      <c r="A221" s="93" t="s">
        <v>1295</v>
      </c>
      <c r="B221" s="93"/>
      <c r="C221" s="46" t="s">
        <v>305</v>
      </c>
      <c r="D221" s="46" t="s">
        <v>305</v>
      </c>
      <c r="E221" s="46" t="s">
        <v>305</v>
      </c>
      <c r="F221" s="46" t="s">
        <v>305</v>
      </c>
      <c r="G221" s="46" t="s">
        <v>305</v>
      </c>
      <c r="H221" s="59" t="s">
        <v>695</v>
      </c>
      <c r="I221" s="93" t="s">
        <v>3638</v>
      </c>
      <c r="J221" s="127">
        <v>0</v>
      </c>
      <c r="K221" s="127">
        <v>0.05</v>
      </c>
      <c r="L221" s="127">
        <v>0.05</v>
      </c>
      <c r="M221" s="127">
        <v>0</v>
      </c>
      <c r="N221" s="127">
        <v>0</v>
      </c>
      <c r="O221" s="127">
        <v>0</v>
      </c>
      <c r="P221" s="127">
        <v>0</v>
      </c>
      <c r="Q221" s="127">
        <v>-0.1</v>
      </c>
      <c r="R221" s="127">
        <v>0</v>
      </c>
      <c r="S221" s="127">
        <v>0</v>
      </c>
      <c r="T221" s="127">
        <v>0</v>
      </c>
      <c r="U221" s="127">
        <v>0</v>
      </c>
      <c r="V221" s="128">
        <v>0</v>
      </c>
    </row>
    <row r="222" spans="1:22">
      <c r="A222" s="162" t="s">
        <v>1277</v>
      </c>
      <c r="B222" s="10"/>
      <c r="C222" s="46" t="s">
        <v>305</v>
      </c>
      <c r="D222" s="46" t="s">
        <v>305</v>
      </c>
      <c r="E222" s="46" t="s">
        <v>305</v>
      </c>
      <c r="F222" s="46" t="s">
        <v>305</v>
      </c>
      <c r="G222" s="46" t="s">
        <v>305</v>
      </c>
      <c r="H222" s="59" t="s">
        <v>695</v>
      </c>
      <c r="I222" s="10" t="s">
        <v>3638</v>
      </c>
      <c r="J222" s="127">
        <v>0</v>
      </c>
      <c r="K222" s="127">
        <v>0</v>
      </c>
      <c r="L222" s="127">
        <v>0</v>
      </c>
      <c r="M222" s="127">
        <v>0</v>
      </c>
      <c r="N222" s="127">
        <v>0</v>
      </c>
      <c r="O222" s="127">
        <v>0</v>
      </c>
      <c r="P222" s="127">
        <v>0</v>
      </c>
      <c r="Q222" s="127">
        <v>0</v>
      </c>
      <c r="R222" s="127">
        <v>0</v>
      </c>
      <c r="S222" s="127">
        <v>0</v>
      </c>
      <c r="T222" s="127">
        <v>0</v>
      </c>
      <c r="U222" s="127">
        <v>0</v>
      </c>
      <c r="V222" s="128">
        <v>0</v>
      </c>
    </row>
    <row r="223" spans="1:22">
      <c r="A223" s="101" t="s">
        <v>584</v>
      </c>
      <c r="B223" s="102"/>
      <c r="C223" s="103" t="s">
        <v>197</v>
      </c>
      <c r="D223" s="103" t="s">
        <v>198</v>
      </c>
      <c r="E223" s="103" t="s">
        <v>199</v>
      </c>
      <c r="F223" s="103" t="s">
        <v>194</v>
      </c>
      <c r="G223" s="103" t="s">
        <v>195</v>
      </c>
      <c r="H223" s="103" t="s">
        <v>196</v>
      </c>
      <c r="I223" s="103" t="s">
        <v>3917</v>
      </c>
      <c r="J223" s="104" t="s">
        <v>1363</v>
      </c>
      <c r="K223" s="104" t="s">
        <v>1364</v>
      </c>
      <c r="L223" s="104" t="s">
        <v>1365</v>
      </c>
      <c r="M223" s="104" t="s">
        <v>1366</v>
      </c>
      <c r="N223" s="104" t="s">
        <v>1367</v>
      </c>
      <c r="O223" s="104" t="s">
        <v>1368</v>
      </c>
      <c r="P223" s="104" t="s">
        <v>1369</v>
      </c>
      <c r="Q223" s="104" t="s">
        <v>1375</v>
      </c>
      <c r="R223" s="104" t="s">
        <v>1370</v>
      </c>
      <c r="S223" s="104" t="s">
        <v>1371</v>
      </c>
      <c r="T223" s="104" t="s">
        <v>1372</v>
      </c>
      <c r="U223" s="104" t="s">
        <v>1373</v>
      </c>
      <c r="V223" s="104" t="s">
        <v>1374</v>
      </c>
    </row>
    <row r="224" spans="1:22">
      <c r="A224" s="93" t="s">
        <v>1295</v>
      </c>
      <c r="B224" s="93"/>
      <c r="C224" s="59" t="s">
        <v>695</v>
      </c>
      <c r="D224" s="60" t="s">
        <v>697</v>
      </c>
      <c r="E224" s="65" t="s">
        <v>305</v>
      </c>
      <c r="F224" s="65" t="s">
        <v>305</v>
      </c>
      <c r="G224" s="65" t="s">
        <v>305</v>
      </c>
      <c r="H224" s="46" t="s">
        <v>305</v>
      </c>
      <c r="I224" s="93" t="s">
        <v>3638</v>
      </c>
      <c r="J224" s="127">
        <v>0</v>
      </c>
      <c r="K224" s="127">
        <v>0</v>
      </c>
      <c r="L224" s="127">
        <v>0</v>
      </c>
      <c r="M224" s="127">
        <v>0</v>
      </c>
      <c r="N224" s="127">
        <v>0</v>
      </c>
      <c r="O224" s="127">
        <v>0</v>
      </c>
      <c r="P224" s="127">
        <v>0</v>
      </c>
      <c r="Q224" s="127">
        <v>0</v>
      </c>
      <c r="R224" s="127">
        <v>0</v>
      </c>
      <c r="S224" s="127">
        <v>0</v>
      </c>
      <c r="T224" s="127">
        <v>0</v>
      </c>
      <c r="U224" s="127">
        <v>0</v>
      </c>
      <c r="V224" s="128">
        <v>0</v>
      </c>
    </row>
    <row r="225" spans="1:22">
      <c r="A225" s="162" t="s">
        <v>1299</v>
      </c>
      <c r="B225" s="10"/>
      <c r="C225" s="59" t="s">
        <v>695</v>
      </c>
      <c r="D225" s="60" t="s">
        <v>697</v>
      </c>
      <c r="E225" s="46" t="s">
        <v>305</v>
      </c>
      <c r="F225" s="46" t="s">
        <v>305</v>
      </c>
      <c r="G225" s="59" t="s">
        <v>698</v>
      </c>
      <c r="H225" s="60" t="s">
        <v>696</v>
      </c>
      <c r="I225" s="10" t="s">
        <v>3638</v>
      </c>
      <c r="J225" s="127">
        <v>0</v>
      </c>
      <c r="K225" s="127">
        <v>0</v>
      </c>
      <c r="L225" s="127">
        <v>0</v>
      </c>
      <c r="M225" s="127">
        <v>0</v>
      </c>
      <c r="N225" s="127">
        <v>0</v>
      </c>
      <c r="O225" s="127">
        <v>0</v>
      </c>
      <c r="P225" s="127">
        <v>0</v>
      </c>
      <c r="Q225" s="127">
        <v>0</v>
      </c>
      <c r="R225" s="127">
        <v>0</v>
      </c>
      <c r="S225" s="127">
        <v>0</v>
      </c>
      <c r="T225" s="127">
        <v>0</v>
      </c>
      <c r="U225" s="127">
        <v>0</v>
      </c>
      <c r="V225" s="128">
        <v>0</v>
      </c>
    </row>
    <row r="226" spans="1:22">
      <c r="A226" s="101" t="s">
        <v>1146</v>
      </c>
      <c r="B226" s="102"/>
      <c r="C226" s="103" t="s">
        <v>197</v>
      </c>
      <c r="D226" s="103" t="s">
        <v>198</v>
      </c>
      <c r="E226" s="103" t="s">
        <v>199</v>
      </c>
      <c r="F226" s="103" t="s">
        <v>194</v>
      </c>
      <c r="G226" s="103" t="s">
        <v>195</v>
      </c>
      <c r="H226" s="103" t="s">
        <v>196</v>
      </c>
      <c r="I226" s="103" t="s">
        <v>3917</v>
      </c>
      <c r="J226" s="104" t="s">
        <v>1363</v>
      </c>
      <c r="K226" s="104" t="s">
        <v>1364</v>
      </c>
      <c r="L226" s="104" t="s">
        <v>1365</v>
      </c>
      <c r="M226" s="104" t="s">
        <v>1366</v>
      </c>
      <c r="N226" s="104" t="s">
        <v>1367</v>
      </c>
      <c r="O226" s="104" t="s">
        <v>1368</v>
      </c>
      <c r="P226" s="104" t="s">
        <v>1369</v>
      </c>
      <c r="Q226" s="104" t="s">
        <v>1375</v>
      </c>
      <c r="R226" s="104" t="s">
        <v>1370</v>
      </c>
      <c r="S226" s="104" t="s">
        <v>1371</v>
      </c>
      <c r="T226" s="104" t="s">
        <v>1372</v>
      </c>
      <c r="U226" s="104" t="s">
        <v>1373</v>
      </c>
      <c r="V226" s="104" t="s">
        <v>1374</v>
      </c>
    </row>
    <row r="227" spans="1:22">
      <c r="A227" s="162" t="s">
        <v>1300</v>
      </c>
      <c r="B227" s="93"/>
      <c r="C227" s="59" t="s">
        <v>695</v>
      </c>
      <c r="D227" s="60" t="s">
        <v>697</v>
      </c>
      <c r="E227" s="46" t="s">
        <v>305</v>
      </c>
      <c r="F227" s="46" t="s">
        <v>305</v>
      </c>
      <c r="G227" s="59" t="s">
        <v>695</v>
      </c>
      <c r="H227" s="46" t="s">
        <v>305</v>
      </c>
      <c r="I227" s="93">
        <v>7</v>
      </c>
      <c r="J227" s="127">
        <v>-0.1</v>
      </c>
      <c r="K227" s="127">
        <v>0.1</v>
      </c>
      <c r="L227" s="127">
        <v>0.05</v>
      </c>
      <c r="M227" s="127">
        <v>0.1</v>
      </c>
      <c r="N227" s="127">
        <v>0.1</v>
      </c>
      <c r="O227" s="127">
        <v>0</v>
      </c>
      <c r="P227" s="127">
        <v>0</v>
      </c>
      <c r="Q227" s="127">
        <v>0</v>
      </c>
      <c r="R227" s="127">
        <v>0</v>
      </c>
      <c r="S227" s="127">
        <v>0</v>
      </c>
      <c r="T227" s="127">
        <v>0</v>
      </c>
      <c r="U227" s="127">
        <v>0</v>
      </c>
      <c r="V227" s="128">
        <v>0</v>
      </c>
    </row>
    <row r="228" spans="1:22">
      <c r="A228" s="162" t="s">
        <v>1301</v>
      </c>
      <c r="B228" s="10"/>
      <c r="C228" s="60" t="s">
        <v>697</v>
      </c>
      <c r="D228" s="46" t="s">
        <v>305</v>
      </c>
      <c r="E228" s="60" t="s">
        <v>696</v>
      </c>
      <c r="F228" s="46" t="s">
        <v>305</v>
      </c>
      <c r="G228" s="59" t="s">
        <v>698</v>
      </c>
      <c r="H228" s="59" t="s">
        <v>698</v>
      </c>
      <c r="I228" s="10">
        <v>5</v>
      </c>
      <c r="J228" s="127">
        <v>-0.05</v>
      </c>
      <c r="K228" s="127">
        <v>-0.1</v>
      </c>
      <c r="L228" s="127">
        <v>0.05</v>
      </c>
      <c r="M228" s="127">
        <v>0.05</v>
      </c>
      <c r="N228" s="127">
        <v>0.05</v>
      </c>
      <c r="O228" s="127">
        <v>0.05</v>
      </c>
      <c r="P228" s="127">
        <v>0</v>
      </c>
      <c r="Q228" s="127">
        <v>-0.1</v>
      </c>
      <c r="R228" s="127">
        <v>0</v>
      </c>
      <c r="S228" s="127">
        <v>0</v>
      </c>
      <c r="T228" s="127">
        <v>0</v>
      </c>
      <c r="U228" s="127">
        <v>0</v>
      </c>
      <c r="V228" s="128">
        <v>0</v>
      </c>
    </row>
    <row r="229" spans="1:22">
      <c r="A229" s="162" t="s">
        <v>1302</v>
      </c>
      <c r="B229" s="93"/>
      <c r="C229" s="60" t="s">
        <v>696</v>
      </c>
      <c r="D229" s="46" t="s">
        <v>305</v>
      </c>
      <c r="E229" s="46" t="s">
        <v>305</v>
      </c>
      <c r="F229" s="46" t="s">
        <v>305</v>
      </c>
      <c r="G229" s="59" t="s">
        <v>695</v>
      </c>
      <c r="H229" s="46" t="s">
        <v>305</v>
      </c>
      <c r="I229" s="93">
        <v>5</v>
      </c>
      <c r="J229" s="127">
        <v>-0.05</v>
      </c>
      <c r="K229" s="127">
        <v>-0.05</v>
      </c>
      <c r="L229" s="127">
        <v>0</v>
      </c>
      <c r="M229" s="127">
        <v>0.05</v>
      </c>
      <c r="N229" s="127">
        <v>0.05</v>
      </c>
      <c r="O229" s="127">
        <v>0.05</v>
      </c>
      <c r="P229" s="127">
        <v>-0.05</v>
      </c>
      <c r="Q229" s="127">
        <v>-0.05</v>
      </c>
      <c r="R229" s="127">
        <v>0</v>
      </c>
      <c r="S229" s="127">
        <v>0</v>
      </c>
      <c r="T229" s="127">
        <v>0</v>
      </c>
      <c r="U229" s="127">
        <v>0</v>
      </c>
      <c r="V229" s="128">
        <v>0</v>
      </c>
    </row>
    <row r="230" spans="1:22">
      <c r="A230" s="162" t="s">
        <v>1303</v>
      </c>
      <c r="B230" s="10"/>
      <c r="C230" s="59" t="s">
        <v>695</v>
      </c>
      <c r="D230" s="46" t="s">
        <v>710</v>
      </c>
      <c r="E230" s="46" t="s">
        <v>305</v>
      </c>
      <c r="F230" s="46" t="s">
        <v>305</v>
      </c>
      <c r="G230" s="46" t="s">
        <v>710</v>
      </c>
      <c r="H230" s="46" t="s">
        <v>305</v>
      </c>
      <c r="I230" s="10">
        <v>9</v>
      </c>
      <c r="J230" s="127">
        <v>0</v>
      </c>
      <c r="K230" s="127">
        <v>-0.2</v>
      </c>
      <c r="L230" s="127">
        <v>0.05</v>
      </c>
      <c r="M230" s="127">
        <v>0.1</v>
      </c>
      <c r="N230" s="127">
        <v>0</v>
      </c>
      <c r="O230" s="127">
        <v>0.05</v>
      </c>
      <c r="P230" s="127">
        <v>-0.05</v>
      </c>
      <c r="Q230" s="127">
        <v>0</v>
      </c>
      <c r="R230" s="127">
        <v>0</v>
      </c>
      <c r="S230" s="127">
        <v>0</v>
      </c>
      <c r="T230" s="127">
        <v>0</v>
      </c>
      <c r="U230" s="127">
        <v>0</v>
      </c>
      <c r="V230" s="128">
        <v>0</v>
      </c>
    </row>
    <row r="231" spans="1:22">
      <c r="A231" s="101" t="s">
        <v>1332</v>
      </c>
      <c r="B231" s="102"/>
      <c r="C231" s="103" t="s">
        <v>197</v>
      </c>
      <c r="D231" s="103" t="s">
        <v>198</v>
      </c>
      <c r="E231" s="103" t="s">
        <v>199</v>
      </c>
      <c r="F231" s="103" t="s">
        <v>194</v>
      </c>
      <c r="G231" s="103" t="s">
        <v>195</v>
      </c>
      <c r="H231" s="103" t="s">
        <v>196</v>
      </c>
      <c r="I231" s="103" t="s">
        <v>3917</v>
      </c>
      <c r="J231" s="104" t="s">
        <v>1363</v>
      </c>
      <c r="K231" s="104" t="s">
        <v>1364</v>
      </c>
      <c r="L231" s="104" t="s">
        <v>1365</v>
      </c>
      <c r="M231" s="104" t="s">
        <v>1366</v>
      </c>
      <c r="N231" s="104" t="s">
        <v>1367</v>
      </c>
      <c r="O231" s="104" t="s">
        <v>1368</v>
      </c>
      <c r="P231" s="104" t="s">
        <v>1369</v>
      </c>
      <c r="Q231" s="104" t="s">
        <v>1375</v>
      </c>
      <c r="R231" s="104" t="s">
        <v>1370</v>
      </c>
      <c r="S231" s="104" t="s">
        <v>1371</v>
      </c>
      <c r="T231" s="104" t="s">
        <v>1372</v>
      </c>
      <c r="U231" s="104" t="s">
        <v>1373</v>
      </c>
      <c r="V231" s="104" t="s">
        <v>1374</v>
      </c>
    </row>
    <row r="232" spans="1:22">
      <c r="A232" s="162" t="s">
        <v>1295</v>
      </c>
      <c r="B232" s="93"/>
      <c r="C232" s="46" t="s">
        <v>305</v>
      </c>
      <c r="D232" s="46" t="s">
        <v>305</v>
      </c>
      <c r="E232" s="46" t="s">
        <v>305</v>
      </c>
      <c r="F232" s="46" t="s">
        <v>305</v>
      </c>
      <c r="G232" s="46" t="s">
        <v>305</v>
      </c>
      <c r="H232" s="46" t="s">
        <v>305</v>
      </c>
      <c r="I232" s="93">
        <v>5</v>
      </c>
      <c r="J232" s="127">
        <v>-0.05</v>
      </c>
      <c r="K232" s="127">
        <v>-0.05</v>
      </c>
      <c r="L232" s="127">
        <v>0</v>
      </c>
      <c r="M232" s="127">
        <v>0.05</v>
      </c>
      <c r="N232" s="127">
        <v>0.05</v>
      </c>
      <c r="O232" s="127">
        <v>0.05</v>
      </c>
      <c r="P232" s="127">
        <v>-0.05</v>
      </c>
      <c r="Q232" s="127">
        <v>-0.05</v>
      </c>
      <c r="R232" s="127">
        <v>0</v>
      </c>
      <c r="S232" s="127">
        <v>0</v>
      </c>
      <c r="T232" s="127">
        <v>0</v>
      </c>
      <c r="U232" s="127">
        <v>0</v>
      </c>
      <c r="V232" s="128">
        <v>0</v>
      </c>
    </row>
    <row r="233" spans="1:22">
      <c r="A233" s="162" t="s">
        <v>1304</v>
      </c>
      <c r="B233" s="10"/>
      <c r="C233" s="60" t="s">
        <v>697</v>
      </c>
      <c r="D233" s="46" t="s">
        <v>305</v>
      </c>
      <c r="E233" s="60" t="s">
        <v>697</v>
      </c>
      <c r="F233" s="59" t="s">
        <v>698</v>
      </c>
      <c r="G233" s="46" t="s">
        <v>305</v>
      </c>
      <c r="H233" s="59" t="s">
        <v>698</v>
      </c>
      <c r="I233" s="10" t="s">
        <v>3912</v>
      </c>
      <c r="J233" s="127">
        <v>-0.05</v>
      </c>
      <c r="K233" s="127">
        <v>-0.05</v>
      </c>
      <c r="L233" s="127">
        <v>0</v>
      </c>
      <c r="M233" s="127">
        <v>0.05</v>
      </c>
      <c r="N233" s="127">
        <v>0.05</v>
      </c>
      <c r="O233" s="127">
        <v>0.05</v>
      </c>
      <c r="P233" s="127">
        <v>-0.05</v>
      </c>
      <c r="Q233" s="127">
        <v>-0.05</v>
      </c>
      <c r="R233" s="127">
        <v>0</v>
      </c>
      <c r="S233" s="127">
        <v>0</v>
      </c>
      <c r="T233" s="127">
        <v>0</v>
      </c>
      <c r="U233" s="127">
        <v>0</v>
      </c>
      <c r="V233" s="128">
        <v>0</v>
      </c>
    </row>
    <row r="234" spans="1:22">
      <c r="A234" s="162" t="s">
        <v>1305</v>
      </c>
      <c r="B234" s="93"/>
      <c r="C234" s="60" t="s">
        <v>696</v>
      </c>
      <c r="D234" s="46" t="s">
        <v>305</v>
      </c>
      <c r="E234" s="60" t="s">
        <v>696</v>
      </c>
      <c r="F234" s="59" t="s">
        <v>695</v>
      </c>
      <c r="G234" s="46" t="s">
        <v>305</v>
      </c>
      <c r="H234" s="59" t="s">
        <v>695</v>
      </c>
      <c r="I234" s="93">
        <v>7</v>
      </c>
      <c r="J234" s="127">
        <v>-0.05</v>
      </c>
      <c r="K234" s="127">
        <v>-0.05</v>
      </c>
      <c r="L234" s="127">
        <v>0</v>
      </c>
      <c r="M234" s="127">
        <v>0.05</v>
      </c>
      <c r="N234" s="127">
        <v>0.05</v>
      </c>
      <c r="O234" s="127">
        <v>0.05</v>
      </c>
      <c r="P234" s="127">
        <v>-0.05</v>
      </c>
      <c r="Q234" s="127">
        <v>-0.05</v>
      </c>
      <c r="R234" s="127">
        <v>0</v>
      </c>
      <c r="S234" s="127">
        <v>0</v>
      </c>
      <c r="T234" s="127">
        <v>0</v>
      </c>
      <c r="U234" s="127">
        <v>0</v>
      </c>
      <c r="V234" s="128">
        <v>0</v>
      </c>
    </row>
    <row r="235" spans="1:22">
      <c r="A235" s="162" t="s">
        <v>1306</v>
      </c>
      <c r="B235" s="10"/>
      <c r="C235" s="60" t="s">
        <v>700</v>
      </c>
      <c r="D235" s="46" t="s">
        <v>305</v>
      </c>
      <c r="E235" s="60" t="s">
        <v>697</v>
      </c>
      <c r="F235" s="59" t="s">
        <v>698</v>
      </c>
      <c r="G235" s="59" t="s">
        <v>695</v>
      </c>
      <c r="H235" s="59" t="s">
        <v>698</v>
      </c>
      <c r="I235" s="10" t="s">
        <v>3912</v>
      </c>
      <c r="J235" s="127">
        <v>-0.05</v>
      </c>
      <c r="K235" s="127">
        <v>-0.05</v>
      </c>
      <c r="L235" s="127">
        <v>0</v>
      </c>
      <c r="M235" s="127">
        <v>0.05</v>
      </c>
      <c r="N235" s="127">
        <v>0.05</v>
      </c>
      <c r="O235" s="127">
        <v>0.05</v>
      </c>
      <c r="P235" s="127">
        <v>-0.05</v>
      </c>
      <c r="Q235" s="127">
        <v>-0.05</v>
      </c>
      <c r="R235" s="127">
        <v>0</v>
      </c>
      <c r="S235" s="127">
        <v>0</v>
      </c>
      <c r="T235" s="127">
        <v>0</v>
      </c>
      <c r="U235" s="127">
        <v>0</v>
      </c>
      <c r="V235" s="128">
        <v>0</v>
      </c>
    </row>
    <row r="236" spans="1:22">
      <c r="A236" s="162" t="s">
        <v>1307</v>
      </c>
      <c r="B236" s="93"/>
      <c r="C236" s="46" t="s">
        <v>305</v>
      </c>
      <c r="D236" s="46" t="s">
        <v>305</v>
      </c>
      <c r="E236" s="46" t="s">
        <v>305</v>
      </c>
      <c r="F236" s="46" t="s">
        <v>305</v>
      </c>
      <c r="G236" s="46" t="s">
        <v>305</v>
      </c>
      <c r="H236" s="46" t="s">
        <v>305</v>
      </c>
      <c r="I236" s="93" t="s">
        <v>3912</v>
      </c>
      <c r="J236" s="127">
        <v>-0.05</v>
      </c>
      <c r="K236" s="127">
        <v>-0.05</v>
      </c>
      <c r="L236" s="127">
        <v>0</v>
      </c>
      <c r="M236" s="127">
        <v>0.05</v>
      </c>
      <c r="N236" s="127">
        <v>0.05</v>
      </c>
      <c r="O236" s="127">
        <v>0.05</v>
      </c>
      <c r="P236" s="127">
        <v>-0.05</v>
      </c>
      <c r="Q236" s="127">
        <v>-0.05</v>
      </c>
      <c r="R236" s="127">
        <v>0</v>
      </c>
      <c r="S236" s="127">
        <v>0</v>
      </c>
      <c r="T236" s="127">
        <v>0</v>
      </c>
      <c r="U236" s="127">
        <v>0</v>
      </c>
      <c r="V236" s="128">
        <v>0</v>
      </c>
    </row>
    <row r="237" spans="1:22">
      <c r="A237" s="162" t="s">
        <v>1308</v>
      </c>
      <c r="B237" s="10"/>
      <c r="C237" s="59" t="s">
        <v>695</v>
      </c>
      <c r="D237" s="60" t="s">
        <v>700</v>
      </c>
      <c r="E237" s="59" t="s">
        <v>695</v>
      </c>
      <c r="F237" s="46" t="s">
        <v>305</v>
      </c>
      <c r="G237" s="59" t="s">
        <v>695</v>
      </c>
      <c r="H237" s="46" t="s">
        <v>305</v>
      </c>
      <c r="I237" s="10" t="s">
        <v>3912</v>
      </c>
      <c r="J237" s="127">
        <v>0.15</v>
      </c>
      <c r="K237" s="127">
        <v>-0.1</v>
      </c>
      <c r="L237" s="127">
        <v>-0.1</v>
      </c>
      <c r="M237" s="127">
        <v>0.05</v>
      </c>
      <c r="N237" s="127">
        <v>0.05</v>
      </c>
      <c r="O237" s="127">
        <v>-0.05</v>
      </c>
      <c r="P237" s="127">
        <v>0.95</v>
      </c>
      <c r="Q237" s="127">
        <v>-0.2</v>
      </c>
      <c r="R237" s="127">
        <v>0</v>
      </c>
      <c r="S237" s="127">
        <v>0</v>
      </c>
      <c r="T237" s="127">
        <v>0</v>
      </c>
      <c r="U237" s="127">
        <v>0</v>
      </c>
      <c r="V237" s="128">
        <v>0</v>
      </c>
    </row>
    <row r="238" spans="1:22">
      <c r="A238" s="162" t="s">
        <v>1309</v>
      </c>
      <c r="B238" s="93"/>
      <c r="C238" s="60" t="s">
        <v>696</v>
      </c>
      <c r="D238" s="46" t="s">
        <v>305</v>
      </c>
      <c r="E238" s="60" t="s">
        <v>696</v>
      </c>
      <c r="F238" s="59" t="s">
        <v>695</v>
      </c>
      <c r="G238" s="46" t="s">
        <v>305</v>
      </c>
      <c r="H238" s="59" t="s">
        <v>695</v>
      </c>
      <c r="I238" s="93" t="s">
        <v>3912</v>
      </c>
      <c r="J238" s="127">
        <v>-0.05</v>
      </c>
      <c r="K238" s="127">
        <v>-0.05</v>
      </c>
      <c r="L238" s="127">
        <v>0</v>
      </c>
      <c r="M238" s="127">
        <v>0.05</v>
      </c>
      <c r="N238" s="127">
        <v>0.05</v>
      </c>
      <c r="O238" s="127">
        <v>0.05</v>
      </c>
      <c r="P238" s="127">
        <v>-0.05</v>
      </c>
      <c r="Q238" s="127">
        <v>-0.05</v>
      </c>
      <c r="R238" s="127">
        <v>0</v>
      </c>
      <c r="S238" s="127">
        <v>0</v>
      </c>
      <c r="T238" s="127">
        <v>0</v>
      </c>
      <c r="U238" s="127">
        <v>0</v>
      </c>
      <c r="V238" s="128">
        <v>0</v>
      </c>
    </row>
    <row r="239" spans="1:22">
      <c r="A239" s="162" t="s">
        <v>1310</v>
      </c>
      <c r="B239" s="10"/>
      <c r="C239" s="46" t="s">
        <v>305</v>
      </c>
      <c r="D239" s="60" t="s">
        <v>697</v>
      </c>
      <c r="E239" s="46" t="s">
        <v>305</v>
      </c>
      <c r="F239" s="59" t="s">
        <v>698</v>
      </c>
      <c r="G239" s="46" t="s">
        <v>305</v>
      </c>
      <c r="H239" s="46" t="s">
        <v>305</v>
      </c>
      <c r="I239" s="10" t="s">
        <v>3912</v>
      </c>
      <c r="J239" s="127">
        <v>0.1</v>
      </c>
      <c r="K239" s="127">
        <v>-0.05</v>
      </c>
      <c r="L239" s="127">
        <v>-0.05</v>
      </c>
      <c r="M239" s="127">
        <v>-0.05</v>
      </c>
      <c r="N239" s="127">
        <v>0.05</v>
      </c>
      <c r="O239" s="127">
        <v>-0.05</v>
      </c>
      <c r="P239" s="127">
        <v>0.3</v>
      </c>
      <c r="Q239" s="127">
        <v>-0.25</v>
      </c>
      <c r="R239" s="127">
        <v>0</v>
      </c>
      <c r="S239" s="127">
        <v>0</v>
      </c>
      <c r="T239" s="127">
        <v>0</v>
      </c>
      <c r="U239" s="127">
        <v>0</v>
      </c>
      <c r="V239" s="128">
        <v>0</v>
      </c>
    </row>
    <row r="240" spans="1:22">
      <c r="A240" s="162" t="s">
        <v>1311</v>
      </c>
      <c r="B240" s="93"/>
      <c r="C240" s="46" t="s">
        <v>305</v>
      </c>
      <c r="D240" s="60" t="s">
        <v>700</v>
      </c>
      <c r="E240" s="46" t="s">
        <v>305</v>
      </c>
      <c r="F240" s="46" t="s">
        <v>305</v>
      </c>
      <c r="G240" s="59" t="s">
        <v>695</v>
      </c>
      <c r="H240" s="59" t="s">
        <v>698</v>
      </c>
      <c r="I240" s="93" t="s">
        <v>3912</v>
      </c>
      <c r="J240" s="127">
        <v>-0.05</v>
      </c>
      <c r="K240" s="127">
        <v>-0.05</v>
      </c>
      <c r="L240" s="127">
        <v>0</v>
      </c>
      <c r="M240" s="127">
        <v>0.05</v>
      </c>
      <c r="N240" s="127">
        <v>0.05</v>
      </c>
      <c r="O240" s="127">
        <v>0.05</v>
      </c>
      <c r="P240" s="127">
        <v>-0.05</v>
      </c>
      <c r="Q240" s="127">
        <v>-0.05</v>
      </c>
      <c r="R240" s="127">
        <v>0</v>
      </c>
      <c r="S240" s="127">
        <v>0</v>
      </c>
      <c r="T240" s="127">
        <v>0</v>
      </c>
      <c r="U240" s="127">
        <v>0</v>
      </c>
      <c r="V240" s="128">
        <v>0</v>
      </c>
    </row>
    <row r="241" spans="1:22">
      <c r="A241" s="162" t="s">
        <v>1312</v>
      </c>
      <c r="B241" s="10"/>
      <c r="C241" s="60" t="s">
        <v>696</v>
      </c>
      <c r="D241" s="60" t="s">
        <v>696</v>
      </c>
      <c r="E241" s="46" t="s">
        <v>305</v>
      </c>
      <c r="F241" s="46" t="s">
        <v>305</v>
      </c>
      <c r="G241" s="46" t="s">
        <v>305</v>
      </c>
      <c r="H241" s="59" t="s">
        <v>698</v>
      </c>
      <c r="I241" s="10" t="s">
        <v>3912</v>
      </c>
      <c r="J241" s="127">
        <v>-0.05</v>
      </c>
      <c r="K241" s="127">
        <v>-0.05</v>
      </c>
      <c r="L241" s="127">
        <v>0</v>
      </c>
      <c r="M241" s="127">
        <v>0.05</v>
      </c>
      <c r="N241" s="127">
        <v>0.05</v>
      </c>
      <c r="O241" s="127">
        <v>0.05</v>
      </c>
      <c r="P241" s="127">
        <v>-0.05</v>
      </c>
      <c r="Q241" s="127">
        <v>-0.05</v>
      </c>
      <c r="R241" s="127">
        <v>0</v>
      </c>
      <c r="S241" s="127">
        <v>0</v>
      </c>
      <c r="T241" s="127">
        <v>0</v>
      </c>
      <c r="U241" s="127">
        <v>0</v>
      </c>
      <c r="V241" s="128">
        <v>0</v>
      </c>
    </row>
    <row r="242" spans="1:22">
      <c r="A242" s="162" t="s">
        <v>1313</v>
      </c>
      <c r="B242" s="93"/>
      <c r="C242" s="46" t="s">
        <v>305</v>
      </c>
      <c r="D242" s="46" t="s">
        <v>305</v>
      </c>
      <c r="E242" s="46" t="s">
        <v>305</v>
      </c>
      <c r="F242" s="46" t="s">
        <v>305</v>
      </c>
      <c r="G242" s="46" t="s">
        <v>305</v>
      </c>
      <c r="H242" s="46" t="s">
        <v>305</v>
      </c>
      <c r="I242" s="93" t="s">
        <v>3912</v>
      </c>
      <c r="J242" s="127">
        <v>-0.05</v>
      </c>
      <c r="K242" s="127">
        <v>-0.05</v>
      </c>
      <c r="L242" s="127">
        <v>0</v>
      </c>
      <c r="M242" s="127">
        <v>0.05</v>
      </c>
      <c r="N242" s="127">
        <v>0.05</v>
      </c>
      <c r="O242" s="127">
        <v>0.05</v>
      </c>
      <c r="P242" s="127">
        <v>-0.05</v>
      </c>
      <c r="Q242" s="127">
        <v>-0.05</v>
      </c>
      <c r="R242" s="127">
        <v>0</v>
      </c>
      <c r="S242" s="127">
        <v>0</v>
      </c>
      <c r="T242" s="127">
        <v>0</v>
      </c>
      <c r="U242" s="127">
        <v>0</v>
      </c>
      <c r="V242" s="128">
        <v>0</v>
      </c>
    </row>
    <row r="243" spans="1:22">
      <c r="A243" s="101" t="s">
        <v>612</v>
      </c>
      <c r="B243" s="102"/>
      <c r="C243" s="103" t="s">
        <v>197</v>
      </c>
      <c r="D243" s="103" t="s">
        <v>198</v>
      </c>
      <c r="E243" s="103" t="s">
        <v>199</v>
      </c>
      <c r="F243" s="103" t="s">
        <v>194</v>
      </c>
      <c r="G243" s="103" t="s">
        <v>195</v>
      </c>
      <c r="H243" s="103" t="s">
        <v>196</v>
      </c>
      <c r="I243" s="103" t="s">
        <v>3917</v>
      </c>
      <c r="J243" s="104" t="s">
        <v>1363</v>
      </c>
      <c r="K243" s="104" t="s">
        <v>1364</v>
      </c>
      <c r="L243" s="104" t="s">
        <v>1365</v>
      </c>
      <c r="M243" s="104" t="s">
        <v>1366</v>
      </c>
      <c r="N243" s="104" t="s">
        <v>1367</v>
      </c>
      <c r="O243" s="104" t="s">
        <v>1368</v>
      </c>
      <c r="P243" s="104" t="s">
        <v>1369</v>
      </c>
      <c r="Q243" s="104" t="s">
        <v>1375</v>
      </c>
      <c r="R243" s="104" t="s">
        <v>1370</v>
      </c>
      <c r="S243" s="104" t="s">
        <v>1371</v>
      </c>
      <c r="T243" s="104" t="s">
        <v>1372</v>
      </c>
      <c r="U243" s="104" t="s">
        <v>1373</v>
      </c>
      <c r="V243" s="104" t="s">
        <v>1374</v>
      </c>
    </row>
    <row r="244" spans="1:22">
      <c r="A244" s="93" t="s">
        <v>1295</v>
      </c>
      <c r="B244" s="93"/>
      <c r="C244" s="46" t="s">
        <v>305</v>
      </c>
      <c r="D244" s="60" t="s">
        <v>696</v>
      </c>
      <c r="E244" s="59" t="s">
        <v>695</v>
      </c>
      <c r="F244" s="46" t="s">
        <v>305</v>
      </c>
      <c r="G244" s="46" t="s">
        <v>305</v>
      </c>
      <c r="H244" s="46" t="s">
        <v>305</v>
      </c>
      <c r="I244" s="93" t="s">
        <v>3638</v>
      </c>
      <c r="J244" s="127">
        <v>0</v>
      </c>
      <c r="K244" s="127">
        <v>0</v>
      </c>
      <c r="L244" s="127">
        <v>0</v>
      </c>
      <c r="M244" s="127">
        <v>0</v>
      </c>
      <c r="N244" s="127">
        <v>0</v>
      </c>
      <c r="O244" s="127">
        <v>0</v>
      </c>
      <c r="P244" s="127">
        <v>0</v>
      </c>
      <c r="Q244" s="127">
        <v>0</v>
      </c>
      <c r="R244" s="127">
        <v>0</v>
      </c>
      <c r="S244" s="127">
        <v>0</v>
      </c>
      <c r="T244" s="127">
        <v>0</v>
      </c>
      <c r="U244" s="127">
        <v>0</v>
      </c>
      <c r="V244" s="128">
        <v>0</v>
      </c>
    </row>
    <row r="245" spans="1:22">
      <c r="A245" s="10" t="s">
        <v>1314</v>
      </c>
      <c r="B245" s="10"/>
      <c r="C245" s="46" t="s">
        <v>305</v>
      </c>
      <c r="D245" s="46" t="s">
        <v>305</v>
      </c>
      <c r="E245" s="60" t="s">
        <v>696</v>
      </c>
      <c r="F245" s="46" t="s">
        <v>305</v>
      </c>
      <c r="G245" s="59" t="s">
        <v>695</v>
      </c>
      <c r="H245" s="46" t="s">
        <v>305</v>
      </c>
      <c r="I245" s="10" t="s">
        <v>3638</v>
      </c>
      <c r="J245" s="127">
        <v>0</v>
      </c>
      <c r="K245" s="127">
        <v>0</v>
      </c>
      <c r="L245" s="127">
        <v>0</v>
      </c>
      <c r="M245" s="127">
        <v>0</v>
      </c>
      <c r="N245" s="127">
        <v>0</v>
      </c>
      <c r="O245" s="127">
        <v>0</v>
      </c>
      <c r="P245" s="127">
        <v>0</v>
      </c>
      <c r="Q245" s="127">
        <v>0</v>
      </c>
      <c r="R245" s="127">
        <v>0</v>
      </c>
      <c r="S245" s="127">
        <v>0</v>
      </c>
      <c r="T245" s="127">
        <v>0</v>
      </c>
      <c r="U245" s="127">
        <v>0</v>
      </c>
      <c r="V245" s="128">
        <v>0</v>
      </c>
    </row>
    <row r="246" spans="1:22">
      <c r="A246" s="101" t="s">
        <v>609</v>
      </c>
      <c r="B246" s="102"/>
      <c r="C246" s="103" t="s">
        <v>197</v>
      </c>
      <c r="D246" s="103" t="s">
        <v>198</v>
      </c>
      <c r="E246" s="103" t="s">
        <v>199</v>
      </c>
      <c r="F246" s="103" t="s">
        <v>194</v>
      </c>
      <c r="G246" s="103" t="s">
        <v>195</v>
      </c>
      <c r="H246" s="103" t="s">
        <v>196</v>
      </c>
      <c r="I246" s="103" t="s">
        <v>3917</v>
      </c>
      <c r="J246" s="104" t="s">
        <v>1363</v>
      </c>
      <c r="K246" s="104" t="s">
        <v>1364</v>
      </c>
      <c r="L246" s="104" t="s">
        <v>1365</v>
      </c>
      <c r="M246" s="104" t="s">
        <v>1366</v>
      </c>
      <c r="N246" s="104" t="s">
        <v>1367</v>
      </c>
      <c r="O246" s="104" t="s">
        <v>1368</v>
      </c>
      <c r="P246" s="104" t="s">
        <v>1369</v>
      </c>
      <c r="Q246" s="104" t="s">
        <v>1375</v>
      </c>
      <c r="R246" s="104" t="s">
        <v>1370</v>
      </c>
      <c r="S246" s="104" t="s">
        <v>1371</v>
      </c>
      <c r="T246" s="104" t="s">
        <v>1372</v>
      </c>
      <c r="U246" s="104" t="s">
        <v>1373</v>
      </c>
      <c r="V246" s="104" t="s">
        <v>1374</v>
      </c>
    </row>
    <row r="247" spans="1:22">
      <c r="A247" s="93" t="s">
        <v>1295</v>
      </c>
      <c r="B247" s="93"/>
      <c r="C247" s="46" t="s">
        <v>305</v>
      </c>
      <c r="D247" s="46" t="s">
        <v>305</v>
      </c>
      <c r="E247" s="59" t="s">
        <v>695</v>
      </c>
      <c r="F247" s="60" t="s">
        <v>696</v>
      </c>
      <c r="G247" s="46" t="s">
        <v>305</v>
      </c>
      <c r="H247" s="46" t="s">
        <v>305</v>
      </c>
      <c r="I247" s="93">
        <v>6</v>
      </c>
      <c r="J247" s="127">
        <v>0</v>
      </c>
      <c r="K247" s="127">
        <v>0</v>
      </c>
      <c r="L247" s="127">
        <v>0</v>
      </c>
      <c r="M247" s="127">
        <v>0</v>
      </c>
      <c r="N247" s="127">
        <v>0</v>
      </c>
      <c r="O247" s="127">
        <v>0</v>
      </c>
      <c r="P247" s="127">
        <v>0</v>
      </c>
      <c r="Q247" s="127">
        <v>0</v>
      </c>
      <c r="R247" s="127">
        <v>0</v>
      </c>
      <c r="S247" s="127">
        <v>0</v>
      </c>
      <c r="T247" s="127">
        <v>0</v>
      </c>
      <c r="U247" s="127">
        <v>0</v>
      </c>
      <c r="V247" s="128">
        <v>0</v>
      </c>
    </row>
    <row r="248" spans="1:22">
      <c r="A248" s="162" t="s">
        <v>3063</v>
      </c>
      <c r="B248" s="10"/>
      <c r="C248" s="46" t="s">
        <v>305</v>
      </c>
      <c r="D248" s="46" t="s">
        <v>305</v>
      </c>
      <c r="E248" s="60" t="s">
        <v>696</v>
      </c>
      <c r="F248" s="59" t="s">
        <v>695</v>
      </c>
      <c r="G248" s="46" t="s">
        <v>305</v>
      </c>
      <c r="H248" s="46" t="s">
        <v>305</v>
      </c>
      <c r="I248" s="10">
        <v>6</v>
      </c>
      <c r="J248" s="127">
        <v>0</v>
      </c>
      <c r="K248" s="127">
        <v>0</v>
      </c>
      <c r="L248" s="127">
        <v>0</v>
      </c>
      <c r="M248" s="127">
        <v>0</v>
      </c>
      <c r="N248" s="127">
        <v>0</v>
      </c>
      <c r="O248" s="127">
        <v>0</v>
      </c>
      <c r="P248" s="127">
        <v>0</v>
      </c>
      <c r="Q248" s="127">
        <v>0</v>
      </c>
      <c r="R248" s="127">
        <v>0</v>
      </c>
      <c r="S248" s="127">
        <v>0</v>
      </c>
      <c r="T248" s="127">
        <v>0</v>
      </c>
      <c r="U248" s="127">
        <v>0</v>
      </c>
      <c r="V248" s="128">
        <v>0</v>
      </c>
    </row>
    <row r="249" spans="1:22">
      <c r="A249" s="101" t="s">
        <v>616</v>
      </c>
      <c r="B249" s="102"/>
      <c r="C249" s="103" t="s">
        <v>197</v>
      </c>
      <c r="D249" s="103" t="s">
        <v>198</v>
      </c>
      <c r="E249" s="103" t="s">
        <v>199</v>
      </c>
      <c r="F249" s="103" t="s">
        <v>194</v>
      </c>
      <c r="G249" s="103" t="s">
        <v>195</v>
      </c>
      <c r="H249" s="103" t="s">
        <v>196</v>
      </c>
      <c r="I249" s="103" t="s">
        <v>3917</v>
      </c>
      <c r="J249" s="104" t="s">
        <v>1363</v>
      </c>
      <c r="K249" s="104" t="s">
        <v>1364</v>
      </c>
      <c r="L249" s="104" t="s">
        <v>1365</v>
      </c>
      <c r="M249" s="104" t="s">
        <v>1366</v>
      </c>
      <c r="N249" s="104" t="s">
        <v>1367</v>
      </c>
      <c r="O249" s="104" t="s">
        <v>1368</v>
      </c>
      <c r="P249" s="104" t="s">
        <v>1369</v>
      </c>
      <c r="Q249" s="104" t="s">
        <v>1375</v>
      </c>
      <c r="R249" s="104" t="s">
        <v>1370</v>
      </c>
      <c r="S249" s="104" t="s">
        <v>1371</v>
      </c>
      <c r="T249" s="104" t="s">
        <v>1372</v>
      </c>
      <c r="U249" s="104" t="s">
        <v>1373</v>
      </c>
      <c r="V249" s="104" t="s">
        <v>1374</v>
      </c>
    </row>
    <row r="250" spans="1:22">
      <c r="A250" s="93" t="s">
        <v>1295</v>
      </c>
      <c r="B250" s="93"/>
      <c r="C250" s="46" t="s">
        <v>305</v>
      </c>
      <c r="D250" s="46" t="s">
        <v>305</v>
      </c>
      <c r="E250" s="46" t="s">
        <v>305</v>
      </c>
      <c r="F250" s="46" t="s">
        <v>305</v>
      </c>
      <c r="G250" s="46" t="s">
        <v>305</v>
      </c>
      <c r="H250" s="46" t="s">
        <v>305</v>
      </c>
      <c r="I250" s="93">
        <v>7</v>
      </c>
      <c r="J250" s="127">
        <v>0</v>
      </c>
      <c r="K250" s="127">
        <v>0</v>
      </c>
      <c r="L250" s="127">
        <v>0</v>
      </c>
      <c r="M250" s="127">
        <v>0</v>
      </c>
      <c r="N250" s="127">
        <v>0</v>
      </c>
      <c r="O250" s="127">
        <v>0</v>
      </c>
      <c r="P250" s="127">
        <v>0</v>
      </c>
      <c r="Q250" s="127">
        <v>0</v>
      </c>
      <c r="R250" s="127">
        <v>0</v>
      </c>
      <c r="S250" s="127">
        <v>0</v>
      </c>
      <c r="T250" s="127">
        <v>0</v>
      </c>
      <c r="U250" s="127">
        <v>0</v>
      </c>
      <c r="V250" s="128">
        <v>0</v>
      </c>
    </row>
    <row r="251" spans="1:22">
      <c r="A251" s="162" t="s">
        <v>1315</v>
      </c>
      <c r="B251" s="10"/>
      <c r="C251" s="46" t="s">
        <v>305</v>
      </c>
      <c r="D251" s="60" t="s">
        <v>696</v>
      </c>
      <c r="E251" s="46" t="s">
        <v>305</v>
      </c>
      <c r="F251" s="59" t="s">
        <v>695</v>
      </c>
      <c r="G251" s="46" t="s">
        <v>305</v>
      </c>
      <c r="H251" s="46" t="s">
        <v>305</v>
      </c>
      <c r="I251" s="10" t="s">
        <v>3912</v>
      </c>
      <c r="J251" s="127">
        <v>0</v>
      </c>
      <c r="K251" s="127">
        <v>0</v>
      </c>
      <c r="L251" s="127">
        <v>0</v>
      </c>
      <c r="M251" s="127">
        <v>0</v>
      </c>
      <c r="N251" s="127">
        <v>0</v>
      </c>
      <c r="O251" s="127">
        <v>0</v>
      </c>
      <c r="P251" s="127">
        <v>0</v>
      </c>
      <c r="Q251" s="127">
        <v>0</v>
      </c>
      <c r="R251" s="127">
        <v>0</v>
      </c>
      <c r="S251" s="127">
        <v>0</v>
      </c>
      <c r="T251" s="127">
        <v>0</v>
      </c>
      <c r="U251" s="127">
        <v>0</v>
      </c>
      <c r="V251" s="128">
        <v>0</v>
      </c>
    </row>
    <row r="252" spans="1:22">
      <c r="A252" s="93" t="s">
        <v>3063</v>
      </c>
      <c r="B252" s="93"/>
      <c r="C252" s="46" t="s">
        <v>305</v>
      </c>
      <c r="D252" s="60" t="s">
        <v>696</v>
      </c>
      <c r="E252" s="59" t="s">
        <v>695</v>
      </c>
      <c r="F252" s="46" t="s">
        <v>305</v>
      </c>
      <c r="G252" s="46" t="s">
        <v>305</v>
      </c>
      <c r="H252" s="46" t="s">
        <v>305</v>
      </c>
      <c r="I252" s="93">
        <v>7</v>
      </c>
      <c r="J252" s="127">
        <v>0</v>
      </c>
      <c r="K252" s="127">
        <v>0</v>
      </c>
      <c r="L252" s="127">
        <v>0</v>
      </c>
      <c r="M252" s="127">
        <v>0</v>
      </c>
      <c r="N252" s="127">
        <v>0</v>
      </c>
      <c r="O252" s="127">
        <v>0</v>
      </c>
      <c r="P252" s="127">
        <v>0</v>
      </c>
      <c r="Q252" s="127">
        <v>0</v>
      </c>
      <c r="R252" s="127">
        <v>0</v>
      </c>
      <c r="S252" s="127">
        <v>0</v>
      </c>
      <c r="T252" s="127">
        <v>0</v>
      </c>
      <c r="U252" s="127">
        <v>0</v>
      </c>
      <c r="V252" s="128">
        <v>0</v>
      </c>
    </row>
    <row r="253" spans="1:22">
      <c r="A253" s="101" t="s">
        <v>1333</v>
      </c>
      <c r="B253" s="102"/>
      <c r="C253" s="103" t="s">
        <v>197</v>
      </c>
      <c r="D253" s="103" t="s">
        <v>198</v>
      </c>
      <c r="E253" s="103" t="s">
        <v>199</v>
      </c>
      <c r="F253" s="103" t="s">
        <v>194</v>
      </c>
      <c r="G253" s="103" t="s">
        <v>195</v>
      </c>
      <c r="H253" s="103" t="s">
        <v>196</v>
      </c>
      <c r="I253" s="103" t="s">
        <v>3917</v>
      </c>
      <c r="J253" s="104" t="s">
        <v>1363</v>
      </c>
      <c r="K253" s="104" t="s">
        <v>1364</v>
      </c>
      <c r="L253" s="104" t="s">
        <v>1365</v>
      </c>
      <c r="M253" s="104" t="s">
        <v>1366</v>
      </c>
      <c r="N253" s="104" t="s">
        <v>1367</v>
      </c>
      <c r="O253" s="104" t="s">
        <v>1368</v>
      </c>
      <c r="P253" s="104" t="s">
        <v>1369</v>
      </c>
      <c r="Q253" s="104" t="s">
        <v>1375</v>
      </c>
      <c r="R253" s="104" t="s">
        <v>1370</v>
      </c>
      <c r="S253" s="104" t="s">
        <v>1371</v>
      </c>
      <c r="T253" s="104" t="s">
        <v>1372</v>
      </c>
      <c r="U253" s="104" t="s">
        <v>1373</v>
      </c>
      <c r="V253" s="104" t="s">
        <v>1374</v>
      </c>
    </row>
    <row r="254" spans="1:22">
      <c r="A254" s="93" t="s">
        <v>1295</v>
      </c>
      <c r="B254" s="93"/>
      <c r="C254" s="60" t="s">
        <v>697</v>
      </c>
      <c r="D254" s="46" t="s">
        <v>305</v>
      </c>
      <c r="E254" s="60" t="s">
        <v>697</v>
      </c>
      <c r="F254" s="46" t="s">
        <v>305</v>
      </c>
      <c r="G254" s="59" t="s">
        <v>698</v>
      </c>
      <c r="H254" s="59" t="s">
        <v>698</v>
      </c>
      <c r="I254" s="93">
        <v>6</v>
      </c>
      <c r="J254" s="127">
        <v>-0.05</v>
      </c>
      <c r="K254" s="127">
        <v>-0.05</v>
      </c>
      <c r="L254" s="127">
        <v>0</v>
      </c>
      <c r="M254" s="127">
        <v>0</v>
      </c>
      <c r="N254" s="127">
        <v>0.05</v>
      </c>
      <c r="O254" s="127">
        <v>0.05</v>
      </c>
      <c r="P254" s="127">
        <v>-0.15</v>
      </c>
      <c r="Q254" s="127">
        <v>-0.05</v>
      </c>
      <c r="R254" s="127">
        <v>0</v>
      </c>
      <c r="S254" s="127">
        <v>0</v>
      </c>
      <c r="T254" s="127">
        <v>0</v>
      </c>
      <c r="U254" s="127">
        <v>0</v>
      </c>
      <c r="V254" s="128">
        <v>0</v>
      </c>
    </row>
    <row r="255" spans="1:22">
      <c r="A255" s="162" t="s">
        <v>1240</v>
      </c>
      <c r="B255" s="10"/>
      <c r="C255" s="60" t="s">
        <v>696</v>
      </c>
      <c r="D255" s="46" t="s">
        <v>305</v>
      </c>
      <c r="E255" s="46" t="s">
        <v>305</v>
      </c>
      <c r="F255" s="59" t="s">
        <v>695</v>
      </c>
      <c r="G255" s="59" t="s">
        <v>695</v>
      </c>
      <c r="H255" s="60" t="s">
        <v>696</v>
      </c>
      <c r="I255" s="10">
        <v>6</v>
      </c>
      <c r="J255" s="127">
        <v>-0.05</v>
      </c>
      <c r="K255" s="127">
        <v>-0.05</v>
      </c>
      <c r="L255" s="127">
        <v>0</v>
      </c>
      <c r="M255" s="127">
        <v>0</v>
      </c>
      <c r="N255" s="127">
        <v>0.05</v>
      </c>
      <c r="O255" s="127">
        <v>0.05</v>
      </c>
      <c r="P255" s="127">
        <v>-0.15</v>
      </c>
      <c r="Q255" s="127">
        <v>-0.05</v>
      </c>
      <c r="R255" s="127">
        <v>0</v>
      </c>
      <c r="S255" s="127">
        <v>0</v>
      </c>
      <c r="T255" s="127">
        <v>0</v>
      </c>
      <c r="U255" s="127">
        <v>0</v>
      </c>
      <c r="V255" s="128">
        <v>0</v>
      </c>
    </row>
    <row r="256" spans="1:22">
      <c r="A256" s="162" t="s">
        <v>1318</v>
      </c>
      <c r="B256" s="93"/>
      <c r="C256" s="60" t="s">
        <v>697</v>
      </c>
      <c r="D256" s="59" t="s">
        <v>698</v>
      </c>
      <c r="E256" s="46" t="s">
        <v>305</v>
      </c>
      <c r="F256" s="46" t="s">
        <v>305</v>
      </c>
      <c r="G256" s="46" t="s">
        <v>305</v>
      </c>
      <c r="H256" s="46" t="s">
        <v>305</v>
      </c>
      <c r="I256" s="93">
        <v>6</v>
      </c>
      <c r="J256" s="127">
        <v>-0.05</v>
      </c>
      <c r="K256" s="127">
        <v>-0.05</v>
      </c>
      <c r="L256" s="127">
        <v>0</v>
      </c>
      <c r="M256" s="127">
        <v>0</v>
      </c>
      <c r="N256" s="127">
        <v>0.05</v>
      </c>
      <c r="O256" s="127">
        <v>0.05</v>
      </c>
      <c r="P256" s="127">
        <v>-0.15</v>
      </c>
      <c r="Q256" s="127">
        <v>-0.05</v>
      </c>
      <c r="R256" s="127">
        <v>0</v>
      </c>
      <c r="S256" s="127">
        <v>0</v>
      </c>
      <c r="T256" s="127">
        <v>0</v>
      </c>
      <c r="U256" s="127">
        <v>0</v>
      </c>
      <c r="V256" s="128">
        <v>0</v>
      </c>
    </row>
    <row r="257" spans="1:22">
      <c r="A257" s="101" t="s">
        <v>628</v>
      </c>
      <c r="B257" s="102"/>
      <c r="C257" s="103" t="s">
        <v>197</v>
      </c>
      <c r="D257" s="103" t="s">
        <v>198</v>
      </c>
      <c r="E257" s="103" t="s">
        <v>199</v>
      </c>
      <c r="F257" s="103" t="s">
        <v>194</v>
      </c>
      <c r="G257" s="103" t="s">
        <v>195</v>
      </c>
      <c r="H257" s="103" t="s">
        <v>196</v>
      </c>
      <c r="I257" s="103" t="s">
        <v>3917</v>
      </c>
      <c r="J257" s="104" t="s">
        <v>1363</v>
      </c>
      <c r="K257" s="104" t="s">
        <v>1364</v>
      </c>
      <c r="L257" s="104" t="s">
        <v>1365</v>
      </c>
      <c r="M257" s="104" t="s">
        <v>1366</v>
      </c>
      <c r="N257" s="104" t="s">
        <v>1367</v>
      </c>
      <c r="O257" s="104" t="s">
        <v>1368</v>
      </c>
      <c r="P257" s="104" t="s">
        <v>1369</v>
      </c>
      <c r="Q257" s="104" t="s">
        <v>1375</v>
      </c>
      <c r="R257" s="104" t="s">
        <v>1370</v>
      </c>
      <c r="S257" s="104" t="s">
        <v>1371</v>
      </c>
      <c r="T257" s="104" t="s">
        <v>1372</v>
      </c>
      <c r="U257" s="104" t="s">
        <v>1373</v>
      </c>
      <c r="V257" s="104" t="s">
        <v>1374</v>
      </c>
    </row>
    <row r="258" spans="1:22">
      <c r="A258" s="93" t="s">
        <v>1295</v>
      </c>
      <c r="B258" s="93"/>
      <c r="C258" s="60" t="s">
        <v>697</v>
      </c>
      <c r="D258" s="46" t="s">
        <v>305</v>
      </c>
      <c r="E258" s="60" t="s">
        <v>697</v>
      </c>
      <c r="F258" s="59" t="s">
        <v>698</v>
      </c>
      <c r="G258" s="46" t="s">
        <v>305</v>
      </c>
      <c r="H258" s="59" t="s">
        <v>698</v>
      </c>
      <c r="I258" s="93">
        <v>5</v>
      </c>
      <c r="J258" s="127">
        <v>0</v>
      </c>
      <c r="K258" s="127">
        <v>0</v>
      </c>
      <c r="L258" s="127">
        <v>0</v>
      </c>
      <c r="M258" s="127">
        <v>0</v>
      </c>
      <c r="N258" s="127">
        <v>0</v>
      </c>
      <c r="O258" s="127">
        <v>0</v>
      </c>
      <c r="P258" s="127">
        <v>0</v>
      </c>
      <c r="Q258" s="127">
        <v>0</v>
      </c>
      <c r="R258" s="127">
        <v>0</v>
      </c>
      <c r="S258" s="127">
        <v>0</v>
      </c>
      <c r="T258" s="127">
        <v>0</v>
      </c>
      <c r="U258" s="127">
        <v>0</v>
      </c>
      <c r="V258" s="128">
        <v>0</v>
      </c>
    </row>
    <row r="259" spans="1:22">
      <c r="A259" s="10" t="s">
        <v>630</v>
      </c>
      <c r="B259" s="10"/>
      <c r="C259" s="60" t="s">
        <v>696</v>
      </c>
      <c r="D259" s="46" t="s">
        <v>305</v>
      </c>
      <c r="E259" s="46" t="s">
        <v>305</v>
      </c>
      <c r="F259" s="46" t="s">
        <v>305</v>
      </c>
      <c r="G259" s="59" t="s">
        <v>698</v>
      </c>
      <c r="H259" s="46" t="s">
        <v>305</v>
      </c>
      <c r="I259" s="10">
        <v>4</v>
      </c>
      <c r="J259" s="127">
        <v>-0.05</v>
      </c>
      <c r="K259" s="127">
        <v>0</v>
      </c>
      <c r="L259" s="127">
        <v>0</v>
      </c>
      <c r="M259" s="127">
        <v>0</v>
      </c>
      <c r="N259" s="127">
        <v>0</v>
      </c>
      <c r="O259" s="127">
        <v>0</v>
      </c>
      <c r="P259" s="127">
        <v>-0.15</v>
      </c>
      <c r="Q259" s="127">
        <v>0.05</v>
      </c>
      <c r="R259" s="127">
        <v>0</v>
      </c>
      <c r="S259" s="127">
        <v>0</v>
      </c>
      <c r="T259" s="127">
        <v>0</v>
      </c>
      <c r="U259" s="127">
        <v>0</v>
      </c>
      <c r="V259" s="128">
        <v>0</v>
      </c>
    </row>
    <row r="260" spans="1:22">
      <c r="A260" s="162" t="s">
        <v>1319</v>
      </c>
      <c r="B260" s="93"/>
      <c r="C260" s="46" t="s">
        <v>305</v>
      </c>
      <c r="D260" s="60" t="s">
        <v>696</v>
      </c>
      <c r="E260" s="59" t="s">
        <v>702</v>
      </c>
      <c r="F260" s="60" t="s">
        <v>696</v>
      </c>
      <c r="G260" s="46" t="s">
        <v>305</v>
      </c>
      <c r="H260" s="60" t="s">
        <v>696</v>
      </c>
      <c r="I260" s="93" t="s">
        <v>3638</v>
      </c>
      <c r="J260" s="127">
        <v>0</v>
      </c>
      <c r="K260" s="127">
        <v>0</v>
      </c>
      <c r="L260" s="127">
        <v>0</v>
      </c>
      <c r="M260" s="127">
        <v>0</v>
      </c>
      <c r="N260" s="127">
        <v>0</v>
      </c>
      <c r="O260" s="127">
        <v>0</v>
      </c>
      <c r="P260" s="127">
        <v>0</v>
      </c>
      <c r="Q260" s="127">
        <v>0</v>
      </c>
      <c r="R260" s="127">
        <v>0</v>
      </c>
      <c r="S260" s="127">
        <v>0</v>
      </c>
      <c r="T260" s="127">
        <v>0</v>
      </c>
      <c r="U260" s="127">
        <v>0</v>
      </c>
      <c r="V260" s="128">
        <v>0</v>
      </c>
    </row>
    <row r="261" spans="1:22">
      <c r="A261" s="162" t="s">
        <v>1320</v>
      </c>
      <c r="B261" s="10"/>
      <c r="C261" s="60" t="s">
        <v>697</v>
      </c>
      <c r="D261" s="46" t="s">
        <v>305</v>
      </c>
      <c r="E261" s="60" t="s">
        <v>697</v>
      </c>
      <c r="F261" s="59" t="s">
        <v>698</v>
      </c>
      <c r="G261" s="46" t="s">
        <v>305</v>
      </c>
      <c r="H261" s="59" t="s">
        <v>698</v>
      </c>
      <c r="I261" s="10">
        <v>5</v>
      </c>
      <c r="J261" s="127">
        <v>0</v>
      </c>
      <c r="K261" s="127">
        <v>0</v>
      </c>
      <c r="L261" s="127">
        <v>0</v>
      </c>
      <c r="M261" s="127">
        <v>0</v>
      </c>
      <c r="N261" s="127">
        <v>0</v>
      </c>
      <c r="O261" s="127">
        <v>0</v>
      </c>
      <c r="P261" s="127">
        <v>0</v>
      </c>
      <c r="Q261" s="127">
        <v>0</v>
      </c>
      <c r="R261" s="127">
        <v>0</v>
      </c>
      <c r="S261" s="127">
        <v>0</v>
      </c>
      <c r="T261" s="127">
        <v>0</v>
      </c>
      <c r="U261" s="127">
        <v>0</v>
      </c>
      <c r="V261" s="128">
        <v>0</v>
      </c>
    </row>
    <row r="262" spans="1:22">
      <c r="A262" s="162" t="s">
        <v>1321</v>
      </c>
      <c r="B262" s="93"/>
      <c r="C262" s="46" t="s">
        <v>305</v>
      </c>
      <c r="D262" s="60" t="s">
        <v>697</v>
      </c>
      <c r="E262" s="59" t="s">
        <v>698</v>
      </c>
      <c r="F262" s="60" t="s">
        <v>697</v>
      </c>
      <c r="G262" s="46" t="s">
        <v>305</v>
      </c>
      <c r="H262" s="60" t="s">
        <v>697</v>
      </c>
      <c r="I262" s="93" t="s">
        <v>3638</v>
      </c>
      <c r="J262" s="127">
        <v>0</v>
      </c>
      <c r="K262" s="127">
        <v>0</v>
      </c>
      <c r="L262" s="127">
        <v>0</v>
      </c>
      <c r="M262" s="127">
        <v>0</v>
      </c>
      <c r="N262" s="127">
        <v>0</v>
      </c>
      <c r="O262" s="127">
        <v>0</v>
      </c>
      <c r="P262" s="127">
        <v>0</v>
      </c>
      <c r="Q262" s="127">
        <v>0</v>
      </c>
      <c r="R262" s="127">
        <v>0</v>
      </c>
      <c r="S262" s="127">
        <v>0</v>
      </c>
      <c r="T262" s="127">
        <v>0</v>
      </c>
      <c r="U262" s="127">
        <v>0</v>
      </c>
      <c r="V262" s="128">
        <v>0</v>
      </c>
    </row>
    <row r="263" spans="1:22">
      <c r="A263" s="162" t="s">
        <v>1322</v>
      </c>
      <c r="B263" s="10"/>
      <c r="C263" s="46" t="s">
        <v>305</v>
      </c>
      <c r="D263" s="60" t="s">
        <v>697</v>
      </c>
      <c r="E263" s="59" t="s">
        <v>698</v>
      </c>
      <c r="F263" s="60" t="s">
        <v>697</v>
      </c>
      <c r="G263" s="46" t="s">
        <v>305</v>
      </c>
      <c r="H263" s="60" t="s">
        <v>697</v>
      </c>
      <c r="I263" s="10" t="s">
        <v>3638</v>
      </c>
      <c r="J263" s="127">
        <v>0</v>
      </c>
      <c r="K263" s="127">
        <v>0</v>
      </c>
      <c r="L263" s="127">
        <v>0</v>
      </c>
      <c r="M263" s="127">
        <v>0</v>
      </c>
      <c r="N263" s="127">
        <v>0</v>
      </c>
      <c r="O263" s="127">
        <v>0</v>
      </c>
      <c r="P263" s="127">
        <v>0</v>
      </c>
      <c r="Q263" s="127">
        <v>0</v>
      </c>
      <c r="R263" s="127">
        <v>0</v>
      </c>
      <c r="S263" s="127">
        <v>0</v>
      </c>
      <c r="T263" s="127">
        <v>0</v>
      </c>
      <c r="U263" s="127">
        <v>0</v>
      </c>
      <c r="V263" s="128">
        <v>0</v>
      </c>
    </row>
    <row r="264" spans="1:22">
      <c r="A264" s="162" t="s">
        <v>1240</v>
      </c>
      <c r="B264" s="93"/>
      <c r="C264" s="60" t="s">
        <v>697</v>
      </c>
      <c r="D264" s="59" t="s">
        <v>695</v>
      </c>
      <c r="E264" s="60" t="s">
        <v>697</v>
      </c>
      <c r="F264" s="59" t="s">
        <v>698</v>
      </c>
      <c r="G264" s="59" t="s">
        <v>695</v>
      </c>
      <c r="H264" s="46" t="s">
        <v>305</v>
      </c>
      <c r="I264" s="93">
        <v>5</v>
      </c>
      <c r="J264" s="127">
        <v>0</v>
      </c>
      <c r="K264" s="127">
        <v>0</v>
      </c>
      <c r="L264" s="127">
        <v>0</v>
      </c>
      <c r="M264" s="127">
        <v>0</v>
      </c>
      <c r="N264" s="127">
        <v>0</v>
      </c>
      <c r="O264" s="127">
        <v>0</v>
      </c>
      <c r="P264" s="127">
        <v>0</v>
      </c>
      <c r="Q264" s="127">
        <v>0</v>
      </c>
      <c r="R264" s="127">
        <v>0</v>
      </c>
      <c r="S264" s="127">
        <v>0</v>
      </c>
      <c r="T264" s="127">
        <v>0</v>
      </c>
      <c r="U264" s="127">
        <v>0</v>
      </c>
      <c r="V264" s="128">
        <v>0</v>
      </c>
    </row>
    <row r="265" spans="1:22">
      <c r="A265" s="101" t="s">
        <v>1148</v>
      </c>
      <c r="B265" s="102"/>
      <c r="C265" s="103" t="s">
        <v>197</v>
      </c>
      <c r="D265" s="103" t="s">
        <v>198</v>
      </c>
      <c r="E265" s="103" t="s">
        <v>199</v>
      </c>
      <c r="F265" s="103" t="s">
        <v>194</v>
      </c>
      <c r="G265" s="103" t="s">
        <v>195</v>
      </c>
      <c r="H265" s="103" t="s">
        <v>196</v>
      </c>
      <c r="I265" s="103" t="s">
        <v>3917</v>
      </c>
      <c r="J265" s="104" t="s">
        <v>1363</v>
      </c>
      <c r="K265" s="104" t="s">
        <v>1364</v>
      </c>
      <c r="L265" s="104" t="s">
        <v>1365</v>
      </c>
      <c r="M265" s="104" t="s">
        <v>1366</v>
      </c>
      <c r="N265" s="104" t="s">
        <v>1367</v>
      </c>
      <c r="O265" s="104" t="s">
        <v>1368</v>
      </c>
      <c r="P265" s="104" t="s">
        <v>1369</v>
      </c>
      <c r="Q265" s="104" t="s">
        <v>1375</v>
      </c>
      <c r="R265" s="104" t="s">
        <v>1370</v>
      </c>
      <c r="S265" s="104" t="s">
        <v>1371</v>
      </c>
      <c r="T265" s="104" t="s">
        <v>1372</v>
      </c>
      <c r="U265" s="104" t="s">
        <v>1373</v>
      </c>
      <c r="V265" s="104" t="s">
        <v>1374</v>
      </c>
    </row>
    <row r="266" spans="1:22">
      <c r="A266" s="93" t="s">
        <v>1339</v>
      </c>
      <c r="B266" s="93"/>
      <c r="C266" s="46" t="s">
        <v>305</v>
      </c>
      <c r="D266" s="59" t="s">
        <v>698</v>
      </c>
      <c r="E266" s="46" t="s">
        <v>305</v>
      </c>
      <c r="F266" s="46" t="s">
        <v>305</v>
      </c>
      <c r="G266" s="60" t="s">
        <v>696</v>
      </c>
      <c r="H266" s="60" t="s">
        <v>696</v>
      </c>
      <c r="I266" s="93">
        <v>4</v>
      </c>
      <c r="J266" s="127">
        <v>0</v>
      </c>
      <c r="K266" s="127">
        <v>0.05</v>
      </c>
      <c r="L266" s="127">
        <v>0.05</v>
      </c>
      <c r="M266" s="127">
        <v>-0.05</v>
      </c>
      <c r="N266" s="127">
        <v>-0.05</v>
      </c>
      <c r="O266" s="127">
        <v>0</v>
      </c>
      <c r="P266" s="127">
        <v>-0.15</v>
      </c>
      <c r="Q266" s="127">
        <v>0</v>
      </c>
      <c r="R266" s="127">
        <v>0</v>
      </c>
      <c r="S266" s="127">
        <v>0</v>
      </c>
      <c r="T266" s="127">
        <v>0</v>
      </c>
      <c r="U266" s="127">
        <v>0</v>
      </c>
      <c r="V266" s="128">
        <v>0</v>
      </c>
    </row>
    <row r="267" spans="1:22">
      <c r="A267" s="10" t="s">
        <v>1338</v>
      </c>
      <c r="B267" s="10"/>
      <c r="C267" s="46" t="s">
        <v>305</v>
      </c>
      <c r="D267" s="46" t="s">
        <v>305</v>
      </c>
      <c r="E267" s="46" t="s">
        <v>305</v>
      </c>
      <c r="F267" s="46" t="s">
        <v>305</v>
      </c>
      <c r="G267" s="46" t="s">
        <v>305</v>
      </c>
      <c r="H267" s="46" t="s">
        <v>305</v>
      </c>
      <c r="I267" s="10">
        <v>5</v>
      </c>
      <c r="J267" s="127">
        <v>0</v>
      </c>
      <c r="K267" s="127">
        <v>0</v>
      </c>
      <c r="L267" s="127">
        <v>0</v>
      </c>
      <c r="M267" s="127">
        <v>0</v>
      </c>
      <c r="N267" s="127">
        <v>0</v>
      </c>
      <c r="O267" s="127">
        <v>0</v>
      </c>
      <c r="P267" s="127">
        <v>0.05</v>
      </c>
      <c r="Q267" s="127">
        <v>0</v>
      </c>
      <c r="R267" s="127">
        <v>0</v>
      </c>
      <c r="S267" s="127">
        <v>0</v>
      </c>
      <c r="T267" s="127">
        <v>0</v>
      </c>
      <c r="U267" s="127">
        <v>0</v>
      </c>
      <c r="V267" s="128">
        <v>0</v>
      </c>
    </row>
    <row r="268" spans="1:22">
      <c r="A268" s="93" t="s">
        <v>1337</v>
      </c>
      <c r="B268" s="93"/>
      <c r="C268" s="59" t="s">
        <v>695</v>
      </c>
      <c r="D268" s="60" t="s">
        <v>697</v>
      </c>
      <c r="E268" s="59" t="s">
        <v>695</v>
      </c>
      <c r="F268" s="46" t="s">
        <v>305</v>
      </c>
      <c r="G268" s="46" t="s">
        <v>305</v>
      </c>
      <c r="H268" s="46" t="s">
        <v>305</v>
      </c>
      <c r="I268" s="93">
        <v>6</v>
      </c>
      <c r="J268" s="127">
        <v>0.05</v>
      </c>
      <c r="K268" s="127">
        <v>0</v>
      </c>
      <c r="L268" s="127">
        <v>0</v>
      </c>
      <c r="M268" s="127">
        <v>0</v>
      </c>
      <c r="N268" s="127">
        <v>0.1</v>
      </c>
      <c r="O268" s="127">
        <v>0.05</v>
      </c>
      <c r="P268" s="127">
        <v>0.05</v>
      </c>
      <c r="Q268" s="127">
        <v>0</v>
      </c>
      <c r="R268" s="127">
        <v>0</v>
      </c>
      <c r="S268" s="127">
        <v>0</v>
      </c>
      <c r="T268" s="127">
        <v>0</v>
      </c>
      <c r="U268" s="127">
        <v>0</v>
      </c>
      <c r="V268" s="128">
        <v>0</v>
      </c>
    </row>
    <row r="269" spans="1:22">
      <c r="A269" s="10" t="s">
        <v>1336</v>
      </c>
      <c r="B269" s="10"/>
      <c r="C269" s="60" t="s">
        <v>696</v>
      </c>
      <c r="D269" s="59" t="s">
        <v>698</v>
      </c>
      <c r="E269" s="46" t="s">
        <v>305</v>
      </c>
      <c r="F269" s="60" t="s">
        <v>696</v>
      </c>
      <c r="G269" s="46" t="s">
        <v>305</v>
      </c>
      <c r="H269" s="46" t="s">
        <v>305</v>
      </c>
      <c r="I269" s="10">
        <v>4</v>
      </c>
      <c r="J269" s="127">
        <v>-0.05</v>
      </c>
      <c r="K269" s="127">
        <v>0</v>
      </c>
      <c r="L269" s="127">
        <v>0</v>
      </c>
      <c r="M269" s="127">
        <v>-0.1</v>
      </c>
      <c r="N269" s="127">
        <v>-0.05</v>
      </c>
      <c r="O269" s="127">
        <v>0.05</v>
      </c>
      <c r="P269" s="127">
        <v>-0.2</v>
      </c>
      <c r="Q269" s="127">
        <v>0.1</v>
      </c>
      <c r="R269" s="127">
        <v>0</v>
      </c>
      <c r="S269" s="127">
        <v>0</v>
      </c>
      <c r="T269" s="127">
        <v>0</v>
      </c>
      <c r="U269" s="127">
        <v>0</v>
      </c>
      <c r="V269" s="128">
        <v>0</v>
      </c>
    </row>
    <row r="270" spans="1:22">
      <c r="A270" s="101" t="s">
        <v>1331</v>
      </c>
      <c r="B270" s="102"/>
      <c r="C270" s="103" t="s">
        <v>197</v>
      </c>
      <c r="D270" s="103" t="s">
        <v>198</v>
      </c>
      <c r="E270" s="103" t="s">
        <v>199</v>
      </c>
      <c r="F270" s="103" t="s">
        <v>194</v>
      </c>
      <c r="G270" s="103" t="s">
        <v>195</v>
      </c>
      <c r="H270" s="103" t="s">
        <v>196</v>
      </c>
      <c r="I270" s="103" t="s">
        <v>3917</v>
      </c>
      <c r="J270" s="104" t="s">
        <v>1363</v>
      </c>
      <c r="K270" s="104" t="s">
        <v>1364</v>
      </c>
      <c r="L270" s="104" t="s">
        <v>1365</v>
      </c>
      <c r="M270" s="104" t="s">
        <v>1366</v>
      </c>
      <c r="N270" s="104" t="s">
        <v>1367</v>
      </c>
      <c r="O270" s="104" t="s">
        <v>1368</v>
      </c>
      <c r="P270" s="104" t="s">
        <v>1369</v>
      </c>
      <c r="Q270" s="104" t="s">
        <v>1375</v>
      </c>
      <c r="R270" s="104" t="s">
        <v>1370</v>
      </c>
      <c r="S270" s="104" t="s">
        <v>1371</v>
      </c>
      <c r="T270" s="104" t="s">
        <v>1372</v>
      </c>
      <c r="U270" s="104" t="s">
        <v>1373</v>
      </c>
      <c r="V270" s="104" t="s">
        <v>1374</v>
      </c>
    </row>
    <row r="271" spans="1:22">
      <c r="A271" s="93" t="s">
        <v>1295</v>
      </c>
      <c r="B271" s="93"/>
      <c r="C271" s="46" t="s">
        <v>305</v>
      </c>
      <c r="D271" s="60" t="s">
        <v>696</v>
      </c>
      <c r="E271" s="46" t="s">
        <v>305</v>
      </c>
      <c r="F271" s="46" t="s">
        <v>305</v>
      </c>
      <c r="G271" s="60" t="s">
        <v>696</v>
      </c>
      <c r="H271" s="46" t="s">
        <v>305</v>
      </c>
      <c r="I271" s="93">
        <v>7</v>
      </c>
      <c r="J271" s="127">
        <v>0</v>
      </c>
      <c r="K271" s="127">
        <v>0</v>
      </c>
      <c r="L271" s="127">
        <v>0</v>
      </c>
      <c r="M271" s="127">
        <v>0</v>
      </c>
      <c r="N271" s="127">
        <v>0</v>
      </c>
      <c r="O271" s="127">
        <v>0</v>
      </c>
      <c r="P271" s="127">
        <v>0</v>
      </c>
      <c r="Q271" s="127">
        <v>0</v>
      </c>
      <c r="R271" s="127">
        <v>0</v>
      </c>
      <c r="S271" s="127">
        <v>0</v>
      </c>
      <c r="T271" s="127">
        <v>0</v>
      </c>
      <c r="U271" s="127">
        <v>0</v>
      </c>
      <c r="V271" s="128">
        <v>0</v>
      </c>
    </row>
    <row r="272" spans="1:22">
      <c r="A272" s="162" t="s">
        <v>1164</v>
      </c>
      <c r="B272" s="10"/>
      <c r="C272" s="46" t="s">
        <v>305</v>
      </c>
      <c r="D272" s="46" t="s">
        <v>305</v>
      </c>
      <c r="E272" s="59" t="s">
        <v>695</v>
      </c>
      <c r="F272" s="46" t="s">
        <v>305</v>
      </c>
      <c r="G272" s="46" t="s">
        <v>305</v>
      </c>
      <c r="H272" s="60" t="s">
        <v>696</v>
      </c>
      <c r="I272" s="10">
        <v>7</v>
      </c>
      <c r="J272" s="127">
        <v>0</v>
      </c>
      <c r="K272" s="127">
        <v>0</v>
      </c>
      <c r="L272" s="127">
        <v>0</v>
      </c>
      <c r="M272" s="127">
        <v>0</v>
      </c>
      <c r="N272" s="127">
        <v>0</v>
      </c>
      <c r="O272" s="127">
        <v>0</v>
      </c>
      <c r="P272" s="127">
        <v>0</v>
      </c>
      <c r="Q272" s="127">
        <v>0</v>
      </c>
      <c r="R272" s="127">
        <v>0</v>
      </c>
      <c r="S272" s="127">
        <v>0</v>
      </c>
      <c r="T272" s="127">
        <v>0</v>
      </c>
      <c r="U272" s="127">
        <v>0</v>
      </c>
      <c r="V272" s="128">
        <v>0</v>
      </c>
    </row>
    <row r="273" spans="1:22">
      <c r="A273" s="101" t="s">
        <v>671</v>
      </c>
      <c r="B273" s="102"/>
      <c r="C273" s="103" t="s">
        <v>197</v>
      </c>
      <c r="D273" s="103" t="s">
        <v>198</v>
      </c>
      <c r="E273" s="103" t="s">
        <v>199</v>
      </c>
      <c r="F273" s="103" t="s">
        <v>194</v>
      </c>
      <c r="G273" s="103" t="s">
        <v>195</v>
      </c>
      <c r="H273" s="103" t="s">
        <v>196</v>
      </c>
      <c r="I273" s="103" t="s">
        <v>3917</v>
      </c>
      <c r="J273" s="104" t="s">
        <v>1363</v>
      </c>
      <c r="K273" s="104" t="s">
        <v>1364</v>
      </c>
      <c r="L273" s="104" t="s">
        <v>1365</v>
      </c>
      <c r="M273" s="104" t="s">
        <v>1366</v>
      </c>
      <c r="N273" s="104" t="s">
        <v>1367</v>
      </c>
      <c r="O273" s="104" t="s">
        <v>1368</v>
      </c>
      <c r="P273" s="104" t="s">
        <v>1369</v>
      </c>
      <c r="Q273" s="104" t="s">
        <v>1375</v>
      </c>
      <c r="R273" s="104" t="s">
        <v>1370</v>
      </c>
      <c r="S273" s="104" t="s">
        <v>1371</v>
      </c>
      <c r="T273" s="104" t="s">
        <v>1372</v>
      </c>
      <c r="U273" s="104" t="s">
        <v>1373</v>
      </c>
      <c r="V273" s="104" t="s">
        <v>1374</v>
      </c>
    </row>
    <row r="274" spans="1:22">
      <c r="A274" s="93" t="s">
        <v>1295</v>
      </c>
      <c r="B274" s="93"/>
      <c r="C274" s="46" t="s">
        <v>305</v>
      </c>
      <c r="D274" s="60" t="s">
        <v>696</v>
      </c>
      <c r="E274" s="46" t="s">
        <v>305</v>
      </c>
      <c r="F274" s="59" t="s">
        <v>695</v>
      </c>
      <c r="G274" s="60" t="s">
        <v>696</v>
      </c>
      <c r="H274" s="59" t="s">
        <v>695</v>
      </c>
      <c r="I274" s="93">
        <v>5</v>
      </c>
      <c r="J274" s="127">
        <v>0</v>
      </c>
      <c r="K274" s="127">
        <v>0</v>
      </c>
      <c r="L274" s="127">
        <v>0</v>
      </c>
      <c r="M274" s="127">
        <v>0</v>
      </c>
      <c r="N274" s="127">
        <v>0</v>
      </c>
      <c r="O274" s="127">
        <v>0</v>
      </c>
      <c r="P274" s="127">
        <v>0</v>
      </c>
      <c r="Q274" s="127">
        <v>0</v>
      </c>
      <c r="R274" s="127">
        <v>0</v>
      </c>
      <c r="S274" s="127">
        <v>0</v>
      </c>
      <c r="T274" s="127">
        <v>0</v>
      </c>
      <c r="U274" s="127">
        <v>0</v>
      </c>
      <c r="V274" s="128">
        <v>0</v>
      </c>
    </row>
    <row r="275" spans="1:22">
      <c r="A275" s="10" t="s">
        <v>1152</v>
      </c>
      <c r="B275" s="10"/>
      <c r="C275" s="46" t="s">
        <v>305</v>
      </c>
      <c r="D275" s="60" t="s">
        <v>697</v>
      </c>
      <c r="E275" s="46" t="s">
        <v>305</v>
      </c>
      <c r="F275" s="59" t="s">
        <v>695</v>
      </c>
      <c r="G275" s="60" t="s">
        <v>696</v>
      </c>
      <c r="H275" s="59" t="s">
        <v>698</v>
      </c>
      <c r="I275" s="10">
        <v>5</v>
      </c>
      <c r="J275" s="127">
        <v>0</v>
      </c>
      <c r="K275" s="127">
        <v>0</v>
      </c>
      <c r="L275" s="127">
        <v>0</v>
      </c>
      <c r="M275" s="127">
        <v>0</v>
      </c>
      <c r="N275" s="127">
        <v>0</v>
      </c>
      <c r="O275" s="127">
        <v>0</v>
      </c>
      <c r="P275" s="127">
        <v>0</v>
      </c>
      <c r="Q275" s="127">
        <v>0</v>
      </c>
      <c r="R275" s="127">
        <v>0</v>
      </c>
      <c r="S275" s="127">
        <v>0</v>
      </c>
      <c r="T275" s="127">
        <v>0</v>
      </c>
      <c r="U275" s="127">
        <v>0</v>
      </c>
      <c r="V275" s="128">
        <v>0</v>
      </c>
    </row>
    <row r="276" spans="1:22">
      <c r="A276" s="101" t="s">
        <v>288</v>
      </c>
      <c r="B276" s="102"/>
      <c r="C276" s="103" t="s">
        <v>197</v>
      </c>
      <c r="D276" s="103" t="s">
        <v>198</v>
      </c>
      <c r="E276" s="103" t="s">
        <v>199</v>
      </c>
      <c r="F276" s="103" t="s">
        <v>194</v>
      </c>
      <c r="G276" s="103" t="s">
        <v>195</v>
      </c>
      <c r="H276" s="103" t="s">
        <v>196</v>
      </c>
      <c r="I276" s="103" t="s">
        <v>3917</v>
      </c>
      <c r="J276" s="104" t="s">
        <v>1363</v>
      </c>
      <c r="K276" s="104" t="s">
        <v>1364</v>
      </c>
      <c r="L276" s="104" t="s">
        <v>1365</v>
      </c>
      <c r="M276" s="104" t="s">
        <v>1366</v>
      </c>
      <c r="N276" s="104" t="s">
        <v>1367</v>
      </c>
      <c r="O276" s="104" t="s">
        <v>1368</v>
      </c>
      <c r="P276" s="104" t="s">
        <v>1369</v>
      </c>
      <c r="Q276" s="104" t="s">
        <v>1375</v>
      </c>
      <c r="R276" s="104" t="s">
        <v>1370</v>
      </c>
      <c r="S276" s="104" t="s">
        <v>1371</v>
      </c>
      <c r="T276" s="104" t="s">
        <v>1372</v>
      </c>
      <c r="U276" s="104" t="s">
        <v>1373</v>
      </c>
      <c r="V276" s="104" t="s">
        <v>1374</v>
      </c>
    </row>
    <row r="277" spans="1:22">
      <c r="A277" s="93" t="s">
        <v>1161</v>
      </c>
      <c r="B277" s="93"/>
      <c r="C277" s="60" t="s">
        <v>696</v>
      </c>
      <c r="D277" s="59" t="s">
        <v>695</v>
      </c>
      <c r="E277" s="60" t="s">
        <v>696</v>
      </c>
      <c r="F277" s="46" t="s">
        <v>305</v>
      </c>
      <c r="G277" s="59" t="s">
        <v>695</v>
      </c>
      <c r="H277" s="46" t="s">
        <v>305</v>
      </c>
      <c r="I277" s="93">
        <v>6</v>
      </c>
      <c r="J277" s="127">
        <v>0</v>
      </c>
      <c r="K277" s="127">
        <v>0</v>
      </c>
      <c r="L277" s="127">
        <v>0</v>
      </c>
      <c r="M277" s="127">
        <v>0</v>
      </c>
      <c r="N277" s="127">
        <v>0</v>
      </c>
      <c r="O277" s="127">
        <v>0</v>
      </c>
      <c r="P277" s="127">
        <v>0</v>
      </c>
      <c r="Q277" s="127">
        <v>0</v>
      </c>
      <c r="R277" s="127">
        <v>0.05</v>
      </c>
      <c r="S277" s="127">
        <v>0.05</v>
      </c>
      <c r="T277" s="127">
        <v>0.05</v>
      </c>
      <c r="U277" s="127">
        <v>-0.05</v>
      </c>
      <c r="V277" s="128">
        <v>0</v>
      </c>
    </row>
    <row r="278" spans="1:22">
      <c r="A278" s="10" t="s">
        <v>1162</v>
      </c>
      <c r="B278" s="10"/>
      <c r="C278" s="59" t="s">
        <v>695</v>
      </c>
      <c r="D278" s="59" t="s">
        <v>695</v>
      </c>
      <c r="E278" s="46" t="s">
        <v>305</v>
      </c>
      <c r="F278" s="60" t="s">
        <v>696</v>
      </c>
      <c r="G278" s="60" t="s">
        <v>696</v>
      </c>
      <c r="H278" s="46" t="s">
        <v>305</v>
      </c>
      <c r="I278" s="10">
        <v>6</v>
      </c>
      <c r="J278" s="127">
        <v>0</v>
      </c>
      <c r="K278" s="127">
        <v>0</v>
      </c>
      <c r="L278" s="127">
        <v>0</v>
      </c>
      <c r="M278" s="127">
        <v>0</v>
      </c>
      <c r="N278" s="127">
        <v>0</v>
      </c>
      <c r="O278" s="127">
        <v>0</v>
      </c>
      <c r="P278" s="127">
        <v>0</v>
      </c>
      <c r="Q278" s="127">
        <v>0</v>
      </c>
      <c r="R278" s="127">
        <v>0.05</v>
      </c>
      <c r="S278" s="127">
        <v>0.05</v>
      </c>
      <c r="T278" s="127">
        <v>0.05</v>
      </c>
      <c r="U278" s="127">
        <v>-0.05</v>
      </c>
      <c r="V278" s="128">
        <v>0</v>
      </c>
    </row>
    <row r="279" spans="1:22">
      <c r="A279" s="101" t="s">
        <v>1143</v>
      </c>
      <c r="B279" s="102"/>
      <c r="C279" s="103" t="s">
        <v>197</v>
      </c>
      <c r="D279" s="103" t="s">
        <v>198</v>
      </c>
      <c r="E279" s="103" t="s">
        <v>199</v>
      </c>
      <c r="F279" s="103" t="s">
        <v>194</v>
      </c>
      <c r="G279" s="103" t="s">
        <v>195</v>
      </c>
      <c r="H279" s="103" t="s">
        <v>196</v>
      </c>
      <c r="I279" s="103" t="s">
        <v>3917</v>
      </c>
      <c r="J279" s="104" t="s">
        <v>1363</v>
      </c>
      <c r="K279" s="104" t="s">
        <v>1364</v>
      </c>
      <c r="L279" s="104" t="s">
        <v>1365</v>
      </c>
      <c r="M279" s="104" t="s">
        <v>1366</v>
      </c>
      <c r="N279" s="104" t="s">
        <v>1367</v>
      </c>
      <c r="O279" s="104" t="s">
        <v>1368</v>
      </c>
      <c r="P279" s="104" t="s">
        <v>1369</v>
      </c>
      <c r="Q279" s="104" t="s">
        <v>1375</v>
      </c>
      <c r="R279" s="104" t="s">
        <v>1370</v>
      </c>
      <c r="S279" s="104" t="s">
        <v>1371</v>
      </c>
      <c r="T279" s="104" t="s">
        <v>1372</v>
      </c>
      <c r="U279" s="104" t="s">
        <v>1373</v>
      </c>
      <c r="V279" s="104" t="s">
        <v>1374</v>
      </c>
    </row>
    <row r="280" spans="1:22">
      <c r="A280" s="93" t="s">
        <v>1161</v>
      </c>
      <c r="B280" s="93"/>
      <c r="C280" s="60" t="s">
        <v>697</v>
      </c>
      <c r="D280" s="60" t="s">
        <v>697</v>
      </c>
      <c r="E280" s="46" t="s">
        <v>305</v>
      </c>
      <c r="F280" s="59" t="s">
        <v>695</v>
      </c>
      <c r="G280" s="59" t="s">
        <v>695</v>
      </c>
      <c r="H280" s="46" t="s">
        <v>305</v>
      </c>
      <c r="I280" s="93" t="s">
        <v>3638</v>
      </c>
      <c r="J280" s="127">
        <v>0.1</v>
      </c>
      <c r="K280" s="127">
        <v>-0.05</v>
      </c>
      <c r="L280" s="127">
        <v>-0.05</v>
      </c>
      <c r="M280" s="127">
        <v>0</v>
      </c>
      <c r="N280" s="127">
        <v>0</v>
      </c>
      <c r="O280" s="127">
        <v>0</v>
      </c>
      <c r="P280" s="127">
        <v>0.25</v>
      </c>
      <c r="Q280" s="127">
        <v>-0.05</v>
      </c>
      <c r="R280" s="127">
        <v>0</v>
      </c>
      <c r="S280" s="127">
        <v>0</v>
      </c>
      <c r="T280" s="127">
        <v>0</v>
      </c>
      <c r="U280" s="127">
        <v>0</v>
      </c>
      <c r="V280" s="128">
        <v>0</v>
      </c>
    </row>
    <row r="281" spans="1:22">
      <c r="A281" s="10" t="s">
        <v>1162</v>
      </c>
      <c r="B281" s="10"/>
      <c r="C281" s="59" t="s">
        <v>695</v>
      </c>
      <c r="D281" s="59" t="s">
        <v>695</v>
      </c>
      <c r="E281" s="46" t="s">
        <v>305</v>
      </c>
      <c r="F281" s="60" t="s">
        <v>697</v>
      </c>
      <c r="G281" s="60" t="s">
        <v>697</v>
      </c>
      <c r="H281" s="46" t="s">
        <v>305</v>
      </c>
      <c r="I281" s="10" t="s">
        <v>3912</v>
      </c>
      <c r="J281" s="127">
        <v>0.1</v>
      </c>
      <c r="K281" s="127">
        <v>-0.05</v>
      </c>
      <c r="L281" s="127">
        <v>-0.05</v>
      </c>
      <c r="M281" s="127">
        <v>0</v>
      </c>
      <c r="N281" s="127">
        <v>0</v>
      </c>
      <c r="O281" s="127">
        <v>0</v>
      </c>
      <c r="P281" s="127">
        <v>0.25</v>
      </c>
      <c r="Q281" s="127">
        <v>-0.05</v>
      </c>
      <c r="R281" s="127">
        <v>0</v>
      </c>
      <c r="S281" s="127">
        <v>0</v>
      </c>
      <c r="T281" s="127">
        <v>0</v>
      </c>
      <c r="U281" s="127">
        <v>0</v>
      </c>
      <c r="V281" s="128">
        <v>0</v>
      </c>
    </row>
  </sheetData>
  <conditionalFormatting sqref="C277:H278 C280:H281 C274:H275 C271:H271 C266:H269 C258:H264 C227:H230 C232:H242 C244:H245 C250:H252 C247:H248 C254:H256 C169:H170 C172:H173 C175:H177 C221:H222 C196:H219 C186:H194 C179:H184 C224:H225 C163:H167 C115:H118 C120:H121 C123:H124 C126:H130 C132:H153 C155:H161 C106:H113 C46:H68 C2:H8 C10:H34 C70:H104 C36:H44">
    <cfRule type="cellIs" dxfId="10" priority="154" stopIfTrue="1" operator="equal">
      <formula>"Yes"</formula>
    </cfRule>
  </conditionalFormatting>
  <conditionalFormatting sqref="C277:H278 C280:H281 C274:H275 C266:H269 C271:H272 C258:H264 C227:H230 C232:H242 C244:H245 C250:H252 C247:H248 C254:H256 C169:H170 C172:H173 C175:H177 C221:H222 C196:H219 C186:H194 C179:H184 C224:H225 C163:H167 C115:H118 C120:H121 C123:H124 C126:H130 C132:H153 C155:H161 C106:H113 C46:H68 C2:H8 C10:H34 C70:H104 C36:H44">
    <cfRule type="cellIs" dxfId="9" priority="152" stopIfTrue="1" operator="equal">
      <formula>"?"</formula>
    </cfRule>
    <cfRule type="cellIs" dxfId="8" priority="153" stopIfTrue="1" operator="equal">
      <formula>"—"</formula>
    </cfRule>
  </conditionalFormatting>
  <conditionalFormatting sqref="J46:V68 J115:V118 J126:V130 J132:V153 J155:V161 J163:V167 J169:V170 J172:V173 J175:V177 J179:V184 J186:V194 J196:V219 J221:V222 J224:V225 J227:V230 J244:V245 J247:V248 J250:V252 J258:V264 J266:V269 J271:V272 J274:V275 J277:V278 J123:V124 J120:V121 J280:V281 J2:V8 J10:V34 J70:V104 J106:V113 J232:V242 J254:V256 J36:V44">
    <cfRule type="cellIs" dxfId="7" priority="104" operator="lessThan">
      <formula>0</formula>
    </cfRule>
    <cfRule type="cellIs" dxfId="6" priority="105" operator="greaterThan">
      <formula>0</formula>
    </cfRule>
    <cfRule type="cellIs" dxfId="5" priority="106" operator="equal">
      <formula>0</formula>
    </cfRule>
  </conditionalFormatting>
  <conditionalFormatting sqref="I1:I195 I220:I1048576">
    <cfRule type="containsText" dxfId="4" priority="1" operator="containsText" text="Inconnu">
      <formula>NOT(ISERROR(SEARCH("Inconnu",I1)))</formula>
    </cfRule>
  </conditionalFormatting>
  <pageMargins left="0.7" right="0.7" top="0.75" bottom="0.75" header="0.3" footer="0.3"/>
  <pageSetup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U876"/>
  <sheetViews>
    <sheetView topLeftCell="D1" zoomScale="85" zoomScaleNormal="85" workbookViewId="0">
      <pane ySplit="1" topLeftCell="A127" activePane="bottomLeft" state="frozen"/>
      <selection pane="bottomLeft" activeCell="S154" sqref="S154"/>
    </sheetView>
  </sheetViews>
  <sheetFormatPr defaultRowHeight="15"/>
  <cols>
    <col min="1" max="1" width="36.5703125" style="83" bestFit="1" customWidth="1"/>
    <col min="2" max="2" width="36.7109375" bestFit="1" customWidth="1"/>
    <col min="3" max="3" width="22.5703125" customWidth="1"/>
    <col min="4" max="4" width="18.28515625" bestFit="1" customWidth="1"/>
    <col min="5" max="5" width="12.42578125" customWidth="1"/>
    <col min="6" max="6" width="11.28515625" bestFit="1" customWidth="1"/>
    <col min="7" max="7" width="21.140625" customWidth="1"/>
    <col min="8" max="8" width="22.28515625" bestFit="1" customWidth="1"/>
    <col min="9" max="9" width="11.42578125" bestFit="1" customWidth="1"/>
    <col min="10" max="10" width="12.5703125" bestFit="1" customWidth="1"/>
    <col min="11" max="11" width="17.85546875" bestFit="1" customWidth="1"/>
    <col min="17" max="17" width="13.85546875" bestFit="1" customWidth="1"/>
    <col min="18" max="18" width="20.85546875" bestFit="1" customWidth="1"/>
  </cols>
  <sheetData>
    <row r="1" spans="1:21" ht="22.5" customHeight="1">
      <c r="A1" s="84" t="s">
        <v>994</v>
      </c>
      <c r="B1" s="84" t="s">
        <v>1128</v>
      </c>
      <c r="C1" s="84" t="s">
        <v>3980</v>
      </c>
      <c r="D1" s="85" t="s">
        <v>1123</v>
      </c>
      <c r="E1" s="84" t="s">
        <v>1124</v>
      </c>
      <c r="F1" s="84" t="s">
        <v>992</v>
      </c>
      <c r="G1" s="84" t="s">
        <v>995</v>
      </c>
      <c r="H1" s="84" t="s">
        <v>1781</v>
      </c>
      <c r="I1" s="84" t="s">
        <v>1125</v>
      </c>
      <c r="J1" s="84" t="s">
        <v>1129</v>
      </c>
      <c r="K1" s="84" t="s">
        <v>1131</v>
      </c>
      <c r="L1" s="84" t="s">
        <v>187</v>
      </c>
      <c r="M1" s="84" t="s">
        <v>3106</v>
      </c>
      <c r="N1" s="84" t="s">
        <v>3107</v>
      </c>
      <c r="O1" s="84" t="s">
        <v>3210</v>
      </c>
      <c r="P1" s="84" t="s">
        <v>3211</v>
      </c>
      <c r="Q1" s="84" t="s">
        <v>3439</v>
      </c>
      <c r="R1" s="84" t="s">
        <v>3465</v>
      </c>
    </row>
    <row r="2" spans="1:21">
      <c r="C2" s="88"/>
    </row>
    <row r="3" spans="1:21">
      <c r="A3" s="144" t="s">
        <v>996</v>
      </c>
      <c r="C3" s="88"/>
    </row>
    <row r="4" spans="1:21">
      <c r="A4" s="83" t="s">
        <v>1016</v>
      </c>
      <c r="B4" t="s">
        <v>1394</v>
      </c>
      <c r="C4" s="167" t="str">
        <f t="shared" ref="C4:C35" si="0">IF(psio_version="2.0",M4,N4)&amp;" "&amp;IF(psio_version="2.0",O4,"("&amp;P4&amp;"/"&amp;Q4&amp;")")</f>
        <v>CON-3 (i:12,m:na)</v>
      </c>
      <c r="D4" t="s">
        <v>1395</v>
      </c>
      <c r="E4" t="s">
        <v>8</v>
      </c>
      <c r="F4" t="str">
        <f>"0"</f>
        <v>0</v>
      </c>
      <c r="G4" t="s">
        <v>1384</v>
      </c>
      <c r="H4" t="s">
        <v>8</v>
      </c>
      <c r="I4" t="s">
        <v>8</v>
      </c>
      <c r="J4" t="s">
        <v>8</v>
      </c>
      <c r="K4" t="str">
        <f>IF(psio_version="2.0","MJRS5 p.53","T&amp;P p.176")</f>
        <v>MJRS5 p.53</v>
      </c>
      <c r="L4" t="s">
        <v>8</v>
      </c>
      <c r="M4" s="167" t="s">
        <v>3212</v>
      </c>
      <c r="N4" s="167" t="s">
        <v>3244</v>
      </c>
      <c r="O4" s="167" t="s">
        <v>3108</v>
      </c>
      <c r="P4" s="167">
        <v>10</v>
      </c>
      <c r="Q4" s="167">
        <v>4</v>
      </c>
      <c r="R4">
        <f>P4*5</f>
        <v>50</v>
      </c>
    </row>
    <row r="5" spans="1:21">
      <c r="A5" s="83" t="s">
        <v>1080</v>
      </c>
      <c r="B5" t="s">
        <v>1394</v>
      </c>
      <c r="C5" s="167" t="str">
        <f t="shared" si="0"/>
        <v>CON-4 (i:15,m:4/rnd)</v>
      </c>
      <c r="D5" t="str">
        <f>"0"</f>
        <v>0</v>
      </c>
      <c r="E5" t="s">
        <v>8</v>
      </c>
      <c r="F5" t="str">
        <f>"0"</f>
        <v>0</v>
      </c>
      <c r="G5" t="s">
        <v>1106</v>
      </c>
      <c r="H5" t="s">
        <v>8</v>
      </c>
      <c r="I5" t="s">
        <v>8</v>
      </c>
      <c r="J5" t="s">
        <v>8</v>
      </c>
      <c r="K5" t="str">
        <f>IF(psio_version="2.0","MJRS5 p.50","T&amp;P p.164")</f>
        <v>MJRS5 p.50</v>
      </c>
      <c r="L5" t="s">
        <v>8</v>
      </c>
      <c r="M5" s="167" t="s">
        <v>3213</v>
      </c>
      <c r="N5" s="167" t="s">
        <v>3246</v>
      </c>
      <c r="O5" s="167" t="s">
        <v>3109</v>
      </c>
      <c r="P5" s="167">
        <v>7</v>
      </c>
      <c r="Q5" s="167">
        <v>3</v>
      </c>
      <c r="R5">
        <f t="shared" ref="R5:R68" si="1">P5*5</f>
        <v>35</v>
      </c>
    </row>
    <row r="6" spans="1:21">
      <c r="A6" s="147" t="s">
        <v>1120</v>
      </c>
      <c r="B6" t="s">
        <v>1377</v>
      </c>
      <c r="C6" s="167" t="str">
        <f t="shared" si="0"/>
        <v>SAG (i:7,m:6/rnd)</v>
      </c>
      <c r="D6" t="s">
        <v>1121</v>
      </c>
      <c r="E6" t="s">
        <v>8</v>
      </c>
      <c r="F6" t="str">
        <f>"0"</f>
        <v>0</v>
      </c>
      <c r="G6" t="s">
        <v>1122</v>
      </c>
      <c r="H6" t="s">
        <v>8</v>
      </c>
      <c r="I6" t="s">
        <v>8</v>
      </c>
      <c r="J6" t="s">
        <v>8</v>
      </c>
      <c r="K6" s="31" t="str">
        <f>IF(psio_version="2.0","MJRS5 p.42","T&amp;P p.162")</f>
        <v>MJRS5 p.42</v>
      </c>
      <c r="L6" s="31" t="s">
        <v>8</v>
      </c>
      <c r="M6" s="167" t="s">
        <v>195</v>
      </c>
      <c r="N6" s="167" t="s">
        <v>3245</v>
      </c>
      <c r="O6" s="167" t="s">
        <v>3110</v>
      </c>
      <c r="P6" s="167">
        <v>7</v>
      </c>
      <c r="Q6" s="167">
        <v>3</v>
      </c>
      <c r="R6">
        <f t="shared" si="1"/>
        <v>35</v>
      </c>
    </row>
    <row r="7" spans="1:21">
      <c r="A7" s="83" t="s">
        <v>1017</v>
      </c>
      <c r="B7" t="s">
        <v>1394</v>
      </c>
      <c r="C7" s="167" t="str">
        <f t="shared" si="0"/>
        <v>CON-3 (i:5,m:≤20/rnd)</v>
      </c>
      <c r="D7" t="s">
        <v>1395</v>
      </c>
      <c r="E7" t="s">
        <v>8</v>
      </c>
      <c r="F7" t="str">
        <f>"0"</f>
        <v>0</v>
      </c>
      <c r="G7" t="s">
        <v>1384</v>
      </c>
      <c r="H7" t="s">
        <v>8</v>
      </c>
      <c r="I7" t="s">
        <v>8</v>
      </c>
      <c r="J7" t="s">
        <v>8</v>
      </c>
      <c r="K7" t="str">
        <f>IF(psio_version="2.0","MJRS5 p.53","T&amp;P p.166")</f>
        <v>MJRS5 p.53</v>
      </c>
      <c r="L7" s="31" t="s">
        <v>8</v>
      </c>
      <c r="M7" s="167" t="s">
        <v>3212</v>
      </c>
      <c r="N7" s="167" t="s">
        <v>3244</v>
      </c>
      <c r="O7" s="167" t="s">
        <v>3111</v>
      </c>
      <c r="P7" s="167" t="s">
        <v>3440</v>
      </c>
      <c r="Q7" s="167" t="s">
        <v>3441</v>
      </c>
      <c r="R7">
        <v>25</v>
      </c>
      <c r="U7" s="1"/>
    </row>
    <row r="8" spans="1:21">
      <c r="A8" s="83" t="s">
        <v>1746</v>
      </c>
      <c r="B8" t="str">
        <f>IF(psio_version="2.0","Métapsionisme","Télépathie")</f>
        <v>Métapsionisme</v>
      </c>
      <c r="C8" s="167" t="str">
        <f t="shared" si="0"/>
        <v>SAG-4 (i:10,m:na)</v>
      </c>
      <c r="D8" t="s">
        <v>1395</v>
      </c>
      <c r="E8" t="s">
        <v>8</v>
      </c>
      <c r="F8">
        <v>5</v>
      </c>
      <c r="G8" s="133" t="s">
        <v>1384</v>
      </c>
      <c r="H8" t="s">
        <v>8</v>
      </c>
      <c r="I8" t="s">
        <v>8</v>
      </c>
      <c r="J8" t="s">
        <v>8</v>
      </c>
      <c r="K8" t="str">
        <f>IF(psio_version="2.0","MJRS5 p.93","T&amp;P p.177")</f>
        <v>MJRS5 p.93</v>
      </c>
      <c r="L8" s="31" t="s">
        <v>8</v>
      </c>
      <c r="M8" s="167" t="s">
        <v>3214</v>
      </c>
      <c r="N8" s="167" t="s">
        <v>3242</v>
      </c>
      <c r="O8" s="167" t="s">
        <v>3112</v>
      </c>
      <c r="P8" s="167">
        <v>10</v>
      </c>
      <c r="Q8" s="167">
        <v>5</v>
      </c>
      <c r="R8">
        <f t="shared" si="1"/>
        <v>50</v>
      </c>
    </row>
    <row r="9" spans="1:21">
      <c r="A9" s="147" t="s">
        <v>2344</v>
      </c>
      <c r="B9" t="s">
        <v>1377</v>
      </c>
      <c r="C9" s="167" t="str">
        <f t="shared" si="0"/>
        <v>INT (i:4,m:3/rnd)</v>
      </c>
      <c r="D9" t="s">
        <v>1118</v>
      </c>
      <c r="E9" t="s">
        <v>8</v>
      </c>
      <c r="F9" t="str">
        <f>"0"</f>
        <v>0</v>
      </c>
      <c r="G9" t="s">
        <v>1376</v>
      </c>
      <c r="H9" t="s">
        <v>8</v>
      </c>
      <c r="I9" t="s">
        <v>8</v>
      </c>
      <c r="J9" t="s">
        <v>8</v>
      </c>
      <c r="K9" t="str">
        <f>IF(psio_version="2.0","MJRS5 p.42","T&amp;P p.176")</f>
        <v>MJRS5 p.42</v>
      </c>
      <c r="L9" t="s">
        <v>8</v>
      </c>
      <c r="M9" s="167" t="s">
        <v>194</v>
      </c>
      <c r="N9" s="167" t="s">
        <v>3242</v>
      </c>
      <c r="O9" s="167" t="s">
        <v>3113</v>
      </c>
      <c r="P9" s="167">
        <v>3</v>
      </c>
      <c r="Q9" s="167">
        <v>1</v>
      </c>
      <c r="R9">
        <f t="shared" si="1"/>
        <v>15</v>
      </c>
    </row>
    <row r="10" spans="1:21">
      <c r="A10" s="168" t="s">
        <v>1753</v>
      </c>
      <c r="B10" t="str">
        <f>IF(psio_version="2.0","Métapsionisme","Psychométabolisme")</f>
        <v>Métapsionisme</v>
      </c>
      <c r="C10" s="167" t="str">
        <f t="shared" si="0"/>
        <v>SAG-5 (i:25*am,m:am/rd)</v>
      </c>
      <c r="D10" t="str">
        <f>"0"</f>
        <v>0</v>
      </c>
      <c r="E10" t="s">
        <v>8</v>
      </c>
      <c r="F10">
        <v>5</v>
      </c>
      <c r="G10" s="133" t="s">
        <v>1106</v>
      </c>
      <c r="H10" t="s">
        <v>8</v>
      </c>
      <c r="I10" t="s">
        <v>8</v>
      </c>
      <c r="J10" t="s">
        <v>8</v>
      </c>
      <c r="K10" t="str">
        <f>IF(psio_version="2.0","MJRS5 p.98","T&amp;P p.176")</f>
        <v>MJRS5 p.98</v>
      </c>
      <c r="L10" t="s">
        <v>8</v>
      </c>
      <c r="M10" s="167" t="s">
        <v>3215</v>
      </c>
      <c r="N10" s="167" t="s">
        <v>3242</v>
      </c>
      <c r="O10" s="167" t="s">
        <v>3114</v>
      </c>
      <c r="P10" s="167" t="s">
        <v>3442</v>
      </c>
      <c r="Q10" s="167" t="s">
        <v>3442</v>
      </c>
      <c r="R10">
        <v>125</v>
      </c>
    </row>
    <row r="11" spans="1:21">
      <c r="A11" s="83" t="s">
        <v>1045</v>
      </c>
      <c r="B11" t="s">
        <v>1410</v>
      </c>
      <c r="C11" s="167" t="str">
        <f t="shared" si="0"/>
        <v>SAG-2 (i:cont,m:4/rnd)</v>
      </c>
      <c r="D11" t="s">
        <v>1100</v>
      </c>
      <c r="E11" t="s">
        <v>8</v>
      </c>
      <c r="F11" t="str">
        <f>"0"</f>
        <v>0</v>
      </c>
      <c r="G11" t="s">
        <v>1384</v>
      </c>
      <c r="H11" t="s">
        <v>8</v>
      </c>
      <c r="I11" t="s">
        <v>8</v>
      </c>
      <c r="J11" s="31" t="s">
        <v>8</v>
      </c>
      <c r="K11" s="31" t="str">
        <f>IF(psio_version="2.0","MJRS5 p.80","T&amp;P p.177")</f>
        <v>MJRS5 p.80</v>
      </c>
      <c r="L11" s="31" t="s">
        <v>8</v>
      </c>
      <c r="M11" s="167" t="s">
        <v>3216</v>
      </c>
      <c r="N11" s="167" t="s">
        <v>3250</v>
      </c>
      <c r="O11" s="167" t="s">
        <v>3115</v>
      </c>
      <c r="P11" s="167">
        <v>5</v>
      </c>
      <c r="Q11" s="167">
        <v>2</v>
      </c>
      <c r="R11">
        <f t="shared" si="1"/>
        <v>25</v>
      </c>
    </row>
    <row r="12" spans="1:21">
      <c r="A12" s="83" t="s">
        <v>1040</v>
      </c>
      <c r="B12" t="s">
        <v>1401</v>
      </c>
      <c r="C12" s="167" t="str">
        <f t="shared" si="0"/>
        <v>INT (i:5,m:1/rnd)</v>
      </c>
      <c r="D12" t="str">
        <f>"0"</f>
        <v>0</v>
      </c>
      <c r="E12" t="s">
        <v>8</v>
      </c>
      <c r="F12" t="str">
        <f>"0"</f>
        <v>0</v>
      </c>
      <c r="G12" t="s">
        <v>1406</v>
      </c>
      <c r="H12" t="s">
        <v>8</v>
      </c>
      <c r="I12" t="s">
        <v>8</v>
      </c>
      <c r="J12" s="31" t="s">
        <v>8</v>
      </c>
      <c r="K12" s="31" t="str">
        <f>IF(psio_version="2.0","MJRS5 p.67","T&amp;P p.177")</f>
        <v>MJRS5 p.67</v>
      </c>
      <c r="L12" s="31" t="s">
        <v>8</v>
      </c>
      <c r="M12" s="167" t="s">
        <v>194</v>
      </c>
      <c r="N12" s="167" t="s">
        <v>3242</v>
      </c>
      <c r="O12" s="167" t="s">
        <v>3116</v>
      </c>
      <c r="P12" s="167">
        <v>3</v>
      </c>
      <c r="Q12" s="167">
        <v>1</v>
      </c>
      <c r="R12">
        <f t="shared" si="1"/>
        <v>15</v>
      </c>
    </row>
    <row r="13" spans="1:21">
      <c r="A13" s="83" t="s">
        <v>1010</v>
      </c>
      <c r="B13" t="s">
        <v>1377</v>
      </c>
      <c r="C13" s="167" t="str">
        <f t="shared" si="0"/>
        <v>INT-3 (i:7,m:3/rnd)</v>
      </c>
      <c r="D13">
        <v>40</v>
      </c>
      <c r="E13" t="s">
        <v>8</v>
      </c>
      <c r="F13" t="str">
        <f>"0"</f>
        <v>0</v>
      </c>
      <c r="G13" t="s">
        <v>3724</v>
      </c>
      <c r="H13" t="s">
        <v>8</v>
      </c>
      <c r="I13" t="s">
        <v>8</v>
      </c>
      <c r="J13" t="s">
        <v>8</v>
      </c>
      <c r="K13" s="31" t="str">
        <f>IF(psio_version="2.0","MJRS5 p.43","T&amp;P p.176")</f>
        <v>MJRS5 p.43</v>
      </c>
      <c r="L13" s="31" t="s">
        <v>8</v>
      </c>
      <c r="M13" s="167" t="s">
        <v>3217</v>
      </c>
      <c r="N13" s="167" t="s">
        <v>3242</v>
      </c>
      <c r="O13" s="167" t="s">
        <v>3117</v>
      </c>
      <c r="P13" s="167">
        <v>4</v>
      </c>
      <c r="Q13" s="167">
        <v>2</v>
      </c>
      <c r="R13">
        <f t="shared" si="1"/>
        <v>20</v>
      </c>
    </row>
    <row r="14" spans="1:21">
      <c r="A14" s="147" t="s">
        <v>1009</v>
      </c>
      <c r="B14" t="s">
        <v>1377</v>
      </c>
      <c r="C14" s="167" t="str">
        <f t="shared" si="0"/>
        <v>INT-3 (i:8,m:3/rnd)</v>
      </c>
      <c r="D14" t="s">
        <v>1105</v>
      </c>
      <c r="E14" t="s">
        <v>8</v>
      </c>
      <c r="F14">
        <v>1</v>
      </c>
      <c r="G14" t="s">
        <v>1379</v>
      </c>
      <c r="H14" t="s">
        <v>8</v>
      </c>
      <c r="I14" t="s">
        <v>8</v>
      </c>
      <c r="J14" t="s">
        <v>8</v>
      </c>
      <c r="K14" t="str">
        <f>IF(psio_version="2.0","MJRS5 p.43","T&amp;P p.163")</f>
        <v>MJRS5 p.43</v>
      </c>
      <c r="L14" s="31" t="s">
        <v>8</v>
      </c>
      <c r="M14" s="167" t="s">
        <v>3217</v>
      </c>
      <c r="N14" s="167" t="s">
        <v>3243</v>
      </c>
      <c r="O14" s="167" t="s">
        <v>3118</v>
      </c>
      <c r="P14" s="167">
        <v>5</v>
      </c>
      <c r="Q14" s="167">
        <v>2</v>
      </c>
      <c r="R14">
        <f t="shared" si="1"/>
        <v>25</v>
      </c>
    </row>
    <row r="15" spans="1:21">
      <c r="A15" s="83" t="s">
        <v>1018</v>
      </c>
      <c r="B15" t="s">
        <v>1394</v>
      </c>
      <c r="C15" s="167" t="str">
        <f t="shared" si="0"/>
        <v>CON-3 (i:12,m:na)</v>
      </c>
      <c r="D15" t="s">
        <v>1397</v>
      </c>
      <c r="E15" t="s">
        <v>8</v>
      </c>
      <c r="F15">
        <v>5</v>
      </c>
      <c r="G15" t="s">
        <v>1384</v>
      </c>
      <c r="H15" t="s">
        <v>8</v>
      </c>
      <c r="I15" t="s">
        <v>8</v>
      </c>
      <c r="J15" t="s">
        <v>8</v>
      </c>
      <c r="K15" t="str">
        <f>IF(psio_version="2.0","MJRS5 p.54","T&amp;P p.176")</f>
        <v>MJRS5 p.54</v>
      </c>
      <c r="L15" s="31" t="s">
        <v>8</v>
      </c>
      <c r="M15" s="167" t="s">
        <v>3212</v>
      </c>
      <c r="N15" s="167" t="s">
        <v>3244</v>
      </c>
      <c r="O15" s="167" t="s">
        <v>3108</v>
      </c>
      <c r="P15" s="167">
        <v>12</v>
      </c>
      <c r="Q15" s="167">
        <v>5</v>
      </c>
      <c r="R15">
        <f t="shared" si="1"/>
        <v>60</v>
      </c>
    </row>
    <row r="16" spans="1:21">
      <c r="A16" s="83" t="s">
        <v>1747</v>
      </c>
      <c r="B16" t="str">
        <f>IF(psio_version="2.0","Métapsionisme","Clairsentience")</f>
        <v>Métapsionisme</v>
      </c>
      <c r="C16" s="167" t="str">
        <f t="shared" si="0"/>
        <v>INT-4 (i:14,m:na)</v>
      </c>
      <c r="D16" t="str">
        <f>"0"</f>
        <v>0</v>
      </c>
      <c r="E16" t="s">
        <v>8</v>
      </c>
      <c r="F16" t="str">
        <f t="shared" ref="F16:F22" si="2">"0"</f>
        <v>0</v>
      </c>
      <c r="G16" s="133" t="s">
        <v>1106</v>
      </c>
      <c r="H16" t="s">
        <v>8</v>
      </c>
      <c r="I16" s="31" t="s">
        <v>8</v>
      </c>
      <c r="J16" s="31" t="s">
        <v>8</v>
      </c>
      <c r="K16" s="31" t="str">
        <f>IF(psio_version="2.0","MJRS5 p.93","T&amp;P p.175")</f>
        <v>MJRS5 p.93</v>
      </c>
      <c r="L16" s="31" t="s">
        <v>8</v>
      </c>
      <c r="M16" s="167" t="s">
        <v>3218</v>
      </c>
      <c r="N16" s="167" t="s">
        <v>3244</v>
      </c>
      <c r="O16" s="167" t="s">
        <v>3119</v>
      </c>
      <c r="P16" s="167">
        <v>14</v>
      </c>
      <c r="Q16" s="167">
        <v>6</v>
      </c>
      <c r="R16">
        <f t="shared" si="1"/>
        <v>70</v>
      </c>
    </row>
    <row r="17" spans="1:18">
      <c r="A17" s="83" t="s">
        <v>1019</v>
      </c>
      <c r="B17" t="s">
        <v>1394</v>
      </c>
      <c r="C17" s="167" t="str">
        <f t="shared" si="0"/>
        <v>CON-3 (i:9,m:4/rnd)</v>
      </c>
      <c r="D17" t="str">
        <f>"0"</f>
        <v>0</v>
      </c>
      <c r="E17" t="s">
        <v>8</v>
      </c>
      <c r="F17" t="str">
        <f t="shared" si="2"/>
        <v>0</v>
      </c>
      <c r="G17" t="s">
        <v>1106</v>
      </c>
      <c r="H17" t="s">
        <v>8</v>
      </c>
      <c r="I17" t="s">
        <v>8</v>
      </c>
      <c r="J17" t="s">
        <v>8</v>
      </c>
      <c r="K17" t="str">
        <f>IF(psio_version="2.0","MJRS5 p.54","T&amp;P p.166")</f>
        <v>MJRS5 p.54</v>
      </c>
      <c r="L17" t="s">
        <v>8</v>
      </c>
      <c r="M17" s="167" t="s">
        <v>3212</v>
      </c>
      <c r="N17" s="167" t="s">
        <v>3244</v>
      </c>
      <c r="O17" s="167" t="s">
        <v>3120</v>
      </c>
      <c r="P17" s="167">
        <v>6</v>
      </c>
      <c r="Q17" s="167">
        <v>3</v>
      </c>
      <c r="R17">
        <f t="shared" si="1"/>
        <v>30</v>
      </c>
    </row>
    <row r="18" spans="1:18">
      <c r="A18" s="83" t="s">
        <v>1020</v>
      </c>
      <c r="B18" t="s">
        <v>1394</v>
      </c>
      <c r="C18" s="167" t="str">
        <f t="shared" si="0"/>
        <v>CON-3 (i:8,m:4/rnd)</v>
      </c>
      <c r="D18" t="str">
        <f>"0"</f>
        <v>0</v>
      </c>
      <c r="E18" t="s">
        <v>8</v>
      </c>
      <c r="F18" t="str">
        <f t="shared" si="2"/>
        <v>0</v>
      </c>
      <c r="G18" t="s">
        <v>1106</v>
      </c>
      <c r="H18" t="s">
        <v>8</v>
      </c>
      <c r="I18" t="s">
        <v>8</v>
      </c>
      <c r="J18" t="s">
        <v>8</v>
      </c>
      <c r="K18" t="str">
        <f>IF(psio_version="2.0","MJRS5 p.54","T&amp;P p.176")</f>
        <v>MJRS5 p.54</v>
      </c>
      <c r="L18" t="s">
        <v>8</v>
      </c>
      <c r="M18" s="167" t="s">
        <v>3212</v>
      </c>
      <c r="N18" s="167" t="s">
        <v>3244</v>
      </c>
      <c r="O18" s="167" t="s">
        <v>3121</v>
      </c>
      <c r="P18" s="167">
        <v>5</v>
      </c>
      <c r="Q18" s="167">
        <v>2</v>
      </c>
      <c r="R18">
        <f t="shared" si="1"/>
        <v>25</v>
      </c>
    </row>
    <row r="19" spans="1:18">
      <c r="A19" s="83" t="s">
        <v>1754</v>
      </c>
      <c r="B19" t="str">
        <f>IF(psio_version="2.0","Métapsionisme","Psychotranslation")</f>
        <v>Métapsionisme</v>
      </c>
      <c r="C19" s="167" t="str">
        <f t="shared" si="0"/>
        <v>SAG-4 (i:15,m:8/rnd)</v>
      </c>
      <c r="D19" t="s">
        <v>1118</v>
      </c>
      <c r="E19" t="s">
        <v>8</v>
      </c>
      <c r="F19" t="str">
        <f t="shared" si="2"/>
        <v>0</v>
      </c>
      <c r="G19" t="s">
        <v>1777</v>
      </c>
      <c r="H19" t="s">
        <v>8</v>
      </c>
      <c r="I19" t="s">
        <v>8</v>
      </c>
      <c r="J19" s="31" t="s">
        <v>8</v>
      </c>
      <c r="K19" s="31" t="str">
        <f>IF(psio_version="2.0","MJRS5 p.98","T&amp;P p.177")</f>
        <v>MJRS5 p.98</v>
      </c>
      <c r="L19" s="31" t="s">
        <v>8</v>
      </c>
      <c r="M19" s="167" t="s">
        <v>3214</v>
      </c>
      <c r="N19" s="167" t="s">
        <v>3242</v>
      </c>
      <c r="O19" s="167" t="s">
        <v>3122</v>
      </c>
      <c r="P19" s="167">
        <v>10</v>
      </c>
      <c r="Q19" s="167">
        <v>5</v>
      </c>
      <c r="R19">
        <f t="shared" si="1"/>
        <v>50</v>
      </c>
    </row>
    <row r="20" spans="1:18">
      <c r="A20" s="83" t="s">
        <v>1081</v>
      </c>
      <c r="B20" t="s">
        <v>1394</v>
      </c>
      <c r="C20" s="167" t="str">
        <f t="shared" si="0"/>
        <v>CON-2 (i:10,m:na)</v>
      </c>
      <c r="D20" t="str">
        <f>"0"</f>
        <v>0</v>
      </c>
      <c r="E20" t="s">
        <v>8</v>
      </c>
      <c r="F20" t="str">
        <f t="shared" si="2"/>
        <v>0</v>
      </c>
      <c r="G20" t="s">
        <v>1106</v>
      </c>
      <c r="H20" t="s">
        <v>8</v>
      </c>
      <c r="I20" t="s">
        <v>8</v>
      </c>
      <c r="J20" t="s">
        <v>8</v>
      </c>
      <c r="K20" t="str">
        <f>IF(psio_version="2.0","MJRS5 p.50","T&amp;P p.176")</f>
        <v>MJRS5 p.50</v>
      </c>
      <c r="L20" s="31" t="s">
        <v>8</v>
      </c>
      <c r="M20" s="167" t="s">
        <v>3219</v>
      </c>
      <c r="N20" s="167" t="s">
        <v>3244</v>
      </c>
      <c r="O20" s="167" t="s">
        <v>3112</v>
      </c>
      <c r="P20" s="167">
        <v>9</v>
      </c>
      <c r="Q20" s="167">
        <v>3</v>
      </c>
      <c r="R20">
        <f t="shared" si="1"/>
        <v>45</v>
      </c>
    </row>
    <row r="21" spans="1:18">
      <c r="A21" s="87" t="s">
        <v>1011</v>
      </c>
      <c r="B21" t="s">
        <v>1377</v>
      </c>
      <c r="C21" s="167" t="str">
        <f t="shared" si="0"/>
        <v>CON-2 (i:5,m:na)</v>
      </c>
      <c r="D21" t="s">
        <v>1118</v>
      </c>
      <c r="E21" t="s">
        <v>8</v>
      </c>
      <c r="F21" t="str">
        <f t="shared" si="2"/>
        <v>0</v>
      </c>
      <c r="G21" t="s">
        <v>1380</v>
      </c>
      <c r="H21" t="s">
        <v>8</v>
      </c>
      <c r="I21" t="s">
        <v>8</v>
      </c>
      <c r="J21" t="s">
        <v>8</v>
      </c>
      <c r="K21" t="str">
        <f>IF(psio_version="2.0","MJRS5 p.43","T&amp;P p.176")</f>
        <v>MJRS5 p.43</v>
      </c>
      <c r="L21" t="s">
        <v>8</v>
      </c>
      <c r="M21" s="167" t="s">
        <v>3219</v>
      </c>
      <c r="N21" s="167" t="s">
        <v>3244</v>
      </c>
      <c r="O21" s="167" t="s">
        <v>3123</v>
      </c>
      <c r="P21" s="167">
        <v>5</v>
      </c>
      <c r="Q21" s="167">
        <v>3</v>
      </c>
      <c r="R21">
        <f t="shared" si="1"/>
        <v>25</v>
      </c>
    </row>
    <row r="22" spans="1:18">
      <c r="A22" s="142" t="s">
        <v>1046</v>
      </c>
      <c r="B22" t="s">
        <v>1410</v>
      </c>
      <c r="C22" s="167" t="str">
        <f t="shared" si="0"/>
        <v>SAG-4 (i:cont,m:8/rnd)</v>
      </c>
      <c r="D22" t="s">
        <v>1114</v>
      </c>
      <c r="E22" t="s">
        <v>8</v>
      </c>
      <c r="F22" t="str">
        <f t="shared" si="2"/>
        <v>0</v>
      </c>
      <c r="G22" t="s">
        <v>1384</v>
      </c>
      <c r="H22" t="s">
        <v>8</v>
      </c>
      <c r="I22" t="s">
        <v>8</v>
      </c>
      <c r="J22" t="s">
        <v>8</v>
      </c>
      <c r="K22" s="31" t="str">
        <f>IF(psio_version="2.0","MJRS5 p.80","T&amp;P p.177")</f>
        <v>MJRS5 p.80</v>
      </c>
      <c r="L22" s="31" t="s">
        <v>8</v>
      </c>
      <c r="M22" s="167" t="s">
        <v>3214</v>
      </c>
      <c r="N22" s="167" t="s">
        <v>3243</v>
      </c>
      <c r="O22" s="167" t="s">
        <v>3124</v>
      </c>
      <c r="P22" s="167">
        <v>8</v>
      </c>
      <c r="Q22" s="167">
        <v>3</v>
      </c>
      <c r="R22">
        <f t="shared" si="1"/>
        <v>40</v>
      </c>
    </row>
    <row r="23" spans="1:18">
      <c r="A23" s="83" t="s">
        <v>1755</v>
      </c>
      <c r="B23" t="str">
        <f>IF(psio_version="2.0","Métapsionisme","Psychométabolisme")</f>
        <v>Métapsionisme</v>
      </c>
      <c r="C23" s="167" t="str">
        <f t="shared" si="0"/>
        <v>SAG-3 (i:30,m:8/rnd)</v>
      </c>
      <c r="D23" t="str">
        <f>"0"</f>
        <v>0</v>
      </c>
      <c r="E23" t="s">
        <v>8</v>
      </c>
      <c r="F23">
        <v>5</v>
      </c>
      <c r="G23" s="133" t="s">
        <v>1106</v>
      </c>
      <c r="H23" t="s">
        <v>8</v>
      </c>
      <c r="I23" t="s">
        <v>8</v>
      </c>
      <c r="J23" t="s">
        <v>8</v>
      </c>
      <c r="K23" s="31" t="str">
        <f>IF(psio_version="2.0","MJRS5 p.98","T&amp;P p.176")</f>
        <v>MJRS5 p.98</v>
      </c>
      <c r="L23" s="31" t="s">
        <v>8</v>
      </c>
      <c r="M23" s="167" t="s">
        <v>3220</v>
      </c>
      <c r="N23" s="167" t="s">
        <v>3250</v>
      </c>
      <c r="O23" s="167" t="s">
        <v>3125</v>
      </c>
      <c r="P23" s="167">
        <v>14</v>
      </c>
      <c r="Q23" s="167">
        <v>6</v>
      </c>
      <c r="R23">
        <f t="shared" si="1"/>
        <v>70</v>
      </c>
    </row>
    <row r="24" spans="1:18">
      <c r="A24" s="142" t="s">
        <v>1756</v>
      </c>
      <c r="B24" t="str">
        <f>IF(psio_version="2.0","Métapsionisme","Psychométabolisme")</f>
        <v>Métapsionisme</v>
      </c>
      <c r="C24" s="167" t="str">
        <f t="shared" si="0"/>
        <v>CON (i:0,m:na)</v>
      </c>
      <c r="D24" t="str">
        <f>"0"</f>
        <v>0</v>
      </c>
      <c r="E24" t="s">
        <v>8</v>
      </c>
      <c r="F24" t="str">
        <f t="shared" ref="F24:F30" si="3">"0"</f>
        <v>0</v>
      </c>
      <c r="G24" s="133" t="s">
        <v>1106</v>
      </c>
      <c r="H24" t="s">
        <v>8</v>
      </c>
      <c r="I24" t="s">
        <v>8</v>
      </c>
      <c r="J24" t="s">
        <v>8</v>
      </c>
      <c r="K24" s="31" t="str">
        <f>IF(psio_version="2.0","MJRS5 p.99","T&amp;P p.166")</f>
        <v>MJRS5 p.99</v>
      </c>
      <c r="L24" s="31" t="s">
        <v>8</v>
      </c>
      <c r="M24" s="167" t="s">
        <v>199</v>
      </c>
      <c r="N24" s="167" t="s">
        <v>3243</v>
      </c>
      <c r="O24" s="167" t="s">
        <v>3126</v>
      </c>
      <c r="P24" s="167">
        <v>0</v>
      </c>
      <c r="Q24" s="167">
        <v>0</v>
      </c>
      <c r="R24">
        <f t="shared" si="1"/>
        <v>0</v>
      </c>
    </row>
    <row r="25" spans="1:18">
      <c r="A25" s="83" t="s">
        <v>1047</v>
      </c>
      <c r="B25" t="s">
        <v>1410</v>
      </c>
      <c r="C25" s="167" t="str">
        <f t="shared" si="0"/>
        <v>SAG-4 (i:cont,m:8/tour)</v>
      </c>
      <c r="D25" t="s">
        <v>1114</v>
      </c>
      <c r="E25" t="s">
        <v>8</v>
      </c>
      <c r="F25" t="str">
        <f t="shared" si="3"/>
        <v>0</v>
      </c>
      <c r="G25" t="s">
        <v>1384</v>
      </c>
      <c r="H25" t="s">
        <v>8</v>
      </c>
      <c r="I25" t="s">
        <v>8</v>
      </c>
      <c r="J25" t="s">
        <v>8</v>
      </c>
      <c r="K25" s="31" t="str">
        <f>IF(psio_version="2.0","MJRS5 p.81","T&amp;P p.177")</f>
        <v>MJRS5 p.81</v>
      </c>
      <c r="L25" s="31" t="s">
        <v>8</v>
      </c>
      <c r="M25" s="167" t="s">
        <v>3214</v>
      </c>
      <c r="N25" s="167" t="s">
        <v>3243</v>
      </c>
      <c r="O25" s="167" t="s">
        <v>3127</v>
      </c>
      <c r="P25" s="167">
        <v>8</v>
      </c>
      <c r="Q25" s="167">
        <v>3</v>
      </c>
      <c r="R25">
        <f t="shared" si="1"/>
        <v>40</v>
      </c>
    </row>
    <row r="26" spans="1:18">
      <c r="A26" s="142" t="s">
        <v>1087</v>
      </c>
      <c r="B26" t="s">
        <v>1401</v>
      </c>
      <c r="C26" s="167" t="str">
        <f t="shared" si="0"/>
        <v>INT-1 (i:30,m:10/rnd)</v>
      </c>
      <c r="D26" t="s">
        <v>1402</v>
      </c>
      <c r="E26" t="s">
        <v>8</v>
      </c>
      <c r="F26" t="str">
        <f t="shared" si="3"/>
        <v>0</v>
      </c>
      <c r="G26" t="s">
        <v>1384</v>
      </c>
      <c r="H26" t="s">
        <v>8</v>
      </c>
      <c r="I26" t="s">
        <v>8</v>
      </c>
      <c r="J26" t="s">
        <v>8</v>
      </c>
      <c r="K26" t="str">
        <f>IF(psio_version="2.0","MJRS5 p.64","T&amp;P p.168")</f>
        <v>MJRS5 p.64</v>
      </c>
      <c r="L26" t="s">
        <v>8</v>
      </c>
      <c r="M26" s="167" t="s">
        <v>3221</v>
      </c>
      <c r="N26" s="167" t="s">
        <v>3242</v>
      </c>
      <c r="O26" s="167" t="s">
        <v>3128</v>
      </c>
      <c r="P26" s="167">
        <v>15</v>
      </c>
      <c r="Q26" s="167">
        <v>6</v>
      </c>
      <c r="R26">
        <f t="shared" si="1"/>
        <v>75</v>
      </c>
    </row>
    <row r="27" spans="1:18">
      <c r="A27" s="147" t="s">
        <v>1381</v>
      </c>
      <c r="B27" t="s">
        <v>1377</v>
      </c>
      <c r="C27" s="167" t="str">
        <f t="shared" si="0"/>
        <v>CON-3 (i:7,m:5/rnd)</v>
      </c>
      <c r="D27" t="str">
        <f t="shared" ref="D27:D32" si="4">"0"</f>
        <v>0</v>
      </c>
      <c r="E27" t="s">
        <v>8</v>
      </c>
      <c r="F27" t="str">
        <f t="shared" si="3"/>
        <v>0</v>
      </c>
      <c r="G27" t="s">
        <v>1382</v>
      </c>
      <c r="H27" t="s">
        <v>8</v>
      </c>
      <c r="I27" t="s">
        <v>8</v>
      </c>
      <c r="J27" t="s">
        <v>8</v>
      </c>
      <c r="K27" t="str">
        <f>IF(psio_version="2.0","MJRS5 p.44","T&amp;P p.163")</f>
        <v>MJRS5 p.44</v>
      </c>
      <c r="L27" t="s">
        <v>8</v>
      </c>
      <c r="M27" s="167" t="s">
        <v>3212</v>
      </c>
      <c r="N27" s="167" t="s">
        <v>3244</v>
      </c>
      <c r="O27" s="167" t="s">
        <v>3129</v>
      </c>
      <c r="P27" s="167">
        <v>6</v>
      </c>
      <c r="Q27" s="167">
        <v>2</v>
      </c>
      <c r="R27">
        <f t="shared" si="1"/>
        <v>30</v>
      </c>
    </row>
    <row r="28" spans="1:18">
      <c r="A28" s="83" t="s">
        <v>1726</v>
      </c>
      <c r="B28" t="s">
        <v>1410</v>
      </c>
      <c r="C28" s="167" t="str">
        <f t="shared" si="0"/>
        <v>SAG-2 (i:3,m:na)</v>
      </c>
      <c r="D28" t="str">
        <f t="shared" si="4"/>
        <v>0</v>
      </c>
      <c r="E28" t="s">
        <v>8</v>
      </c>
      <c r="F28" t="str">
        <f t="shared" si="3"/>
        <v>0</v>
      </c>
      <c r="G28" t="s">
        <v>1106</v>
      </c>
      <c r="H28" t="s">
        <v>8</v>
      </c>
      <c r="I28" t="s">
        <v>8</v>
      </c>
      <c r="J28" t="s">
        <v>8</v>
      </c>
      <c r="K28" s="31" t="str">
        <f>IF(psio_version="2.0","MJRS5 p.81","T&amp;P p.148")</f>
        <v>MJRS5 p.81</v>
      </c>
      <c r="L28" s="31" t="s">
        <v>8</v>
      </c>
      <c r="M28" s="167" t="s">
        <v>3216</v>
      </c>
      <c r="N28" s="167" t="s">
        <v>168</v>
      </c>
      <c r="O28" s="167" t="s">
        <v>3130</v>
      </c>
      <c r="P28" s="181">
        <v>5</v>
      </c>
      <c r="Q28" s="181" t="s">
        <v>3443</v>
      </c>
      <c r="R28">
        <f t="shared" si="1"/>
        <v>25</v>
      </c>
    </row>
    <row r="29" spans="1:18">
      <c r="A29" s="83" t="s">
        <v>1021</v>
      </c>
      <c r="B29" t="s">
        <v>1394</v>
      </c>
      <c r="C29" s="167" t="str">
        <f t="shared" si="0"/>
        <v>CON-2 (i:6,m:3/rnd)</v>
      </c>
      <c r="D29" t="str">
        <f t="shared" si="4"/>
        <v>0</v>
      </c>
      <c r="E29" t="s">
        <v>8</v>
      </c>
      <c r="F29" t="str">
        <f t="shared" si="3"/>
        <v>0</v>
      </c>
      <c r="G29" t="s">
        <v>1106</v>
      </c>
      <c r="H29" t="s">
        <v>8</v>
      </c>
      <c r="I29" t="s">
        <v>8</v>
      </c>
      <c r="J29" t="s">
        <v>8</v>
      </c>
      <c r="K29" s="31" t="str">
        <f>IF(psio_version="2.0","MJRS5 p.55","T&amp;P p.176")</f>
        <v>MJRS5 p.55</v>
      </c>
      <c r="L29" s="31" t="s">
        <v>8</v>
      </c>
      <c r="M29" s="167" t="s">
        <v>3219</v>
      </c>
      <c r="N29" s="167" t="s">
        <v>3244</v>
      </c>
      <c r="O29" s="167" t="s">
        <v>3131</v>
      </c>
      <c r="P29" s="167">
        <v>4</v>
      </c>
      <c r="Q29" s="167">
        <v>2</v>
      </c>
      <c r="R29">
        <f t="shared" si="1"/>
        <v>20</v>
      </c>
    </row>
    <row r="30" spans="1:18">
      <c r="A30" s="83" t="s">
        <v>1727</v>
      </c>
      <c r="B30" t="s">
        <v>1410</v>
      </c>
      <c r="C30" s="167" t="str">
        <f t="shared" si="0"/>
        <v>SAG-3 (i:1,m:na)</v>
      </c>
      <c r="D30" t="str">
        <f t="shared" si="4"/>
        <v>0</v>
      </c>
      <c r="E30" t="s">
        <v>8</v>
      </c>
      <c r="F30" t="str">
        <f t="shared" si="3"/>
        <v>0</v>
      </c>
      <c r="G30" t="s">
        <v>1106</v>
      </c>
      <c r="H30" t="s">
        <v>8</v>
      </c>
      <c r="I30" t="s">
        <v>8</v>
      </c>
      <c r="J30" t="s">
        <v>8</v>
      </c>
      <c r="K30" s="31" t="str">
        <f>IF(psio_version="2.0","MJRS5 p.81","T&amp;P p.148")</f>
        <v>MJRS5 p.81</v>
      </c>
      <c r="L30" s="31" t="s">
        <v>8</v>
      </c>
      <c r="M30" s="167" t="s">
        <v>3220</v>
      </c>
      <c r="N30" s="167" t="s">
        <v>168</v>
      </c>
      <c r="O30" s="167" t="s">
        <v>3132</v>
      </c>
      <c r="P30" s="181">
        <v>2</v>
      </c>
      <c r="Q30" s="181" t="s">
        <v>3443</v>
      </c>
      <c r="R30">
        <f t="shared" si="1"/>
        <v>10</v>
      </c>
    </row>
    <row r="31" spans="1:18">
      <c r="A31" s="165" t="s">
        <v>1757</v>
      </c>
      <c r="B31" t="str">
        <f>IF(psio_version="2.0","Métapsionisme","Psychokinésie")</f>
        <v>Métapsionisme</v>
      </c>
      <c r="C31" s="167" t="str">
        <f t="shared" si="0"/>
        <v>CON-3 (i:20,m:20|1/rnd)</v>
      </c>
      <c r="D31" t="str">
        <f t="shared" si="4"/>
        <v>0</v>
      </c>
      <c r="E31" t="s">
        <v>8</v>
      </c>
      <c r="F31">
        <v>3</v>
      </c>
      <c r="G31" s="133" t="s">
        <v>1776</v>
      </c>
      <c r="H31" s="31" t="s">
        <v>8</v>
      </c>
      <c r="I31" s="31" t="s">
        <v>8</v>
      </c>
      <c r="J31" s="31" t="s">
        <v>8</v>
      </c>
      <c r="K31" s="31" t="str">
        <f>IF(psio_version="2.0","MJRS5 p.99","T&amp;P p.176")</f>
        <v>MJRS5 p.99</v>
      </c>
      <c r="L31" s="31" t="s">
        <v>8</v>
      </c>
      <c r="M31" s="167" t="s">
        <v>3212</v>
      </c>
      <c r="N31" s="167" t="s">
        <v>3244</v>
      </c>
      <c r="O31" s="167" t="s">
        <v>3133</v>
      </c>
      <c r="P31" s="167">
        <v>20</v>
      </c>
      <c r="Q31" s="167">
        <v>10</v>
      </c>
      <c r="R31">
        <f t="shared" si="1"/>
        <v>100</v>
      </c>
    </row>
    <row r="32" spans="1:18">
      <c r="A32" s="83" t="s">
        <v>1082</v>
      </c>
      <c r="B32" t="s">
        <v>1394</v>
      </c>
      <c r="C32" s="167" t="str">
        <f t="shared" si="0"/>
        <v>CON-8 (i:40,m:na)</v>
      </c>
      <c r="D32" t="str">
        <f t="shared" si="4"/>
        <v>0</v>
      </c>
      <c r="E32" t="s">
        <v>8</v>
      </c>
      <c r="F32">
        <v>3</v>
      </c>
      <c r="G32" t="s">
        <v>1104</v>
      </c>
      <c r="H32" t="s">
        <v>8</v>
      </c>
      <c r="I32" s="31" t="s">
        <v>8</v>
      </c>
      <c r="J32" s="31" t="s">
        <v>8</v>
      </c>
      <c r="K32" s="31" t="str">
        <f>IF(psio_version="2.0","MJRS5 p.51","T&amp;P p.176")</f>
        <v>MJRS5 p.51</v>
      </c>
      <c r="L32" s="31" t="s">
        <v>8</v>
      </c>
      <c r="M32" s="167" t="s">
        <v>3222</v>
      </c>
      <c r="N32" s="167" t="s">
        <v>3257</v>
      </c>
      <c r="O32" s="167" t="s">
        <v>3134</v>
      </c>
      <c r="P32" s="167">
        <v>35</v>
      </c>
      <c r="Q32" s="167">
        <v>15</v>
      </c>
      <c r="R32">
        <f t="shared" si="1"/>
        <v>175</v>
      </c>
    </row>
    <row r="33" spans="1:18">
      <c r="A33" s="142" t="s">
        <v>1748</v>
      </c>
      <c r="B33" t="str">
        <f>IF(psio_version="2.0","Métapsionisme","Télépathie")</f>
        <v>Métapsionisme</v>
      </c>
      <c r="C33" s="167" t="str">
        <f t="shared" si="0"/>
        <v>SAG-5 (i:con,m:10/tour)</v>
      </c>
      <c r="D33" t="s">
        <v>1395</v>
      </c>
      <c r="E33" t="s">
        <v>8</v>
      </c>
      <c r="F33">
        <v>10</v>
      </c>
      <c r="G33" s="133" t="s">
        <v>1384</v>
      </c>
      <c r="H33" t="s">
        <v>8</v>
      </c>
      <c r="I33" t="s">
        <v>8</v>
      </c>
      <c r="J33" t="s">
        <v>8</v>
      </c>
      <c r="K33" s="31" t="str">
        <f>IF(psio_version="2.0","MJRS5 p.94","T&amp;P p.172")</f>
        <v>MJRS5 p.94</v>
      </c>
      <c r="L33" s="31" t="s">
        <v>8</v>
      </c>
      <c r="M33" s="167" t="s">
        <v>3215</v>
      </c>
      <c r="N33" s="167" t="s">
        <v>3242</v>
      </c>
      <c r="O33" s="167" t="s">
        <v>3135</v>
      </c>
      <c r="P33" s="167" t="s">
        <v>3444</v>
      </c>
      <c r="Q33" s="167" t="s">
        <v>3440</v>
      </c>
      <c r="R33">
        <v>45</v>
      </c>
    </row>
    <row r="34" spans="1:18">
      <c r="A34" s="83" t="s">
        <v>1728</v>
      </c>
      <c r="B34" t="s">
        <v>1410</v>
      </c>
      <c r="C34" s="167" t="str">
        <f t="shared" si="0"/>
        <v>SAG-3 (i:4,m:na)</v>
      </c>
      <c r="D34" t="s">
        <v>1729</v>
      </c>
      <c r="E34" t="s">
        <v>8</v>
      </c>
      <c r="F34" t="str">
        <f>"0"</f>
        <v>0</v>
      </c>
      <c r="G34" t="s">
        <v>1384</v>
      </c>
      <c r="H34" t="s">
        <v>8</v>
      </c>
      <c r="I34" t="s">
        <v>8</v>
      </c>
      <c r="J34" t="s">
        <v>8</v>
      </c>
      <c r="K34" s="31" t="str">
        <f>IF(psio_version="2.0","MJRS5 p.82","T&amp;P p.146")</f>
        <v>MJRS5 p.82</v>
      </c>
      <c r="L34" s="31" t="s">
        <v>8</v>
      </c>
      <c r="M34" s="167" t="s">
        <v>3220</v>
      </c>
      <c r="N34" s="167" t="s">
        <v>168</v>
      </c>
      <c r="O34" s="167" t="s">
        <v>3136</v>
      </c>
      <c r="P34" s="167">
        <v>4</v>
      </c>
      <c r="Q34" s="167">
        <v>2</v>
      </c>
      <c r="R34">
        <f t="shared" si="1"/>
        <v>20</v>
      </c>
    </row>
    <row r="35" spans="1:18">
      <c r="A35" s="165" t="s">
        <v>1890</v>
      </c>
      <c r="B35" t="s">
        <v>1378</v>
      </c>
      <c r="C35" s="167" t="str">
        <f t="shared" si="0"/>
        <v>SAG-3 (i:6,m:4/rnd)</v>
      </c>
      <c r="D35" t="s">
        <v>1100</v>
      </c>
      <c r="E35" t="s">
        <v>8</v>
      </c>
      <c r="F35" t="str">
        <f>"0"</f>
        <v>0</v>
      </c>
      <c r="G35" t="s">
        <v>1101</v>
      </c>
      <c r="H35" t="s">
        <v>8</v>
      </c>
      <c r="I35" t="s">
        <v>8</v>
      </c>
      <c r="J35" t="s">
        <v>8</v>
      </c>
      <c r="K35" t="str">
        <f>IF(psio_version="2.0","MJRS5 p.28","T&amp;P p.158")</f>
        <v>MJRS5 p.28</v>
      </c>
      <c r="L35" t="s">
        <v>8</v>
      </c>
      <c r="M35" s="167" t="s">
        <v>3220</v>
      </c>
      <c r="N35" s="167" t="s">
        <v>3242</v>
      </c>
      <c r="O35" s="167" t="s">
        <v>3137</v>
      </c>
      <c r="P35" s="167">
        <v>5</v>
      </c>
      <c r="Q35" s="167">
        <v>2</v>
      </c>
      <c r="R35">
        <f t="shared" si="1"/>
        <v>25</v>
      </c>
    </row>
    <row r="36" spans="1:18">
      <c r="A36" s="145" t="s">
        <v>1891</v>
      </c>
      <c r="B36" t="s">
        <v>1378</v>
      </c>
      <c r="C36" s="167" t="str">
        <f t="shared" ref="C36:C67" si="5">IF(psio_version="2.0",M36,N36)&amp;" "&amp;IF(psio_version="2.0",O36,"("&amp;P36&amp;"/"&amp;Q36&amp;")")</f>
        <v>SAG-4 (i:7,m:4/rnd)</v>
      </c>
      <c r="D36" t="s">
        <v>1100</v>
      </c>
      <c r="E36" t="s">
        <v>8</v>
      </c>
      <c r="F36" t="str">
        <f>"0"</f>
        <v>0</v>
      </c>
      <c r="G36" t="s">
        <v>1101</v>
      </c>
      <c r="H36" t="s">
        <v>8</v>
      </c>
      <c r="I36" t="s">
        <v>8</v>
      </c>
      <c r="J36" t="s">
        <v>8</v>
      </c>
      <c r="K36" t="str">
        <f>IF(psio_version="2.0","MJRS5 p.29","T&amp;P p.158")</f>
        <v>MJRS5 p.29</v>
      </c>
      <c r="L36" t="s">
        <v>8</v>
      </c>
      <c r="M36" s="167" t="s">
        <v>3214</v>
      </c>
      <c r="N36" s="167" t="s">
        <v>3243</v>
      </c>
      <c r="O36" s="167" t="s">
        <v>3138</v>
      </c>
      <c r="P36" s="167">
        <v>5</v>
      </c>
      <c r="Q36" s="167">
        <v>2</v>
      </c>
      <c r="R36">
        <f t="shared" si="1"/>
        <v>25</v>
      </c>
    </row>
    <row r="37" spans="1:18">
      <c r="A37" s="168" t="s">
        <v>3252</v>
      </c>
      <c r="B37" t="s">
        <v>1401</v>
      </c>
      <c r="C37" s="167" t="str">
        <f t="shared" si="5"/>
        <v>N/A (N/A)</v>
      </c>
      <c r="D37" t="str">
        <f>"0"</f>
        <v>0</v>
      </c>
      <c r="E37" t="s">
        <v>8</v>
      </c>
      <c r="F37" t="s">
        <v>3251</v>
      </c>
      <c r="G37" t="s">
        <v>1106</v>
      </c>
      <c r="H37" t="s">
        <v>8</v>
      </c>
      <c r="I37" t="s">
        <v>8</v>
      </c>
      <c r="J37" t="s">
        <v>8</v>
      </c>
      <c r="K37" t="str">
        <f>IF(psio_version="2.0","inexistant","T&amp;P p.170")</f>
        <v>inexistant</v>
      </c>
      <c r="L37" s="31" t="s">
        <v>8</v>
      </c>
      <c r="M37" s="167" t="s">
        <v>8</v>
      </c>
      <c r="N37" s="167" t="s">
        <v>3250</v>
      </c>
      <c r="O37" s="167" t="s">
        <v>3253</v>
      </c>
      <c r="P37" s="167">
        <v>4</v>
      </c>
      <c r="Q37" s="167">
        <v>2</v>
      </c>
      <c r="R37">
        <f t="shared" si="1"/>
        <v>20</v>
      </c>
    </row>
    <row r="38" spans="1:18">
      <c r="A38" s="83" t="s">
        <v>1749</v>
      </c>
      <c r="B38" t="str">
        <f>IF(psio_version="2.0","Métapsionisme","Clairsentience")</f>
        <v>Métapsionisme</v>
      </c>
      <c r="C38" s="167" t="str">
        <f t="shared" si="5"/>
        <v>SAG-8 (i:50,m:5/rnd)</v>
      </c>
      <c r="D38" t="s">
        <v>1769</v>
      </c>
      <c r="E38" t="s">
        <v>8</v>
      </c>
      <c r="F38" t="s">
        <v>1770</v>
      </c>
      <c r="G38" s="133" t="s">
        <v>1101</v>
      </c>
      <c r="H38" t="s">
        <v>8</v>
      </c>
      <c r="I38" t="s">
        <v>8</v>
      </c>
      <c r="J38" t="s">
        <v>8</v>
      </c>
      <c r="K38" t="str">
        <f>IF(psio_version="2.0","MJRS5 p.94","T&amp;P p.175")</f>
        <v>MJRS5 p.94</v>
      </c>
      <c r="L38" s="31" t="s">
        <v>8</v>
      </c>
      <c r="M38" s="167" t="s">
        <v>3223</v>
      </c>
      <c r="N38" s="167" t="s">
        <v>3244</v>
      </c>
      <c r="O38" s="167" t="s">
        <v>3139</v>
      </c>
      <c r="P38" s="167">
        <v>16</v>
      </c>
      <c r="Q38" s="167">
        <v>6</v>
      </c>
      <c r="R38">
        <f t="shared" si="1"/>
        <v>80</v>
      </c>
    </row>
    <row r="39" spans="1:18">
      <c r="A39" s="146" t="s">
        <v>1088</v>
      </c>
      <c r="B39" t="s">
        <v>1401</v>
      </c>
      <c r="C39" s="167" t="str">
        <f t="shared" si="5"/>
        <v>INT-4 (i:45/90,m:na)</v>
      </c>
      <c r="D39" t="s">
        <v>1114</v>
      </c>
      <c r="E39" t="s">
        <v>8</v>
      </c>
      <c r="F39">
        <v>12</v>
      </c>
      <c r="G39" t="s">
        <v>1403</v>
      </c>
      <c r="H39" s="31" t="s">
        <v>8</v>
      </c>
      <c r="I39" s="31" t="s">
        <v>8</v>
      </c>
      <c r="J39" s="31" t="s">
        <v>8</v>
      </c>
      <c r="K39" s="31" t="str">
        <f>IF(psio_version="2.0","MJRS5 p.64","T&amp;P p.168")</f>
        <v>MJRS5 p.64</v>
      </c>
      <c r="L39" s="31" t="s">
        <v>8</v>
      </c>
      <c r="M39" s="167" t="s">
        <v>3218</v>
      </c>
      <c r="N39" s="167" t="s">
        <v>3244</v>
      </c>
      <c r="O39" s="167" t="s">
        <v>3140</v>
      </c>
      <c r="P39" s="167" t="s">
        <v>3445</v>
      </c>
      <c r="Q39" s="167" t="s">
        <v>3446</v>
      </c>
      <c r="R39">
        <v>200</v>
      </c>
    </row>
    <row r="40" spans="1:18">
      <c r="A40" s="83" t="s">
        <v>997</v>
      </c>
      <c r="B40" t="s">
        <v>1378</v>
      </c>
      <c r="C40" s="167" t="str">
        <f t="shared" si="5"/>
        <v>INT-4 (i:1,m:na)</v>
      </c>
      <c r="D40" t="str">
        <f>"0"</f>
        <v>0</v>
      </c>
      <c r="E40" t="s">
        <v>8</v>
      </c>
      <c r="F40" t="str">
        <f>"0"</f>
        <v>0</v>
      </c>
      <c r="G40" t="s">
        <v>1106</v>
      </c>
      <c r="H40" t="s">
        <v>8</v>
      </c>
      <c r="I40" t="s">
        <v>8</v>
      </c>
      <c r="J40" t="s">
        <v>8</v>
      </c>
      <c r="K40" t="str">
        <f>IF(psio_version="2.0","MJRS5 p.34","T&amp;P p.175")</f>
        <v>MJRS5 p.34</v>
      </c>
      <c r="L40" t="s">
        <v>8</v>
      </c>
      <c r="M40" s="167" t="s">
        <v>3218</v>
      </c>
      <c r="N40" s="167" t="s">
        <v>3242</v>
      </c>
      <c r="O40" s="167" t="s">
        <v>3132</v>
      </c>
      <c r="P40" s="167">
        <v>1</v>
      </c>
      <c r="Q40" s="167">
        <v>1</v>
      </c>
      <c r="R40">
        <f t="shared" si="1"/>
        <v>5</v>
      </c>
    </row>
    <row r="41" spans="1:18">
      <c r="A41" s="92" t="s">
        <v>998</v>
      </c>
      <c r="B41" t="s">
        <v>1378</v>
      </c>
      <c r="C41" s="167" t="str">
        <f t="shared" si="5"/>
        <v>INT (i:10,m:na)</v>
      </c>
      <c r="D41" t="str">
        <f>"0"</f>
        <v>0</v>
      </c>
      <c r="E41" t="s">
        <v>8</v>
      </c>
      <c r="F41">
        <v>5</v>
      </c>
      <c r="G41" t="s">
        <v>1106</v>
      </c>
      <c r="H41" t="s">
        <v>8</v>
      </c>
      <c r="I41" t="s">
        <v>8</v>
      </c>
      <c r="J41" t="s">
        <v>8</v>
      </c>
      <c r="K41" t="str">
        <f>IF(psio_version="2.0","MJRS5 p.34","T&amp;P p.159")</f>
        <v>MJRS5 p.34</v>
      </c>
      <c r="L41" t="s">
        <v>8</v>
      </c>
      <c r="M41" s="167" t="s">
        <v>194</v>
      </c>
      <c r="N41" s="167" t="s">
        <v>3242</v>
      </c>
      <c r="O41" s="167" t="s">
        <v>3112</v>
      </c>
      <c r="P41" s="167">
        <v>8</v>
      </c>
      <c r="Q41" s="167">
        <v>3</v>
      </c>
      <c r="R41">
        <f t="shared" si="1"/>
        <v>40</v>
      </c>
    </row>
    <row r="42" spans="1:18">
      <c r="A42" s="83" t="s">
        <v>1048</v>
      </c>
      <c r="B42" t="s">
        <v>1410</v>
      </c>
      <c r="C42" s="167" t="str">
        <f t="shared" si="5"/>
        <v>SAG-4 (i:con,m:13/rnd)</v>
      </c>
      <c r="D42" t="s">
        <v>1100</v>
      </c>
      <c r="E42" t="s">
        <v>8</v>
      </c>
      <c r="F42" t="str">
        <f t="shared" ref="F42:F48" si="6">"0"</f>
        <v>0</v>
      </c>
      <c r="G42" t="s">
        <v>1384</v>
      </c>
      <c r="H42" t="s">
        <v>8</v>
      </c>
      <c r="I42" t="s">
        <v>8</v>
      </c>
      <c r="J42" s="31" t="s">
        <v>8</v>
      </c>
      <c r="K42" s="31" t="str">
        <f>IF(psio_version="2.0","MJRS5 p.82","T&amp;P p.177")</f>
        <v>MJRS5 p.82</v>
      </c>
      <c r="L42" s="31" t="s">
        <v>8</v>
      </c>
      <c r="M42" s="167" t="s">
        <v>3214</v>
      </c>
      <c r="N42" s="167" t="s">
        <v>3243</v>
      </c>
      <c r="O42" s="167" t="s">
        <v>3141</v>
      </c>
      <c r="P42" s="167">
        <v>12</v>
      </c>
      <c r="Q42" s="167">
        <v>5</v>
      </c>
      <c r="R42">
        <f t="shared" si="1"/>
        <v>60</v>
      </c>
    </row>
    <row r="43" spans="1:18">
      <c r="A43" s="147" t="s">
        <v>1730</v>
      </c>
      <c r="B43" t="s">
        <v>1410</v>
      </c>
      <c r="C43" s="167" t="str">
        <f t="shared" si="5"/>
        <v>SAG (i:var,m:1/rnd)</v>
      </c>
      <c r="D43" t="s">
        <v>1101</v>
      </c>
      <c r="E43" t="s">
        <v>8</v>
      </c>
      <c r="F43" t="str">
        <f t="shared" si="6"/>
        <v>0</v>
      </c>
      <c r="G43" t="s">
        <v>1384</v>
      </c>
      <c r="H43" s="31" t="s">
        <v>8</v>
      </c>
      <c r="I43" s="31" t="s">
        <v>8</v>
      </c>
      <c r="J43" s="31" t="s">
        <v>8</v>
      </c>
      <c r="K43" s="31" t="str">
        <f>IF(psio_version="2.0","MJRS5 p.82","T&amp;P p.155")</f>
        <v>MJRS5 p.82</v>
      </c>
      <c r="L43" s="31" t="s">
        <v>8</v>
      </c>
      <c r="M43" s="167" t="s">
        <v>195</v>
      </c>
      <c r="N43" s="167" t="s">
        <v>195</v>
      </c>
      <c r="O43" s="167" t="s">
        <v>3142</v>
      </c>
      <c r="P43" s="167" t="s">
        <v>168</v>
      </c>
      <c r="Q43" s="167" t="s">
        <v>168</v>
      </c>
      <c r="R43">
        <v>0</v>
      </c>
    </row>
    <row r="44" spans="1:18">
      <c r="A44" s="83" t="s">
        <v>1023</v>
      </c>
      <c r="B44" t="s">
        <v>1394</v>
      </c>
      <c r="C44" s="167" t="str">
        <f t="shared" si="5"/>
        <v>CON-4 (i:7,m:5/rnd)</v>
      </c>
      <c r="D44" t="str">
        <f>"0"</f>
        <v>0</v>
      </c>
      <c r="E44" t="s">
        <v>8</v>
      </c>
      <c r="F44" t="str">
        <f t="shared" si="6"/>
        <v>0</v>
      </c>
      <c r="G44" t="s">
        <v>1106</v>
      </c>
      <c r="H44" t="s">
        <v>8</v>
      </c>
      <c r="I44" t="s">
        <v>8</v>
      </c>
      <c r="J44" t="s">
        <v>8</v>
      </c>
      <c r="K44" s="31" t="str">
        <f>IF(psio_version="2.0","MJRS5 p.55","T&amp;P p.167")</f>
        <v>MJRS5 p.55</v>
      </c>
      <c r="L44" s="31" t="s">
        <v>8</v>
      </c>
      <c r="M44" s="167" t="s">
        <v>3213</v>
      </c>
      <c r="N44" s="167" t="s">
        <v>3243</v>
      </c>
      <c r="O44" s="167" t="s">
        <v>3129</v>
      </c>
      <c r="P44" s="167">
        <v>6</v>
      </c>
      <c r="Q44" s="167">
        <v>2</v>
      </c>
      <c r="R44">
        <f t="shared" si="1"/>
        <v>30</v>
      </c>
    </row>
    <row r="45" spans="1:18">
      <c r="A45" s="92" t="s">
        <v>1013</v>
      </c>
      <c r="B45" t="s">
        <v>1377</v>
      </c>
      <c r="C45" s="167" t="str">
        <f t="shared" si="5"/>
        <v>INT (i:12,m:4/rnd)</v>
      </c>
      <c r="D45" t="s">
        <v>1385</v>
      </c>
      <c r="E45" t="s">
        <v>8</v>
      </c>
      <c r="F45" t="str">
        <f t="shared" si="6"/>
        <v>0</v>
      </c>
      <c r="G45" t="s">
        <v>3725</v>
      </c>
      <c r="H45" t="s">
        <v>8</v>
      </c>
      <c r="I45" t="s">
        <v>8</v>
      </c>
      <c r="J45" t="s">
        <v>8</v>
      </c>
      <c r="K45" t="str">
        <f>IF(psio_version="2.0","MJRS5 p.46","T&amp;P p.163")</f>
        <v>MJRS5 p.46</v>
      </c>
      <c r="L45" t="s">
        <v>8</v>
      </c>
      <c r="M45" s="167" t="s">
        <v>194</v>
      </c>
      <c r="N45" s="167" t="s">
        <v>3242</v>
      </c>
      <c r="O45" s="167" t="s">
        <v>3143</v>
      </c>
      <c r="P45" s="167">
        <v>6</v>
      </c>
      <c r="Q45" s="167">
        <v>2</v>
      </c>
      <c r="R45">
        <f t="shared" si="1"/>
        <v>30</v>
      </c>
    </row>
    <row r="46" spans="1:18">
      <c r="A46" s="83" t="s">
        <v>1024</v>
      </c>
      <c r="B46" t="s">
        <v>1394</v>
      </c>
      <c r="C46" s="167" t="str">
        <f t="shared" si="5"/>
        <v>CON-3 (i:8,m:4/rnd)</v>
      </c>
      <c r="D46" t="str">
        <f>"0"</f>
        <v>0</v>
      </c>
      <c r="E46" t="s">
        <v>8</v>
      </c>
      <c r="F46" t="str">
        <f t="shared" si="6"/>
        <v>0</v>
      </c>
      <c r="G46" t="s">
        <v>1106</v>
      </c>
      <c r="H46" t="s">
        <v>8</v>
      </c>
      <c r="I46" t="s">
        <v>8</v>
      </c>
      <c r="J46" t="s">
        <v>8</v>
      </c>
      <c r="K46" t="str">
        <f>IF(psio_version="2.0","MJRS5 p.55","T&amp;P p.176")</f>
        <v>MJRS5 p.55</v>
      </c>
      <c r="L46" t="s">
        <v>8</v>
      </c>
      <c r="M46" s="167" t="s">
        <v>3212</v>
      </c>
      <c r="N46" s="167" t="s">
        <v>3244</v>
      </c>
      <c r="O46" s="167" t="s">
        <v>3121</v>
      </c>
      <c r="P46" s="167">
        <v>5</v>
      </c>
      <c r="Q46" s="167">
        <v>2</v>
      </c>
      <c r="R46">
        <f t="shared" si="1"/>
        <v>25</v>
      </c>
    </row>
    <row r="47" spans="1:18">
      <c r="A47" s="83" t="s">
        <v>1014</v>
      </c>
      <c r="B47" t="s">
        <v>1377</v>
      </c>
      <c r="C47" s="167" t="str">
        <f t="shared" si="5"/>
        <v>SAG-1 (i:6,m:3/rnd)</v>
      </c>
      <c r="D47" t="s">
        <v>1121</v>
      </c>
      <c r="E47" t="s">
        <v>8</v>
      </c>
      <c r="F47" t="str">
        <f t="shared" si="6"/>
        <v>0</v>
      </c>
      <c r="G47" t="s">
        <v>3726</v>
      </c>
      <c r="H47" t="s">
        <v>8</v>
      </c>
      <c r="I47" t="s">
        <v>8</v>
      </c>
      <c r="J47" t="s">
        <v>8</v>
      </c>
      <c r="K47" s="31" t="str">
        <f>IF(psio_version="2.0","MJRS5 p.46","T&amp;P p.176")</f>
        <v>MJRS5 p.46</v>
      </c>
      <c r="L47" s="31" t="s">
        <v>8</v>
      </c>
      <c r="M47" s="167" t="s">
        <v>3224</v>
      </c>
      <c r="N47" s="167" t="s">
        <v>3242</v>
      </c>
      <c r="O47" s="167" t="s">
        <v>3131</v>
      </c>
      <c r="P47" s="167">
        <v>4</v>
      </c>
      <c r="Q47" s="167">
        <v>2</v>
      </c>
      <c r="R47">
        <f t="shared" si="1"/>
        <v>20</v>
      </c>
    </row>
    <row r="48" spans="1:18">
      <c r="A48" s="83" t="s">
        <v>1015</v>
      </c>
      <c r="B48" t="s">
        <v>1377</v>
      </c>
      <c r="C48" s="167" t="str">
        <f t="shared" si="5"/>
        <v>INT-5 (i:5,m:2/rnd)</v>
      </c>
      <c r="D48" t="s">
        <v>1386</v>
      </c>
      <c r="E48" t="s">
        <v>8</v>
      </c>
      <c r="F48" t="str">
        <f t="shared" si="6"/>
        <v>0</v>
      </c>
      <c r="G48" t="s">
        <v>1103</v>
      </c>
      <c r="H48" t="s">
        <v>8</v>
      </c>
      <c r="I48" t="s">
        <v>8</v>
      </c>
      <c r="J48" t="s">
        <v>8</v>
      </c>
      <c r="K48" t="str">
        <f>IF(psio_version="2.0","MJRS5 p.47","T&amp;P p.163")</f>
        <v>MJRS5 p.47</v>
      </c>
      <c r="L48" t="s">
        <v>8</v>
      </c>
      <c r="M48" s="167" t="s">
        <v>3225</v>
      </c>
      <c r="N48" s="167" t="s">
        <v>3246</v>
      </c>
      <c r="O48" s="167" t="s">
        <v>3144</v>
      </c>
      <c r="P48" s="167">
        <v>3</v>
      </c>
      <c r="Q48" s="167">
        <v>1</v>
      </c>
      <c r="R48">
        <f t="shared" si="1"/>
        <v>15</v>
      </c>
    </row>
    <row r="49" spans="1:18">
      <c r="A49" s="147" t="s">
        <v>1387</v>
      </c>
      <c r="B49" t="s">
        <v>1377</v>
      </c>
      <c r="C49" s="167" t="str">
        <f t="shared" si="5"/>
        <v>CON-4 (i:16,m:10/rnd)</v>
      </c>
      <c r="D49" t="s">
        <v>1388</v>
      </c>
      <c r="E49" t="s">
        <v>8</v>
      </c>
      <c r="F49">
        <v>2</v>
      </c>
      <c r="G49" t="s">
        <v>1389</v>
      </c>
      <c r="H49" t="s">
        <v>8</v>
      </c>
      <c r="I49" t="s">
        <v>8</v>
      </c>
      <c r="J49" t="s">
        <v>8</v>
      </c>
      <c r="K49" t="str">
        <f>IF(psio_version="2.0","MJRS5 p.47","T&amp;P p.164")</f>
        <v>MJRS5 p.47</v>
      </c>
      <c r="L49" t="s">
        <v>8</v>
      </c>
      <c r="M49" s="167" t="s">
        <v>3213</v>
      </c>
      <c r="N49" s="167" t="s">
        <v>3246</v>
      </c>
      <c r="O49" s="167" t="s">
        <v>3145</v>
      </c>
      <c r="P49" s="167">
        <v>12</v>
      </c>
      <c r="Q49" s="167">
        <v>5</v>
      </c>
      <c r="R49">
        <f t="shared" si="1"/>
        <v>60</v>
      </c>
    </row>
    <row r="50" spans="1:18">
      <c r="A50" s="147" t="s">
        <v>1012</v>
      </c>
      <c r="B50" t="s">
        <v>1377</v>
      </c>
      <c r="C50" s="167" t="str">
        <f t="shared" si="5"/>
        <v>CON-2 (i:8,m:8/rnd)</v>
      </c>
      <c r="D50" t="s">
        <v>1383</v>
      </c>
      <c r="E50" t="s">
        <v>8</v>
      </c>
      <c r="F50" t="str">
        <f>"0"</f>
        <v>0</v>
      </c>
      <c r="G50" t="s">
        <v>1384</v>
      </c>
      <c r="H50" t="s">
        <v>8</v>
      </c>
      <c r="I50" t="s">
        <v>8</v>
      </c>
      <c r="J50" t="s">
        <v>8</v>
      </c>
      <c r="K50" t="str">
        <f>IF(psio_version="2.0","MJRS5 p.46","T&amp;P p.176")</f>
        <v>MJRS5 p.46</v>
      </c>
      <c r="L50" s="31" t="s">
        <v>8</v>
      </c>
      <c r="M50" s="167" t="s">
        <v>3219</v>
      </c>
      <c r="N50" s="167" t="s">
        <v>3244</v>
      </c>
      <c r="O50" s="167" t="s">
        <v>3146</v>
      </c>
      <c r="P50" s="167">
        <v>8</v>
      </c>
      <c r="Q50" s="167">
        <v>4</v>
      </c>
      <c r="R50">
        <f t="shared" si="1"/>
        <v>40</v>
      </c>
    </row>
    <row r="51" spans="1:18">
      <c r="A51" s="83" t="s">
        <v>1025</v>
      </c>
      <c r="B51" t="s">
        <v>1394</v>
      </c>
      <c r="C51" s="167" t="str">
        <f t="shared" si="5"/>
        <v>SAG-3 (i:na,m:10/jours)</v>
      </c>
      <c r="D51" t="s">
        <v>1395</v>
      </c>
      <c r="E51" t="s">
        <v>8</v>
      </c>
      <c r="F51" t="str">
        <f>"0"</f>
        <v>0</v>
      </c>
      <c r="G51" t="s">
        <v>1398</v>
      </c>
      <c r="H51" t="s">
        <v>8</v>
      </c>
      <c r="I51" t="s">
        <v>8</v>
      </c>
      <c r="J51" t="s">
        <v>8</v>
      </c>
      <c r="K51" s="31" t="str">
        <f>IF(psio_version="2.0","MJRS5 p.55","T&amp;P p.176")</f>
        <v>MJRS5 p.55</v>
      </c>
      <c r="L51" s="31" t="s">
        <v>8</v>
      </c>
      <c r="M51" s="167" t="s">
        <v>3220</v>
      </c>
      <c r="N51" s="167" t="s">
        <v>3242</v>
      </c>
      <c r="O51" s="167" t="s">
        <v>3147</v>
      </c>
      <c r="P51" s="167" t="s">
        <v>3447</v>
      </c>
      <c r="Q51" s="167">
        <v>4</v>
      </c>
      <c r="R51">
        <v>50</v>
      </c>
    </row>
    <row r="52" spans="1:18">
      <c r="A52" s="83" t="s">
        <v>1758</v>
      </c>
      <c r="B52" t="str">
        <f>IF(psio_version="2.0","Métapsionisme","Télépathie")</f>
        <v>Métapsionisme</v>
      </c>
      <c r="C52" s="167" t="str">
        <f t="shared" si="5"/>
        <v>SAG (i:8,m:0)</v>
      </c>
      <c r="D52" t="s">
        <v>1109</v>
      </c>
      <c r="E52" t="s">
        <v>8</v>
      </c>
      <c r="F52">
        <v>1</v>
      </c>
      <c r="G52" t="s">
        <v>1109</v>
      </c>
      <c r="H52" t="s">
        <v>8</v>
      </c>
      <c r="I52" t="s">
        <v>8</v>
      </c>
      <c r="J52" t="s">
        <v>8</v>
      </c>
      <c r="K52" s="31" t="str">
        <f>IF(psio_version="2.0","MJRS5 p.100","T&amp;P p.177")</f>
        <v>MJRS5 p.100</v>
      </c>
      <c r="L52" s="31" t="s">
        <v>8</v>
      </c>
      <c r="M52" s="167" t="s">
        <v>195</v>
      </c>
      <c r="N52" s="167" t="s">
        <v>3245</v>
      </c>
      <c r="O52" s="167" t="s">
        <v>3148</v>
      </c>
      <c r="P52" s="167">
        <v>8</v>
      </c>
      <c r="Q52" s="167">
        <v>3</v>
      </c>
      <c r="R52">
        <f t="shared" si="1"/>
        <v>40</v>
      </c>
    </row>
    <row r="53" spans="1:18">
      <c r="A53" s="83" t="s">
        <v>1049</v>
      </c>
      <c r="B53" t="s">
        <v>1410</v>
      </c>
      <c r="C53" s="167" t="str">
        <f t="shared" si="5"/>
        <v>CHA-2 (i:cont,m:4/rnd)</v>
      </c>
      <c r="D53" t="str">
        <f>"0"</f>
        <v>0</v>
      </c>
      <c r="E53" t="s">
        <v>8</v>
      </c>
      <c r="F53" t="str">
        <f t="shared" ref="F53:F61" si="7">"0"</f>
        <v>0</v>
      </c>
      <c r="G53" t="s">
        <v>1112</v>
      </c>
      <c r="H53" t="s">
        <v>8</v>
      </c>
      <c r="I53" t="s">
        <v>8</v>
      </c>
      <c r="J53" t="s">
        <v>8</v>
      </c>
      <c r="K53" t="str">
        <f>IF(psio_version="2.0","MJRS5 p.84","T&amp;P p.173")</f>
        <v>MJRS5 p.84</v>
      </c>
      <c r="L53" s="31" t="s">
        <v>8</v>
      </c>
      <c r="M53" s="167" t="s">
        <v>3226</v>
      </c>
      <c r="N53" s="167" t="s">
        <v>3244</v>
      </c>
      <c r="O53" s="167" t="s">
        <v>3115</v>
      </c>
      <c r="P53" s="167" t="s">
        <v>3448</v>
      </c>
      <c r="Q53" s="167" t="s">
        <v>3449</v>
      </c>
      <c r="R53">
        <v>20</v>
      </c>
    </row>
    <row r="54" spans="1:18">
      <c r="A54" s="83" t="s">
        <v>1111</v>
      </c>
      <c r="B54" t="s">
        <v>1377</v>
      </c>
      <c r="C54" s="167" t="str">
        <f t="shared" si="5"/>
        <v>INT-4 (i:16,m:3/rnd)</v>
      </c>
      <c r="D54" t="s">
        <v>1112</v>
      </c>
      <c r="E54" t="s">
        <v>8</v>
      </c>
      <c r="F54" t="str">
        <f t="shared" si="7"/>
        <v>0</v>
      </c>
      <c r="G54" t="s">
        <v>1101</v>
      </c>
      <c r="H54" t="s">
        <v>8</v>
      </c>
      <c r="I54" t="s">
        <v>8</v>
      </c>
      <c r="J54" t="s">
        <v>8</v>
      </c>
      <c r="K54" s="31" t="str">
        <f>IF(psio_version="2.0","MJRS5 p.38","T&amp;P p.161")</f>
        <v>MJRS5 p.38</v>
      </c>
      <c r="L54" s="31" t="s">
        <v>8</v>
      </c>
      <c r="M54" s="167" t="s">
        <v>3218</v>
      </c>
      <c r="N54" s="167" t="s">
        <v>3244</v>
      </c>
      <c r="O54" s="167" t="s">
        <v>3149</v>
      </c>
      <c r="P54" s="167">
        <v>7</v>
      </c>
      <c r="Q54" s="167">
        <v>3</v>
      </c>
      <c r="R54">
        <f t="shared" si="1"/>
        <v>35</v>
      </c>
    </row>
    <row r="55" spans="1:18">
      <c r="A55" s="83" t="s">
        <v>1390</v>
      </c>
      <c r="B55" t="s">
        <v>1377</v>
      </c>
      <c r="C55" s="167" t="str">
        <f t="shared" si="5"/>
        <v>INT-7 (i:8,m:3/rnd)</v>
      </c>
      <c r="D55" t="s">
        <v>1386</v>
      </c>
      <c r="E55" t="s">
        <v>8</v>
      </c>
      <c r="F55" t="str">
        <f t="shared" si="7"/>
        <v>0</v>
      </c>
      <c r="G55" t="s">
        <v>1103</v>
      </c>
      <c r="H55" t="s">
        <v>8</v>
      </c>
      <c r="I55" t="s">
        <v>8</v>
      </c>
      <c r="J55" t="s">
        <v>8</v>
      </c>
      <c r="K55" t="str">
        <f>IF(psio_version="2.0","MJRS5 p.48","T&amp;P p.176")</f>
        <v>MJRS5 p.48</v>
      </c>
      <c r="L55" t="s">
        <v>8</v>
      </c>
      <c r="M55" s="167" t="s">
        <v>3227</v>
      </c>
      <c r="N55" s="167" t="s">
        <v>3243</v>
      </c>
      <c r="O55" s="167" t="s">
        <v>3118</v>
      </c>
      <c r="P55" s="167">
        <v>5</v>
      </c>
      <c r="Q55" s="167">
        <v>2</v>
      </c>
      <c r="R55">
        <f t="shared" si="1"/>
        <v>25</v>
      </c>
    </row>
    <row r="56" spans="1:18">
      <c r="A56" s="83" t="s">
        <v>1026</v>
      </c>
      <c r="B56" t="s">
        <v>1394</v>
      </c>
      <c r="C56" s="167" t="str">
        <f t="shared" si="5"/>
        <v>CON-2 (i:4,m:na)</v>
      </c>
      <c r="D56" t="s">
        <v>1395</v>
      </c>
      <c r="E56" t="s">
        <v>8</v>
      </c>
      <c r="F56" t="str">
        <f t="shared" si="7"/>
        <v>0</v>
      </c>
      <c r="G56" t="s">
        <v>1399</v>
      </c>
      <c r="H56" t="s">
        <v>8</v>
      </c>
      <c r="I56" t="s">
        <v>8</v>
      </c>
      <c r="J56" t="s">
        <v>8</v>
      </c>
      <c r="K56" t="str">
        <f>IF(psio_version="2.0","MJRS5 p.56","T&amp;P p.176")</f>
        <v>MJRS5 p.56</v>
      </c>
      <c r="L56" t="s">
        <v>8</v>
      </c>
      <c r="M56" s="167" t="s">
        <v>3219</v>
      </c>
      <c r="N56" s="167" t="s">
        <v>3244</v>
      </c>
      <c r="O56" s="167" t="s">
        <v>3136</v>
      </c>
      <c r="P56" s="167">
        <v>4</v>
      </c>
      <c r="Q56" s="167">
        <v>2</v>
      </c>
      <c r="R56">
        <f t="shared" si="1"/>
        <v>20</v>
      </c>
    </row>
    <row r="57" spans="1:18">
      <c r="A57" s="142" t="s">
        <v>1041</v>
      </c>
      <c r="B57" t="s">
        <v>1401</v>
      </c>
      <c r="C57" s="167" t="str">
        <f t="shared" si="5"/>
        <v>INT (i:16,m:na)</v>
      </c>
      <c r="D57" t="str">
        <f>"0"</f>
        <v>0</v>
      </c>
      <c r="E57" t="s">
        <v>8</v>
      </c>
      <c r="F57" t="str">
        <f t="shared" si="7"/>
        <v>0</v>
      </c>
      <c r="G57" t="s">
        <v>1106</v>
      </c>
      <c r="H57" t="s">
        <v>8</v>
      </c>
      <c r="I57" t="s">
        <v>8</v>
      </c>
      <c r="J57" t="s">
        <v>8</v>
      </c>
      <c r="K57" t="str">
        <f>IF(psio_version="2.0","MJRS5 p.68","T&amp;P p.177")</f>
        <v>MJRS5 p.68</v>
      </c>
      <c r="L57" t="s">
        <v>8</v>
      </c>
      <c r="M57" s="167" t="s">
        <v>194</v>
      </c>
      <c r="N57" s="167" t="s">
        <v>3242</v>
      </c>
      <c r="O57" s="167" t="s">
        <v>3150</v>
      </c>
      <c r="P57" s="167">
        <v>6</v>
      </c>
      <c r="Q57" s="167">
        <v>2</v>
      </c>
      <c r="R57">
        <f t="shared" si="1"/>
        <v>30</v>
      </c>
    </row>
    <row r="58" spans="1:18">
      <c r="A58" s="147" t="s">
        <v>2343</v>
      </c>
      <c r="B58" t="s">
        <v>1377</v>
      </c>
      <c r="C58" s="167" t="str">
        <f t="shared" si="5"/>
        <v>SAG-4 (i:40,m:na)</v>
      </c>
      <c r="D58" t="s">
        <v>1105</v>
      </c>
      <c r="E58" t="s">
        <v>8</v>
      </c>
      <c r="F58" t="str">
        <f t="shared" si="7"/>
        <v>0</v>
      </c>
      <c r="G58" t="s">
        <v>3713</v>
      </c>
      <c r="H58" t="s">
        <v>8</v>
      </c>
      <c r="I58" t="s">
        <v>8</v>
      </c>
      <c r="J58" t="s">
        <v>8</v>
      </c>
      <c r="K58" t="str">
        <f>IF(psio_version="2.0","MJRS5 p.38","T&amp;P p.175")</f>
        <v>MJRS5 p.38</v>
      </c>
      <c r="L58" s="31" t="s">
        <v>8</v>
      </c>
      <c r="M58" s="167" t="s">
        <v>3214</v>
      </c>
      <c r="N58" s="167" t="s">
        <v>3243</v>
      </c>
      <c r="O58" s="167" t="s">
        <v>3134</v>
      </c>
      <c r="P58" s="167">
        <v>30</v>
      </c>
      <c r="Q58" s="167">
        <v>10</v>
      </c>
      <c r="R58">
        <f t="shared" si="1"/>
        <v>150</v>
      </c>
    </row>
    <row r="59" spans="1:18">
      <c r="A59" s="83" t="s">
        <v>1050</v>
      </c>
      <c r="B59" t="s">
        <v>1410</v>
      </c>
      <c r="C59" s="167" t="str">
        <f t="shared" si="5"/>
        <v>INT-2 (i:3,m:3/rnd)</v>
      </c>
      <c r="D59" t="s">
        <v>1386</v>
      </c>
      <c r="E59" t="s">
        <v>8</v>
      </c>
      <c r="F59" t="str">
        <f t="shared" si="7"/>
        <v>0</v>
      </c>
      <c r="G59" t="s">
        <v>1400</v>
      </c>
      <c r="H59" t="s">
        <v>8</v>
      </c>
      <c r="I59" t="s">
        <v>8</v>
      </c>
      <c r="J59" t="s">
        <v>8</v>
      </c>
      <c r="K59" t="str">
        <f>IF(psio_version="2.0","MJRS5 p.84","T&amp;P p.173")</f>
        <v>MJRS5 p.84</v>
      </c>
      <c r="L59" s="31" t="s">
        <v>8</v>
      </c>
      <c r="M59" s="167" t="s">
        <v>3228</v>
      </c>
      <c r="N59" s="167" t="s">
        <v>3243</v>
      </c>
      <c r="O59" s="167" t="s">
        <v>3151</v>
      </c>
      <c r="P59" s="167">
        <v>3</v>
      </c>
      <c r="Q59" s="167">
        <v>1</v>
      </c>
      <c r="R59">
        <f t="shared" si="1"/>
        <v>15</v>
      </c>
    </row>
    <row r="60" spans="1:18">
      <c r="A60" s="83" t="s">
        <v>1759</v>
      </c>
      <c r="B60" t="str">
        <f>IF(psio_version="2.0","Métapsionisme","Clairsentience")</f>
        <v>Métapsionisme</v>
      </c>
      <c r="C60" s="167" t="str">
        <f t="shared" si="5"/>
        <v>SAG-3 (i:4,m:1/rnd)</v>
      </c>
      <c r="D60" t="str">
        <f>"0"</f>
        <v>0</v>
      </c>
      <c r="E60" t="s">
        <v>8</v>
      </c>
      <c r="F60" t="str">
        <f t="shared" si="7"/>
        <v>0</v>
      </c>
      <c r="G60" t="s">
        <v>1775</v>
      </c>
      <c r="H60" t="s">
        <v>8</v>
      </c>
      <c r="I60" t="s">
        <v>8</v>
      </c>
      <c r="J60" t="s">
        <v>8</v>
      </c>
      <c r="K60" t="str">
        <f>IF(psio_version="2.0","MJRS5 p.100","T&amp;P p.159")</f>
        <v>MJRS5 p.100</v>
      </c>
      <c r="L60" t="s">
        <v>8</v>
      </c>
      <c r="M60" s="167" t="s">
        <v>3220</v>
      </c>
      <c r="N60" s="167" t="s">
        <v>3242</v>
      </c>
      <c r="O60" s="167" t="s">
        <v>3152</v>
      </c>
      <c r="P60" s="167">
        <v>2</v>
      </c>
      <c r="Q60" s="167">
        <v>1</v>
      </c>
      <c r="R60">
        <f t="shared" si="1"/>
        <v>10</v>
      </c>
    </row>
    <row r="61" spans="1:18">
      <c r="A61" s="83" t="s">
        <v>1076</v>
      </c>
      <c r="B61" t="s">
        <v>1377</v>
      </c>
      <c r="C61" s="167" t="str">
        <f t="shared" si="5"/>
        <v>CON-3 (i:18,m:na)</v>
      </c>
      <c r="D61" t="s">
        <v>1113</v>
      </c>
      <c r="E61" t="s">
        <v>8</v>
      </c>
      <c r="F61" t="str">
        <f t="shared" si="7"/>
        <v>0</v>
      </c>
      <c r="G61" t="s">
        <v>3713</v>
      </c>
      <c r="H61" t="s">
        <v>8</v>
      </c>
      <c r="I61" s="31" t="s">
        <v>8</v>
      </c>
      <c r="J61" s="31" t="s">
        <v>8</v>
      </c>
      <c r="K61" s="31" t="str">
        <f>IF(psio_version="2.0","MJRS5 p.38","T&amp;P p.161")</f>
        <v>MJRS5 p.38</v>
      </c>
      <c r="L61" s="31" t="s">
        <v>8</v>
      </c>
      <c r="M61" s="167" t="s">
        <v>3212</v>
      </c>
      <c r="N61" s="167" t="s">
        <v>3246</v>
      </c>
      <c r="O61" s="167" t="s">
        <v>3153</v>
      </c>
      <c r="P61" s="167">
        <v>15</v>
      </c>
      <c r="Q61" s="167">
        <v>5</v>
      </c>
      <c r="R61">
        <f t="shared" si="1"/>
        <v>75</v>
      </c>
    </row>
    <row r="62" spans="1:18">
      <c r="A62" s="168" t="s">
        <v>3254</v>
      </c>
      <c r="B62" t="s">
        <v>1401</v>
      </c>
      <c r="C62" s="167" t="str">
        <f t="shared" si="5"/>
        <v>N/A (N/A)</v>
      </c>
      <c r="D62" t="str">
        <f>"0"</f>
        <v>0</v>
      </c>
      <c r="E62" t="s">
        <v>8</v>
      </c>
      <c r="F62" t="s">
        <v>3251</v>
      </c>
      <c r="G62" t="s">
        <v>1106</v>
      </c>
      <c r="H62" t="s">
        <v>8</v>
      </c>
      <c r="I62" t="s">
        <v>8</v>
      </c>
      <c r="J62" t="s">
        <v>8</v>
      </c>
      <c r="K62" t="str">
        <f>IF(psio_version="2.0","inexistant","T&amp;P p.170")</f>
        <v>inexistant</v>
      </c>
      <c r="L62" s="31" t="s">
        <v>8</v>
      </c>
      <c r="M62" s="167" t="s">
        <v>8</v>
      </c>
      <c r="N62" s="167" t="s">
        <v>3245</v>
      </c>
      <c r="O62" s="167" t="s">
        <v>3253</v>
      </c>
      <c r="P62" s="167">
        <v>6</v>
      </c>
      <c r="Q62" s="167">
        <v>2</v>
      </c>
      <c r="R62">
        <f t="shared" si="1"/>
        <v>30</v>
      </c>
    </row>
    <row r="63" spans="1:18">
      <c r="A63" s="83" t="s">
        <v>1750</v>
      </c>
      <c r="B63" t="str">
        <f>IF(psio_version="2.0","Métapsionisme","Psychométabolisme")</f>
        <v>Métapsionisme</v>
      </c>
      <c r="C63" s="167" t="str">
        <f t="shared" si="5"/>
        <v>SAG-5 (i:40,m:6/rnd)</v>
      </c>
      <c r="D63" t="str">
        <f>"0"</f>
        <v>0</v>
      </c>
      <c r="E63" t="s">
        <v>8</v>
      </c>
      <c r="F63">
        <v>1</v>
      </c>
      <c r="G63" s="133" t="s">
        <v>1106</v>
      </c>
      <c r="H63" t="s">
        <v>8</v>
      </c>
      <c r="I63" t="s">
        <v>8</v>
      </c>
      <c r="J63" t="s">
        <v>8</v>
      </c>
      <c r="K63" t="str">
        <f>IF(psio_version="2.0","MJRS5 p.95","T&amp;P p.176")</f>
        <v>MJRS5 p.95</v>
      </c>
      <c r="L63" s="31" t="s">
        <v>8</v>
      </c>
      <c r="M63" s="167" t="s">
        <v>3215</v>
      </c>
      <c r="N63" s="167" t="s">
        <v>3242</v>
      </c>
      <c r="O63" s="167" t="s">
        <v>3154</v>
      </c>
      <c r="P63" s="167">
        <v>15</v>
      </c>
      <c r="Q63" s="167">
        <v>6</v>
      </c>
      <c r="R63">
        <f t="shared" si="1"/>
        <v>75</v>
      </c>
    </row>
    <row r="64" spans="1:18">
      <c r="A64" s="147" t="s">
        <v>2345</v>
      </c>
      <c r="B64" t="s">
        <v>1410</v>
      </c>
      <c r="C64" s="167" t="str">
        <f t="shared" si="5"/>
        <v>SAG-4 (i:cont,m:var)</v>
      </c>
      <c r="D64" t="s">
        <v>1118</v>
      </c>
      <c r="E64" t="s">
        <v>8</v>
      </c>
      <c r="F64" t="str">
        <f>"0"</f>
        <v>0</v>
      </c>
      <c r="G64" t="s">
        <v>1384</v>
      </c>
      <c r="H64" t="s">
        <v>8</v>
      </c>
      <c r="I64" s="31" t="s">
        <v>8</v>
      </c>
      <c r="J64" s="31" t="s">
        <v>8</v>
      </c>
      <c r="K64" s="31" t="str">
        <f>IF(psio_version="2.0","MJRS5 p.74","T&amp;P p.172")</f>
        <v>MJRS5 p.74</v>
      </c>
      <c r="L64" s="31" t="s">
        <v>8</v>
      </c>
      <c r="M64" s="167" t="s">
        <v>3214</v>
      </c>
      <c r="N64" s="167" t="s">
        <v>3242</v>
      </c>
      <c r="O64" s="167" t="s">
        <v>3155</v>
      </c>
      <c r="P64" s="167" t="s">
        <v>3450</v>
      </c>
      <c r="Q64" s="167" t="s">
        <v>3441</v>
      </c>
      <c r="R64">
        <v>30</v>
      </c>
    </row>
    <row r="65" spans="1:18">
      <c r="A65" s="83" t="s">
        <v>1093</v>
      </c>
      <c r="B65" t="s">
        <v>1410</v>
      </c>
      <c r="C65" s="167" t="str">
        <f t="shared" si="5"/>
        <v>SAG-6 (i:cont,m:var)</v>
      </c>
      <c r="D65" t="s">
        <v>1121</v>
      </c>
      <c r="E65" t="s">
        <v>8</v>
      </c>
      <c r="F65">
        <v>2</v>
      </c>
      <c r="G65" s="133" t="s">
        <v>1411</v>
      </c>
      <c r="H65" t="s">
        <v>8</v>
      </c>
      <c r="I65" t="s">
        <v>8</v>
      </c>
      <c r="J65" t="s">
        <v>8</v>
      </c>
      <c r="K65" t="str">
        <f>IF(psio_version="2.0","MJRS5 p.74","T&amp;P p.177")</f>
        <v>MJRS5 p.74</v>
      </c>
      <c r="L65" t="s">
        <v>8</v>
      </c>
      <c r="M65" s="167" t="s">
        <v>3229</v>
      </c>
      <c r="N65" s="167" t="s">
        <v>3244</v>
      </c>
      <c r="O65" s="167" t="s">
        <v>3155</v>
      </c>
      <c r="P65" s="167" t="s">
        <v>3442</v>
      </c>
      <c r="Q65" s="167" t="s">
        <v>3442</v>
      </c>
      <c r="R65">
        <v>150</v>
      </c>
    </row>
    <row r="66" spans="1:18">
      <c r="A66" s="142" t="s">
        <v>1027</v>
      </c>
      <c r="B66" t="s">
        <v>1394</v>
      </c>
      <c r="C66" s="167" t="str">
        <f t="shared" si="5"/>
        <v>CON-3 (i:7,m:na)</v>
      </c>
      <c r="D66" t="s">
        <v>1395</v>
      </c>
      <c r="E66" t="s">
        <v>8</v>
      </c>
      <c r="F66" t="str">
        <f>"0"</f>
        <v>0</v>
      </c>
      <c r="G66" t="s">
        <v>1384</v>
      </c>
      <c r="H66" t="s">
        <v>8</v>
      </c>
      <c r="I66" t="s">
        <v>8</v>
      </c>
      <c r="J66" t="s">
        <v>8</v>
      </c>
      <c r="K66" s="31" t="str">
        <f>IF(psio_version="2.0","MJRS5 p.56","T&amp;P p.176")</f>
        <v>MJRS5 p.56</v>
      </c>
      <c r="L66" s="31" t="s">
        <v>8</v>
      </c>
      <c r="M66" s="167" t="s">
        <v>3212</v>
      </c>
      <c r="N66" s="167" t="s">
        <v>3244</v>
      </c>
      <c r="O66" s="167" t="s">
        <v>3156</v>
      </c>
      <c r="P66" s="167">
        <v>7</v>
      </c>
      <c r="Q66" s="167">
        <v>2</v>
      </c>
      <c r="R66">
        <f t="shared" si="1"/>
        <v>35</v>
      </c>
    </row>
    <row r="67" spans="1:18">
      <c r="A67" s="132" t="s">
        <v>1083</v>
      </c>
      <c r="B67" t="s">
        <v>1394</v>
      </c>
      <c r="C67" s="167" t="str">
        <f t="shared" si="5"/>
        <v>CON-3 (i:11,m:5/rnd)</v>
      </c>
      <c r="D67" t="s">
        <v>1395</v>
      </c>
      <c r="E67" t="s">
        <v>8</v>
      </c>
      <c r="F67" t="str">
        <f>"0"</f>
        <v>0</v>
      </c>
      <c r="G67" t="s">
        <v>1384</v>
      </c>
      <c r="H67" t="s">
        <v>8</v>
      </c>
      <c r="I67" t="s">
        <v>8</v>
      </c>
      <c r="J67" t="s">
        <v>8</v>
      </c>
      <c r="K67" t="str">
        <f>IF(psio_version="2.0","MJRS5 p.52","T&amp;P p.176")</f>
        <v>MJRS5 p.52</v>
      </c>
      <c r="L67" s="31" t="s">
        <v>8</v>
      </c>
      <c r="M67" s="167" t="s">
        <v>3212</v>
      </c>
      <c r="N67" s="167" t="s">
        <v>3244</v>
      </c>
      <c r="O67" s="167" t="s">
        <v>3157</v>
      </c>
      <c r="P67" s="167">
        <v>6</v>
      </c>
      <c r="Q67" s="167">
        <v>3</v>
      </c>
      <c r="R67">
        <f t="shared" si="1"/>
        <v>30</v>
      </c>
    </row>
    <row r="68" spans="1:18">
      <c r="A68" s="165" t="s">
        <v>1760</v>
      </c>
      <c r="B68" t="str">
        <f>IF(psio_version="2.0","Métapsionisme","Télépathie")</f>
        <v>Métapsionisme</v>
      </c>
      <c r="C68" s="167" t="str">
        <f t="shared" ref="C68:C79" si="8">IF(psio_version="2.0",M68,N68)&amp;" "&amp;IF(psio_version="2.0",O68,"("&amp;P68&amp;"/"&amp;Q68&amp;")")</f>
        <v>SAG-6 (i:10/ind+con,m:0)</v>
      </c>
      <c r="D68" t="s">
        <v>1118</v>
      </c>
      <c r="E68" t="s">
        <v>8</v>
      </c>
      <c r="F68" t="str">
        <f>"0"</f>
        <v>0</v>
      </c>
      <c r="G68" t="s">
        <v>1774</v>
      </c>
      <c r="H68" t="s">
        <v>8</v>
      </c>
      <c r="I68" t="s">
        <v>8</v>
      </c>
      <c r="J68" t="s">
        <v>8</v>
      </c>
      <c r="K68" t="str">
        <f>IF(psio_version="2.0","MJRS5 p.101","T&amp;P p.177")</f>
        <v>MJRS5 p.101</v>
      </c>
      <c r="L68" s="31" t="s">
        <v>8</v>
      </c>
      <c r="M68" s="167" t="s">
        <v>3229</v>
      </c>
      <c r="N68" s="167" t="s">
        <v>3243</v>
      </c>
      <c r="O68" s="167" t="s">
        <v>3158</v>
      </c>
      <c r="P68" s="167">
        <v>14</v>
      </c>
      <c r="Q68" s="167">
        <v>6</v>
      </c>
      <c r="R68">
        <f t="shared" si="1"/>
        <v>70</v>
      </c>
    </row>
    <row r="69" spans="1:18">
      <c r="A69" s="83" t="s">
        <v>1094</v>
      </c>
      <c r="B69" t="s">
        <v>1410</v>
      </c>
      <c r="C69" s="167" t="str">
        <f t="shared" si="8"/>
        <v>CON-4 (i:cont+30,m:na)</v>
      </c>
      <c r="D69" t="s">
        <v>1395</v>
      </c>
      <c r="E69" t="s">
        <v>8</v>
      </c>
      <c r="F69">
        <v>3</v>
      </c>
      <c r="G69" t="s">
        <v>1384</v>
      </c>
      <c r="H69" t="s">
        <v>8</v>
      </c>
      <c r="I69" t="s">
        <v>8</v>
      </c>
      <c r="J69" t="s">
        <v>8</v>
      </c>
      <c r="K69" s="31" t="str">
        <f>IF(psio_version="2.0","MJRS5 p.75","T&amp;P p.177")</f>
        <v>MJRS5 p.75</v>
      </c>
      <c r="L69" s="31" t="s">
        <v>8</v>
      </c>
      <c r="M69" s="167" t="s">
        <v>3213</v>
      </c>
      <c r="N69" s="167" t="s">
        <v>3246</v>
      </c>
      <c r="O69" s="167" t="s">
        <v>3159</v>
      </c>
      <c r="P69" s="167">
        <v>40</v>
      </c>
      <c r="Q69" s="167">
        <v>15</v>
      </c>
      <c r="R69">
        <f t="shared" ref="R69:R131" si="9">P69*5</f>
        <v>200</v>
      </c>
    </row>
    <row r="70" spans="1:18">
      <c r="A70" s="168" t="s">
        <v>3258</v>
      </c>
      <c r="B70" t="s">
        <v>1394</v>
      </c>
      <c r="C70" s="167" t="str">
        <f t="shared" si="8"/>
        <v>CON-3 (i:6,m:3/rnd)</v>
      </c>
      <c r="D70" t="str">
        <f>"0"</f>
        <v>0</v>
      </c>
      <c r="E70" t="s">
        <v>8</v>
      </c>
      <c r="F70" t="str">
        <f t="shared" ref="F70:F86" si="10">"0"</f>
        <v>0</v>
      </c>
      <c r="G70" t="s">
        <v>1106</v>
      </c>
      <c r="H70" t="s">
        <v>8</v>
      </c>
      <c r="I70" t="s">
        <v>8</v>
      </c>
      <c r="J70" t="s">
        <v>8</v>
      </c>
      <c r="K70" s="31" t="str">
        <f>IF(psio_version="2.0","MJRS5 p.57","T&amp;P p.176")</f>
        <v>MJRS5 p.57</v>
      </c>
      <c r="L70" s="31" t="s">
        <v>8</v>
      </c>
      <c r="M70" s="167" t="s">
        <v>3212</v>
      </c>
      <c r="N70" s="167" t="s">
        <v>3244</v>
      </c>
      <c r="O70" s="167" t="s">
        <v>3131</v>
      </c>
      <c r="P70" s="167">
        <v>4</v>
      </c>
      <c r="Q70" s="167">
        <v>2</v>
      </c>
      <c r="R70">
        <f t="shared" si="9"/>
        <v>20</v>
      </c>
    </row>
    <row r="71" spans="1:18">
      <c r="A71" s="83" t="s">
        <v>1731</v>
      </c>
      <c r="B71" t="s">
        <v>1410</v>
      </c>
      <c r="C71" s="167" t="str">
        <f t="shared" si="8"/>
        <v>SAG-4 (i:7,m:na)</v>
      </c>
      <c r="D71" t="s">
        <v>1105</v>
      </c>
      <c r="E71" t="s">
        <v>8</v>
      </c>
      <c r="F71" t="str">
        <f t="shared" si="10"/>
        <v>0</v>
      </c>
      <c r="G71" t="s">
        <v>1384</v>
      </c>
      <c r="H71" t="s">
        <v>8</v>
      </c>
      <c r="I71" t="s">
        <v>8</v>
      </c>
      <c r="J71" t="s">
        <v>8</v>
      </c>
      <c r="K71" s="31" t="str">
        <f>IF(psio_version="2.0","MJRS5 p.84","T&amp;P p.146")</f>
        <v>MJRS5 p.84</v>
      </c>
      <c r="L71" s="31" t="s">
        <v>8</v>
      </c>
      <c r="M71" s="167" t="s">
        <v>3214</v>
      </c>
      <c r="N71" s="167" t="s">
        <v>168</v>
      </c>
      <c r="O71" s="167" t="s">
        <v>3156</v>
      </c>
      <c r="P71" s="167">
        <v>8</v>
      </c>
      <c r="Q71" s="167">
        <v>4</v>
      </c>
      <c r="R71">
        <f t="shared" si="9"/>
        <v>40</v>
      </c>
    </row>
    <row r="72" spans="1:18">
      <c r="A72" s="168" t="s">
        <v>3256</v>
      </c>
      <c r="B72" t="s">
        <v>1410</v>
      </c>
      <c r="C72" s="167" t="str">
        <f t="shared" si="8"/>
        <v>INT-1 (i:cont,m:2/rnd)</v>
      </c>
      <c r="D72" t="s">
        <v>1100</v>
      </c>
      <c r="E72" t="s">
        <v>8</v>
      </c>
      <c r="F72" t="str">
        <f t="shared" si="10"/>
        <v>0</v>
      </c>
      <c r="G72" t="s">
        <v>1384</v>
      </c>
      <c r="H72" t="s">
        <v>8</v>
      </c>
      <c r="I72" t="s">
        <v>8</v>
      </c>
      <c r="J72" t="s">
        <v>8</v>
      </c>
      <c r="K72" s="31" t="str">
        <f>IF(psio_version="2.0","MJRS5 p.85","T&amp;P p.174")</f>
        <v>MJRS5 p.85</v>
      </c>
      <c r="L72" s="31" t="s">
        <v>8</v>
      </c>
      <c r="M72" s="167" t="s">
        <v>3221</v>
      </c>
      <c r="N72" s="167" t="s">
        <v>3242</v>
      </c>
      <c r="O72" s="167" t="s">
        <v>3160</v>
      </c>
      <c r="P72" s="167" t="s">
        <v>3441</v>
      </c>
      <c r="Q72" s="167" t="s">
        <v>3449</v>
      </c>
      <c r="R72">
        <v>15</v>
      </c>
    </row>
    <row r="73" spans="1:18">
      <c r="A73" s="83" t="s">
        <v>1051</v>
      </c>
      <c r="B73" t="s">
        <v>1410</v>
      </c>
      <c r="C73" s="167" t="str">
        <f t="shared" si="8"/>
        <v>SAG (i:cont,m:1/rnd)</v>
      </c>
      <c r="D73" t="s">
        <v>1100</v>
      </c>
      <c r="E73" t="s">
        <v>8</v>
      </c>
      <c r="F73" t="str">
        <f t="shared" si="10"/>
        <v>0</v>
      </c>
      <c r="G73" t="s">
        <v>1732</v>
      </c>
      <c r="H73" t="s">
        <v>8</v>
      </c>
      <c r="I73" t="s">
        <v>8</v>
      </c>
      <c r="J73" t="s">
        <v>8</v>
      </c>
      <c r="K73" s="31" t="str">
        <f>IF(psio_version="2.0","MJRS5 p.85","T&amp;P p.177")</f>
        <v>MJRS5 p.85</v>
      </c>
      <c r="L73" s="31" t="s">
        <v>8</v>
      </c>
      <c r="M73" s="167" t="s">
        <v>195</v>
      </c>
      <c r="N73" s="167" t="s">
        <v>3245</v>
      </c>
      <c r="O73" s="167" t="s">
        <v>3161</v>
      </c>
      <c r="P73" s="167">
        <v>3</v>
      </c>
      <c r="Q73" s="167">
        <v>1</v>
      </c>
      <c r="R73">
        <f t="shared" si="9"/>
        <v>15</v>
      </c>
    </row>
    <row r="74" spans="1:18">
      <c r="A74" s="147" t="s">
        <v>1052</v>
      </c>
      <c r="B74" t="s">
        <v>1410</v>
      </c>
      <c r="C74" s="167" t="str">
        <f t="shared" si="8"/>
        <v>SAG-3 (i:cont,m:5/rnd)</v>
      </c>
      <c r="D74" t="s">
        <v>1100</v>
      </c>
      <c r="E74" t="s">
        <v>8</v>
      </c>
      <c r="F74" t="str">
        <f t="shared" si="10"/>
        <v>0</v>
      </c>
      <c r="G74" t="s">
        <v>1384</v>
      </c>
      <c r="H74" t="s">
        <v>8</v>
      </c>
      <c r="I74" t="s">
        <v>8</v>
      </c>
      <c r="J74" t="s">
        <v>8</v>
      </c>
      <c r="K74" s="31" t="str">
        <f>IF(psio_version="2.0","MJRS5 p.85","T&amp;P p.177")</f>
        <v>MJRS5 p.85</v>
      </c>
      <c r="L74" s="31" t="s">
        <v>8</v>
      </c>
      <c r="M74" s="167" t="s">
        <v>3220</v>
      </c>
      <c r="N74" s="167" t="s">
        <v>3242</v>
      </c>
      <c r="O74" s="167" t="s">
        <v>3162</v>
      </c>
      <c r="P74" s="167">
        <v>6</v>
      </c>
      <c r="Q74" s="167">
        <v>2</v>
      </c>
      <c r="R74">
        <f t="shared" si="9"/>
        <v>30</v>
      </c>
    </row>
    <row r="75" spans="1:18">
      <c r="A75" s="142" t="s">
        <v>999</v>
      </c>
      <c r="B75" t="s">
        <v>1378</v>
      </c>
      <c r="C75" s="167" t="str">
        <f t="shared" si="8"/>
        <v>SAG-3 (i:6,m:3/rnd)</v>
      </c>
      <c r="D75" t="str">
        <f>"0"</f>
        <v>0</v>
      </c>
      <c r="E75" t="s">
        <v>8</v>
      </c>
      <c r="F75" t="str">
        <f t="shared" si="10"/>
        <v>0</v>
      </c>
      <c r="G75" t="s">
        <v>1101</v>
      </c>
      <c r="H75" t="s">
        <v>8</v>
      </c>
      <c r="I75" t="s">
        <v>8</v>
      </c>
      <c r="J75" s="31" t="s">
        <v>8</v>
      </c>
      <c r="K75" s="31" t="str">
        <f>IF(psio_version="2.0","MJRS5 p.34","T&amp;P p.175")</f>
        <v>MJRS5 p.34</v>
      </c>
      <c r="L75" s="31" t="s">
        <v>8</v>
      </c>
      <c r="M75" s="167" t="s">
        <v>3220</v>
      </c>
      <c r="N75" s="167" t="s">
        <v>3242</v>
      </c>
      <c r="O75" s="167" t="s">
        <v>3131</v>
      </c>
      <c r="P75" s="167">
        <v>4</v>
      </c>
      <c r="Q75" s="167">
        <v>2</v>
      </c>
      <c r="R75">
        <f t="shared" si="9"/>
        <v>20</v>
      </c>
    </row>
    <row r="76" spans="1:18">
      <c r="A76" s="168" t="s">
        <v>3249</v>
      </c>
      <c r="B76" t="s">
        <v>1394</v>
      </c>
      <c r="C76" s="167" t="str">
        <f t="shared" si="8"/>
        <v>CON-3 (i:2,m:2/rnd)</v>
      </c>
      <c r="D76" t="str">
        <f>"0"</f>
        <v>0</v>
      </c>
      <c r="E76" t="s">
        <v>8</v>
      </c>
      <c r="F76" t="str">
        <f t="shared" si="10"/>
        <v>0</v>
      </c>
      <c r="G76" t="s">
        <v>1106</v>
      </c>
      <c r="H76" t="s">
        <v>8</v>
      </c>
      <c r="I76" t="s">
        <v>8</v>
      </c>
      <c r="J76" t="s">
        <v>8</v>
      </c>
      <c r="K76" s="31" t="str">
        <f>IF(psio_version="2.0","MJRS5 p.57","T&amp;P p.167")</f>
        <v>MJRS5 p.57</v>
      </c>
      <c r="L76" s="31" t="s">
        <v>8</v>
      </c>
      <c r="M76" s="167" t="s">
        <v>3212</v>
      </c>
      <c r="N76" s="167" t="s">
        <v>3244</v>
      </c>
      <c r="O76" s="167" t="s">
        <v>3163</v>
      </c>
      <c r="P76" s="167">
        <v>2</v>
      </c>
      <c r="Q76" s="167">
        <v>1</v>
      </c>
      <c r="R76">
        <f t="shared" si="9"/>
        <v>10</v>
      </c>
    </row>
    <row r="77" spans="1:18">
      <c r="A77" s="83" t="s">
        <v>1099</v>
      </c>
      <c r="B77" t="s">
        <v>1410</v>
      </c>
      <c r="C77" s="167" t="str">
        <f t="shared" si="8"/>
        <v>SAG-4 (i:cont,m:6/rnd)</v>
      </c>
      <c r="D77" t="s">
        <v>1100</v>
      </c>
      <c r="E77" t="s">
        <v>8</v>
      </c>
      <c r="F77" t="str">
        <f t="shared" si="10"/>
        <v>0</v>
      </c>
      <c r="G77" t="s">
        <v>1384</v>
      </c>
      <c r="H77" t="s">
        <v>8</v>
      </c>
      <c r="I77" t="s">
        <v>8</v>
      </c>
      <c r="J77" t="s">
        <v>8</v>
      </c>
      <c r="K77" t="str">
        <f>IF(psio_version="2.0","MJRS5 p.86","T&amp;P p.174")</f>
        <v>MJRS5 p.86</v>
      </c>
      <c r="L77" t="s">
        <v>8</v>
      </c>
      <c r="M77" s="167" t="s">
        <v>3214</v>
      </c>
      <c r="N77" s="167" t="s">
        <v>3244</v>
      </c>
      <c r="O77" s="167" t="s">
        <v>3164</v>
      </c>
      <c r="P77" s="167" t="s">
        <v>3450</v>
      </c>
      <c r="Q77" s="167" t="s">
        <v>3441</v>
      </c>
      <c r="R77">
        <v>30</v>
      </c>
    </row>
    <row r="78" spans="1:18">
      <c r="A78" s="83" t="s">
        <v>1000</v>
      </c>
      <c r="B78" t="s">
        <v>1378</v>
      </c>
      <c r="C78" s="167" t="str">
        <f t="shared" si="8"/>
        <v>INT-4 (i:5,m:4/rnd)</v>
      </c>
      <c r="D78" t="str">
        <f>"0"</f>
        <v>0</v>
      </c>
      <c r="E78" t="s">
        <v>8</v>
      </c>
      <c r="F78" t="str">
        <f t="shared" si="10"/>
        <v>0</v>
      </c>
      <c r="G78" t="s">
        <v>1106</v>
      </c>
      <c r="H78" t="s">
        <v>8</v>
      </c>
      <c r="I78" t="s">
        <v>8</v>
      </c>
      <c r="J78" t="s">
        <v>8</v>
      </c>
      <c r="K78" t="str">
        <f>IF(psio_version="2.0","MJRS5 p.35","T&amp;P p.160")</f>
        <v>MJRS5 p.35</v>
      </c>
      <c r="L78" t="s">
        <v>8</v>
      </c>
      <c r="M78" s="167" t="s">
        <v>3218</v>
      </c>
      <c r="N78" s="167" t="s">
        <v>3244</v>
      </c>
      <c r="O78" s="167" t="s">
        <v>3165</v>
      </c>
      <c r="P78" s="167">
        <v>4</v>
      </c>
      <c r="Q78" s="167">
        <v>2</v>
      </c>
      <c r="R78">
        <f t="shared" si="9"/>
        <v>20</v>
      </c>
    </row>
    <row r="79" spans="1:18">
      <c r="A79" s="83" t="s">
        <v>1733</v>
      </c>
      <c r="B79" t="s">
        <v>1410</v>
      </c>
      <c r="C79" s="167" t="str">
        <f t="shared" si="8"/>
        <v>SAG-4 (i:5,m:na)</v>
      </c>
      <c r="D79" t="s">
        <v>1734</v>
      </c>
      <c r="E79" t="s">
        <v>8</v>
      </c>
      <c r="F79" t="str">
        <f t="shared" si="10"/>
        <v>0</v>
      </c>
      <c r="G79" t="s">
        <v>1384</v>
      </c>
      <c r="H79" t="s">
        <v>8</v>
      </c>
      <c r="I79" t="s">
        <v>8</v>
      </c>
      <c r="J79" t="s">
        <v>8</v>
      </c>
      <c r="K79" s="31" t="str">
        <f>IF(psio_version="2.0","MJRS5 p.86","T&amp;P p.146")</f>
        <v>MJRS5 p.86</v>
      </c>
      <c r="L79" s="31" t="s">
        <v>8</v>
      </c>
      <c r="M79" s="167" t="s">
        <v>3214</v>
      </c>
      <c r="N79" s="167" t="s">
        <v>168</v>
      </c>
      <c r="O79" s="167" t="s">
        <v>3123</v>
      </c>
      <c r="P79" s="167">
        <v>6</v>
      </c>
      <c r="Q79" s="167">
        <v>3</v>
      </c>
      <c r="R79">
        <f t="shared" si="9"/>
        <v>30</v>
      </c>
    </row>
    <row r="80" spans="1:18">
      <c r="A80" s="83" t="s">
        <v>1435</v>
      </c>
      <c r="B80" t="s">
        <v>1410</v>
      </c>
      <c r="C80" s="167" t="str">
        <f t="shared" ref="C80" si="11">IF(psio_version="2.0",M80,N80)&amp;" "&amp;IF(psio_version="2.0",O80,P80)</f>
        <v>SAG-4 (i:var,m:na)</v>
      </c>
      <c r="D80" t="str">
        <f>"0"</f>
        <v>0</v>
      </c>
      <c r="E80" t="s">
        <v>8</v>
      </c>
      <c r="F80" t="str">
        <f t="shared" si="10"/>
        <v>0</v>
      </c>
      <c r="G80" t="s">
        <v>1106</v>
      </c>
      <c r="H80" t="s">
        <v>8</v>
      </c>
      <c r="I80" t="s">
        <v>8</v>
      </c>
      <c r="J80" t="s">
        <v>8</v>
      </c>
      <c r="K80" t="str">
        <f>IF(psio_version="2.0","MJRS5 p.75","MJRS5 p.75")</f>
        <v>MJRS5 p.75</v>
      </c>
      <c r="L80" t="s">
        <v>8</v>
      </c>
      <c r="M80" s="167" t="s">
        <v>3214</v>
      </c>
      <c r="N80" s="167" t="s">
        <v>3214</v>
      </c>
      <c r="O80" s="167" t="s">
        <v>3166</v>
      </c>
      <c r="P80" s="167" t="s">
        <v>3166</v>
      </c>
      <c r="Q80" s="167">
        <v>0</v>
      </c>
      <c r="R80">
        <v>36</v>
      </c>
    </row>
    <row r="81" spans="1:18">
      <c r="A81" s="83" t="s">
        <v>1028</v>
      </c>
      <c r="B81" t="s">
        <v>1394</v>
      </c>
      <c r="C81" s="167" t="str">
        <f t="shared" ref="C81:C112" si="12">IF(psio_version="2.0",M81,N81)&amp;" "&amp;IF(psio_version="2.0",O81,"("&amp;P81&amp;"/"&amp;Q81&amp;")")</f>
        <v>CON-2 (i:6,m:1/rnd)</v>
      </c>
      <c r="D81" t="str">
        <f>"0"</f>
        <v>0</v>
      </c>
      <c r="E81" t="s">
        <v>8</v>
      </c>
      <c r="F81" t="str">
        <f t="shared" si="10"/>
        <v>0</v>
      </c>
      <c r="G81" t="s">
        <v>1106</v>
      </c>
      <c r="H81" t="s">
        <v>8</v>
      </c>
      <c r="I81" t="s">
        <v>8</v>
      </c>
      <c r="J81" t="s">
        <v>8</v>
      </c>
      <c r="K81" s="31" t="str">
        <f>IF(psio_version="2.0","MJRS5 p.57","T&amp;P p.176")</f>
        <v>MJRS5 p.57</v>
      </c>
      <c r="L81" s="31" t="s">
        <v>8</v>
      </c>
      <c r="M81" s="167" t="s">
        <v>3219</v>
      </c>
      <c r="N81" s="167" t="s">
        <v>3244</v>
      </c>
      <c r="O81" s="167" t="s">
        <v>3167</v>
      </c>
      <c r="P81" s="167">
        <v>3</v>
      </c>
      <c r="Q81" s="167">
        <v>1</v>
      </c>
      <c r="R81">
        <f t="shared" si="9"/>
        <v>15</v>
      </c>
    </row>
    <row r="82" spans="1:18">
      <c r="A82" s="83" t="s">
        <v>1053</v>
      </c>
      <c r="B82" t="s">
        <v>1410</v>
      </c>
      <c r="C82" s="167" t="str">
        <f t="shared" si="12"/>
        <v>INT-3 (i:cont,m:4/rnd)</v>
      </c>
      <c r="D82" t="s">
        <v>1100</v>
      </c>
      <c r="E82" t="s">
        <v>8</v>
      </c>
      <c r="F82" t="str">
        <f t="shared" si="10"/>
        <v>0</v>
      </c>
      <c r="G82" t="s">
        <v>1384</v>
      </c>
      <c r="H82" t="s">
        <v>8</v>
      </c>
      <c r="I82" t="s">
        <v>8</v>
      </c>
      <c r="J82" t="s">
        <v>8</v>
      </c>
      <c r="K82" t="str">
        <f>IF(psio_version="2.0","MJRS5 p.87","T&amp;P p.177")</f>
        <v>MJRS5 p.87</v>
      </c>
      <c r="L82" t="s">
        <v>8</v>
      </c>
      <c r="M82" s="167" t="s">
        <v>3217</v>
      </c>
      <c r="N82" s="167" t="s">
        <v>3244</v>
      </c>
      <c r="O82" s="167" t="s">
        <v>3115</v>
      </c>
      <c r="P82" s="167">
        <v>5</v>
      </c>
      <c r="Q82" s="167">
        <v>2</v>
      </c>
      <c r="R82">
        <f t="shared" si="9"/>
        <v>25</v>
      </c>
    </row>
    <row r="83" spans="1:18">
      <c r="A83" s="92" t="s">
        <v>1029</v>
      </c>
      <c r="B83" t="s">
        <v>1394</v>
      </c>
      <c r="C83" s="167" t="str">
        <f t="shared" si="12"/>
        <v>SAG-3 (i:var,m:var)</v>
      </c>
      <c r="D83" t="str">
        <f>"0"</f>
        <v>0</v>
      </c>
      <c r="E83" t="s">
        <v>8</v>
      </c>
      <c r="F83" t="str">
        <f t="shared" si="10"/>
        <v>0</v>
      </c>
      <c r="G83" t="s">
        <v>1106</v>
      </c>
      <c r="H83" t="s">
        <v>8</v>
      </c>
      <c r="I83" t="s">
        <v>8</v>
      </c>
      <c r="J83" t="s">
        <v>8</v>
      </c>
      <c r="K83" s="31" t="str">
        <f>IF(psio_version="2.0","MJRS5 p.57","T&amp;P p.176")</f>
        <v>MJRS5 p.57</v>
      </c>
      <c r="L83" s="31" t="s">
        <v>8</v>
      </c>
      <c r="M83" s="167" t="s">
        <v>3220</v>
      </c>
      <c r="N83" s="167" t="s">
        <v>3242</v>
      </c>
      <c r="O83" s="167" t="s">
        <v>3168</v>
      </c>
      <c r="P83" s="167" t="s">
        <v>3442</v>
      </c>
      <c r="Q83" s="167" t="s">
        <v>3442</v>
      </c>
      <c r="R83">
        <v>90</v>
      </c>
    </row>
    <row r="84" spans="1:18">
      <c r="A84" s="83" t="s">
        <v>1030</v>
      </c>
      <c r="B84" t="s">
        <v>1394</v>
      </c>
      <c r="C84" s="167" t="str">
        <f t="shared" si="12"/>
        <v>CON-4 (i:6,m:2/rnd)</v>
      </c>
      <c r="D84" t="s">
        <v>1395</v>
      </c>
      <c r="E84" t="s">
        <v>8</v>
      </c>
      <c r="F84" t="str">
        <f t="shared" si="10"/>
        <v>0</v>
      </c>
      <c r="G84" t="s">
        <v>1384</v>
      </c>
      <c r="H84" t="s">
        <v>8</v>
      </c>
      <c r="I84" t="s">
        <v>8</v>
      </c>
      <c r="J84" t="s">
        <v>8</v>
      </c>
      <c r="K84" t="str">
        <f>IF(psio_version="2.0","MJRS5 p.59","T&amp;P p.176")</f>
        <v>MJRS5 p.59</v>
      </c>
      <c r="L84" s="31" t="s">
        <v>8</v>
      </c>
      <c r="M84" s="167" t="s">
        <v>3213</v>
      </c>
      <c r="N84" s="167" t="s">
        <v>3246</v>
      </c>
      <c r="O84" s="167" t="s">
        <v>3169</v>
      </c>
      <c r="P84" s="167">
        <v>3</v>
      </c>
      <c r="Q84" s="167">
        <v>1</v>
      </c>
      <c r="R84">
        <f t="shared" si="9"/>
        <v>15</v>
      </c>
    </row>
    <row r="85" spans="1:18">
      <c r="A85" s="147" t="s">
        <v>1077</v>
      </c>
      <c r="B85" t="s">
        <v>1377</v>
      </c>
      <c r="C85" s="167" t="str">
        <f t="shared" si="12"/>
        <v>CON-2 (i:10,m:na)</v>
      </c>
      <c r="D85" t="s">
        <v>1114</v>
      </c>
      <c r="E85" t="s">
        <v>8</v>
      </c>
      <c r="F85" t="str">
        <f t="shared" si="10"/>
        <v>0</v>
      </c>
      <c r="G85" t="s">
        <v>1103</v>
      </c>
      <c r="H85" t="s">
        <v>8</v>
      </c>
      <c r="I85" t="s">
        <v>8</v>
      </c>
      <c r="J85" t="s">
        <v>8</v>
      </c>
      <c r="K85" s="31" t="str">
        <f>IF(psio_version="2.0","MJRS5 p.40","T&amp;P p.162")</f>
        <v>MJRS5 p.40</v>
      </c>
      <c r="L85" s="31" t="s">
        <v>8</v>
      </c>
      <c r="M85" s="167" t="s">
        <v>3219</v>
      </c>
      <c r="N85" s="167" t="s">
        <v>3244</v>
      </c>
      <c r="O85" s="167" t="s">
        <v>3112</v>
      </c>
      <c r="P85" s="167">
        <v>10</v>
      </c>
      <c r="Q85" s="167">
        <v>4</v>
      </c>
      <c r="R85">
        <f t="shared" si="9"/>
        <v>50</v>
      </c>
    </row>
    <row r="86" spans="1:18">
      <c r="A86" s="83" t="s">
        <v>1084</v>
      </c>
      <c r="B86" t="s">
        <v>1394</v>
      </c>
      <c r="C86" s="167" t="str">
        <f t="shared" si="12"/>
        <v>CON-6 (i:12,m:3/rnd)</v>
      </c>
      <c r="D86" t="str">
        <f>"0"</f>
        <v>0</v>
      </c>
      <c r="E86" t="s">
        <v>8</v>
      </c>
      <c r="F86" t="str">
        <f t="shared" si="10"/>
        <v>0</v>
      </c>
      <c r="G86" t="s">
        <v>1106</v>
      </c>
      <c r="H86" t="s">
        <v>8</v>
      </c>
      <c r="I86" t="s">
        <v>8</v>
      </c>
      <c r="J86" t="s">
        <v>8</v>
      </c>
      <c r="K86" t="str">
        <f>IF(psio_version="2.0","MJRS5 p.52","T&amp;P p.165")</f>
        <v>MJRS5 p.52</v>
      </c>
      <c r="L86" t="s">
        <v>8</v>
      </c>
      <c r="M86" s="167" t="s">
        <v>3230</v>
      </c>
      <c r="N86" s="167" t="s">
        <v>3246</v>
      </c>
      <c r="O86" s="167" t="s">
        <v>3170</v>
      </c>
      <c r="P86" s="167">
        <v>5</v>
      </c>
      <c r="Q86" s="167">
        <v>2</v>
      </c>
      <c r="R86">
        <f t="shared" si="9"/>
        <v>25</v>
      </c>
    </row>
    <row r="87" spans="1:18">
      <c r="A87" s="146" t="s">
        <v>2233</v>
      </c>
      <c r="B87" t="s">
        <v>1394</v>
      </c>
      <c r="C87" s="167" t="str">
        <f t="shared" si="12"/>
        <v>CON-4 (i:9,m:9/rnd)</v>
      </c>
      <c r="D87" t="str">
        <f>"0"</f>
        <v>0</v>
      </c>
      <c r="E87" t="s">
        <v>8</v>
      </c>
      <c r="F87">
        <v>1</v>
      </c>
      <c r="G87" t="s">
        <v>1106</v>
      </c>
      <c r="H87" t="s">
        <v>8</v>
      </c>
      <c r="I87" t="s">
        <v>8</v>
      </c>
      <c r="J87" t="s">
        <v>8</v>
      </c>
      <c r="K87" t="str">
        <f>IF(psio_version="2.0","MJRS5 p.59","T&amp;P p.176")</f>
        <v>MJRS5 p.59</v>
      </c>
      <c r="L87" s="31" t="s">
        <v>8</v>
      </c>
      <c r="M87" s="167" t="s">
        <v>3213</v>
      </c>
      <c r="N87" s="167" t="s">
        <v>3246</v>
      </c>
      <c r="O87" s="167" t="s">
        <v>3171</v>
      </c>
      <c r="P87" s="167">
        <v>9</v>
      </c>
      <c r="Q87" s="167">
        <v>3</v>
      </c>
      <c r="R87">
        <f t="shared" si="9"/>
        <v>45</v>
      </c>
    </row>
    <row r="88" spans="1:18">
      <c r="A88" s="83" t="s">
        <v>1736</v>
      </c>
      <c r="B88" t="s">
        <v>1410</v>
      </c>
      <c r="C88" s="167" t="str">
        <f t="shared" si="12"/>
        <v>SAG-3 (i:4,m:na)</v>
      </c>
      <c r="D88" t="str">
        <f>"0"</f>
        <v>0</v>
      </c>
      <c r="E88" t="s">
        <v>8</v>
      </c>
      <c r="F88" t="str">
        <f>"0"</f>
        <v>0</v>
      </c>
      <c r="G88" t="s">
        <v>1737</v>
      </c>
      <c r="H88" t="s">
        <v>8</v>
      </c>
      <c r="I88" t="s">
        <v>8</v>
      </c>
      <c r="J88" t="s">
        <v>8</v>
      </c>
      <c r="K88" s="31" t="str">
        <f>IF(psio_version="2.0","MJRS5 p.87","T&amp;P p.148")</f>
        <v>MJRS5 p.87</v>
      </c>
      <c r="L88" s="31" t="s">
        <v>8</v>
      </c>
      <c r="M88" s="167" t="s">
        <v>3220</v>
      </c>
      <c r="N88" s="167" t="s">
        <v>168</v>
      </c>
      <c r="O88" s="167" t="s">
        <v>3136</v>
      </c>
      <c r="P88" s="167">
        <v>4</v>
      </c>
      <c r="Q88" s="167" t="s">
        <v>3443</v>
      </c>
      <c r="R88">
        <f t="shared" si="9"/>
        <v>20</v>
      </c>
    </row>
    <row r="89" spans="1:18">
      <c r="A89" s="92" t="s">
        <v>1032</v>
      </c>
      <c r="B89" t="s">
        <v>1394</v>
      </c>
      <c r="C89" s="167" t="str">
        <f t="shared" si="12"/>
        <v>CON-5 (i:10,m:1/rnd)</v>
      </c>
      <c r="D89" t="s">
        <v>1395</v>
      </c>
      <c r="E89" t="s">
        <v>8</v>
      </c>
      <c r="F89" t="str">
        <f>"0"</f>
        <v>0</v>
      </c>
      <c r="G89" t="s">
        <v>1106</v>
      </c>
      <c r="H89" t="s">
        <v>8</v>
      </c>
      <c r="I89" t="s">
        <v>8</v>
      </c>
      <c r="J89" t="s">
        <v>8</v>
      </c>
      <c r="K89" s="31" t="str">
        <f>IF(psio_version="2.0","MJRS5 p.59","T&amp;P p.176")</f>
        <v>MJRS5 p.59</v>
      </c>
      <c r="L89" s="31" t="s">
        <v>8</v>
      </c>
      <c r="M89" s="167" t="s">
        <v>3231</v>
      </c>
      <c r="N89" s="167" t="s">
        <v>3246</v>
      </c>
      <c r="O89" s="167" t="s">
        <v>3172</v>
      </c>
      <c r="P89" s="167">
        <v>5</v>
      </c>
      <c r="Q89" s="167">
        <v>2</v>
      </c>
      <c r="R89">
        <f t="shared" si="9"/>
        <v>25</v>
      </c>
    </row>
    <row r="90" spans="1:18">
      <c r="A90" s="83" t="s">
        <v>1085</v>
      </c>
      <c r="B90" t="s">
        <v>1394</v>
      </c>
      <c r="C90" s="167" t="str">
        <f t="shared" si="12"/>
        <v>CON (i:30,m:na)</v>
      </c>
      <c r="D90" t="str">
        <f>"0"</f>
        <v>0</v>
      </c>
      <c r="E90" t="s">
        <v>8</v>
      </c>
      <c r="F90" t="s">
        <v>1396</v>
      </c>
      <c r="G90" t="s">
        <v>1106</v>
      </c>
      <c r="H90" t="s">
        <v>8</v>
      </c>
      <c r="I90" t="s">
        <v>8</v>
      </c>
      <c r="J90" t="s">
        <v>8</v>
      </c>
      <c r="K90" s="31" t="str">
        <f>IF(psio_version="2.0","MJRS5 p.52","T&amp;P p.166")</f>
        <v>MJRS5 p.52</v>
      </c>
      <c r="L90" s="31" t="s">
        <v>8</v>
      </c>
      <c r="M90" s="167" t="s">
        <v>199</v>
      </c>
      <c r="N90" s="167" t="s">
        <v>3246</v>
      </c>
      <c r="O90" s="167" t="s">
        <v>3173</v>
      </c>
      <c r="P90" s="167">
        <v>25</v>
      </c>
      <c r="Q90" s="167">
        <v>5</v>
      </c>
      <c r="R90">
        <f t="shared" si="9"/>
        <v>125</v>
      </c>
    </row>
    <row r="91" spans="1:18">
      <c r="A91" s="83" t="s">
        <v>1033</v>
      </c>
      <c r="B91" t="s">
        <v>1394</v>
      </c>
      <c r="C91" s="167" t="str">
        <f t="shared" si="12"/>
        <v>CON-5 (i:9,m:6/rnd)</v>
      </c>
      <c r="D91" t="str">
        <f>"0"</f>
        <v>0</v>
      </c>
      <c r="E91" t="s">
        <v>8</v>
      </c>
      <c r="F91" t="str">
        <f>"0"</f>
        <v>0</v>
      </c>
      <c r="G91" t="s">
        <v>1106</v>
      </c>
      <c r="H91" t="s">
        <v>8</v>
      </c>
      <c r="I91" t="s">
        <v>8</v>
      </c>
      <c r="J91" t="s">
        <v>8</v>
      </c>
      <c r="K91" s="31" t="str">
        <f>IF(psio_version="2.0","MJRS5 p.59","T&amp;P p.176")</f>
        <v>MJRS5 p.59</v>
      </c>
      <c r="L91" s="31" t="s">
        <v>8</v>
      </c>
      <c r="M91" s="167" t="s">
        <v>3231</v>
      </c>
      <c r="N91" s="167" t="s">
        <v>3246</v>
      </c>
      <c r="O91" s="167" t="s">
        <v>3174</v>
      </c>
      <c r="P91" s="167">
        <v>7</v>
      </c>
      <c r="Q91" s="167">
        <v>2</v>
      </c>
      <c r="R91">
        <f t="shared" si="9"/>
        <v>35</v>
      </c>
    </row>
    <row r="92" spans="1:18">
      <c r="A92" s="83" t="s">
        <v>1761</v>
      </c>
      <c r="B92" t="str">
        <f>IF(psio_version="2.0","Métapsionisme","Télépathie")</f>
        <v>Métapsionisme</v>
      </c>
      <c r="C92" s="167" t="str">
        <f t="shared" si="12"/>
        <v>SAG-5 (i:20,m:3/rnd)</v>
      </c>
      <c r="D92" t="str">
        <f>"0"</f>
        <v>0</v>
      </c>
      <c r="E92" t="s">
        <v>8</v>
      </c>
      <c r="F92">
        <v>1</v>
      </c>
      <c r="G92" t="s">
        <v>1773</v>
      </c>
      <c r="H92" t="s">
        <v>8</v>
      </c>
      <c r="I92" t="s">
        <v>8</v>
      </c>
      <c r="J92" t="s">
        <v>8</v>
      </c>
      <c r="K92" t="str">
        <f>IF(psio_version="2.0","MJRS5 p.101","T&amp;P p.177")</f>
        <v>MJRS5 p.101</v>
      </c>
      <c r="L92" s="31" t="s">
        <v>8</v>
      </c>
      <c r="M92" s="167" t="s">
        <v>3215</v>
      </c>
      <c r="N92" s="167" t="s">
        <v>3242</v>
      </c>
      <c r="O92" s="167" t="s">
        <v>3175</v>
      </c>
      <c r="P92" s="167">
        <v>7</v>
      </c>
      <c r="Q92" s="167">
        <v>3</v>
      </c>
      <c r="R92">
        <f t="shared" si="9"/>
        <v>35</v>
      </c>
    </row>
    <row r="93" spans="1:18">
      <c r="A93" s="147" t="s">
        <v>1054</v>
      </c>
      <c r="B93" t="s">
        <v>1410</v>
      </c>
      <c r="C93" s="167" t="str">
        <f t="shared" si="12"/>
        <v>CON-4 (i:cont,m:2/rnd)</v>
      </c>
      <c r="D93" t="s">
        <v>1395</v>
      </c>
      <c r="E93" t="s">
        <v>8</v>
      </c>
      <c r="F93">
        <v>1</v>
      </c>
      <c r="G93" t="s">
        <v>1384</v>
      </c>
      <c r="H93" t="s">
        <v>8</v>
      </c>
      <c r="I93" t="s">
        <v>8</v>
      </c>
      <c r="J93" t="s">
        <v>8</v>
      </c>
      <c r="K93" t="str">
        <f>IF(psio_version="2.0","MJRS5 p.87","T&amp;P p.174")</f>
        <v>MJRS5 p.87</v>
      </c>
      <c r="L93" t="s">
        <v>8</v>
      </c>
      <c r="M93" s="167" t="s">
        <v>3213</v>
      </c>
      <c r="N93" s="167" t="s">
        <v>3246</v>
      </c>
      <c r="O93" s="167" t="s">
        <v>3160</v>
      </c>
      <c r="P93" s="167" t="s">
        <v>3441</v>
      </c>
      <c r="Q93" s="167" t="s">
        <v>3449</v>
      </c>
      <c r="R93">
        <v>15</v>
      </c>
    </row>
    <row r="94" spans="1:18">
      <c r="A94" s="142" t="s">
        <v>1762</v>
      </c>
      <c r="B94" t="str">
        <f>IF(psio_version="2.0","Métapsionisme","Psychométabolisme")</f>
        <v>Métapsionisme</v>
      </c>
      <c r="C94" s="167" t="str">
        <f t="shared" si="12"/>
        <v>Aff.-3 (i:5/aug,m:1/rnd)</v>
      </c>
      <c r="D94" t="str">
        <f>"0"</f>
        <v>0</v>
      </c>
      <c r="E94" t="s">
        <v>8</v>
      </c>
      <c r="F94" t="s">
        <v>2275</v>
      </c>
      <c r="G94" s="133" t="s">
        <v>1106</v>
      </c>
      <c r="H94" t="s">
        <v>8</v>
      </c>
      <c r="I94" t="s">
        <v>8</v>
      </c>
      <c r="J94" s="31" t="s">
        <v>8</v>
      </c>
      <c r="K94" s="31" t="str">
        <f>IF(psio_version="2.0","MJRS5 p.102","T&amp;P p.176")</f>
        <v>MJRS5 p.102</v>
      </c>
      <c r="L94" s="31" t="s">
        <v>8</v>
      </c>
      <c r="M94" s="167" t="s">
        <v>3232</v>
      </c>
      <c r="N94" s="167" t="s">
        <v>3244</v>
      </c>
      <c r="O94" s="167" t="s">
        <v>3176</v>
      </c>
      <c r="P94" s="167" t="s">
        <v>3450</v>
      </c>
      <c r="Q94" s="167" t="s">
        <v>3441</v>
      </c>
      <c r="R94">
        <v>30</v>
      </c>
    </row>
    <row r="95" spans="1:18">
      <c r="A95" s="147" t="s">
        <v>2346</v>
      </c>
      <c r="B95" t="s">
        <v>1410</v>
      </c>
      <c r="C95" s="167" t="str">
        <f t="shared" si="12"/>
        <v>INT-5 (i:cont,m:2/rd/cr)</v>
      </c>
      <c r="D95" t="s">
        <v>1386</v>
      </c>
      <c r="E95" t="s">
        <v>8</v>
      </c>
      <c r="F95" t="str">
        <f>"0"</f>
        <v>0</v>
      </c>
      <c r="G95" t="s">
        <v>1384</v>
      </c>
      <c r="H95" t="s">
        <v>8</v>
      </c>
      <c r="I95" t="s">
        <v>8</v>
      </c>
      <c r="J95" t="s">
        <v>8</v>
      </c>
      <c r="K95" s="31" t="str">
        <f>IF(psio_version="2.0","MJRS5 p.87","T&amp;P p.174")</f>
        <v>MJRS5 p.87</v>
      </c>
      <c r="L95" s="31" t="s">
        <v>8</v>
      </c>
      <c r="M95" s="167" t="s">
        <v>3225</v>
      </c>
      <c r="N95" s="167" t="s">
        <v>3244</v>
      </c>
      <c r="O95" s="167" t="s">
        <v>3177</v>
      </c>
      <c r="P95" s="167" t="s">
        <v>3441</v>
      </c>
      <c r="Q95" s="167" t="s">
        <v>3449</v>
      </c>
      <c r="R95">
        <v>15</v>
      </c>
    </row>
    <row r="96" spans="1:18">
      <c r="A96" s="83" t="s">
        <v>1095</v>
      </c>
      <c r="B96" t="s">
        <v>1410</v>
      </c>
      <c r="C96" s="167" t="str">
        <f t="shared" si="12"/>
        <v>INT-5 (i:cont,m:5/rd/cr)</v>
      </c>
      <c r="D96" t="s">
        <v>1386</v>
      </c>
      <c r="E96" t="s">
        <v>8</v>
      </c>
      <c r="F96" t="str">
        <f>"0"</f>
        <v>0</v>
      </c>
      <c r="G96" t="s">
        <v>1106</v>
      </c>
      <c r="H96" t="s">
        <v>8</v>
      </c>
      <c r="I96" t="s">
        <v>8</v>
      </c>
      <c r="J96" s="31" t="s">
        <v>8</v>
      </c>
      <c r="K96" s="31" t="str">
        <f>IF(psio_version="2.0","MJRS5 p.76","T&amp;P p.177")</f>
        <v>MJRS5 p.76</v>
      </c>
      <c r="L96" s="31" t="s">
        <v>8</v>
      </c>
      <c r="M96" s="167" t="s">
        <v>3225</v>
      </c>
      <c r="N96" s="167" t="s">
        <v>3244</v>
      </c>
      <c r="O96" s="167" t="s">
        <v>3178</v>
      </c>
      <c r="P96" s="167" t="s">
        <v>3451</v>
      </c>
      <c r="Q96" s="167" t="s">
        <v>3452</v>
      </c>
      <c r="R96">
        <v>30</v>
      </c>
    </row>
    <row r="97" spans="1:18">
      <c r="A97" s="83" t="s">
        <v>1763</v>
      </c>
      <c r="B97" t="str">
        <f>IF(psio_version="2.0","Métapsionisme","Psychométabolisme")</f>
        <v>Métapsionisme</v>
      </c>
      <c r="C97" s="167" t="str">
        <f t="shared" si="12"/>
        <v>INT-(2*j) (i:5*j,m:j/rnd)</v>
      </c>
      <c r="D97" t="str">
        <f>"0"</f>
        <v>0</v>
      </c>
      <c r="E97" t="s">
        <v>8</v>
      </c>
      <c r="F97" t="s">
        <v>1771</v>
      </c>
      <c r="G97" s="133" t="s">
        <v>1106</v>
      </c>
      <c r="H97" t="s">
        <v>8</v>
      </c>
      <c r="I97" t="s">
        <v>8</v>
      </c>
      <c r="J97" t="s">
        <v>8</v>
      </c>
      <c r="K97" t="str">
        <f>IF(psio_version="2.0","MJRS5 p.103","T&amp;P p.176")</f>
        <v>MJRS5 p.103</v>
      </c>
      <c r="L97" t="s">
        <v>8</v>
      </c>
      <c r="M97" s="167" t="s">
        <v>3233</v>
      </c>
      <c r="N97" s="167" t="s">
        <v>3259</v>
      </c>
      <c r="O97" s="167" t="s">
        <v>3179</v>
      </c>
      <c r="P97" s="167" t="s">
        <v>3442</v>
      </c>
      <c r="Q97" s="167" t="s">
        <v>3442</v>
      </c>
      <c r="R97">
        <v>18</v>
      </c>
    </row>
    <row r="98" spans="1:18">
      <c r="A98" s="83" t="s">
        <v>1072</v>
      </c>
      <c r="B98" t="s">
        <v>1378</v>
      </c>
      <c r="C98" s="167" t="str">
        <f t="shared" si="12"/>
        <v>SAG-5 (i:16,m:na)</v>
      </c>
      <c r="D98" t="str">
        <f>"0"</f>
        <v>0</v>
      </c>
      <c r="E98" t="s">
        <v>8</v>
      </c>
      <c r="F98">
        <v>1</v>
      </c>
      <c r="G98" t="s">
        <v>1102</v>
      </c>
      <c r="H98" t="s">
        <v>8</v>
      </c>
      <c r="I98" t="s">
        <v>8</v>
      </c>
      <c r="J98" t="s">
        <v>8</v>
      </c>
      <c r="K98" t="str">
        <f>IF(psio_version="2.0","MJRS5 p.30","T&amp;P p.159")</f>
        <v>MJRS5 p.30</v>
      </c>
      <c r="L98" t="s">
        <v>8</v>
      </c>
      <c r="M98" s="167" t="s">
        <v>3215</v>
      </c>
      <c r="N98" s="167" t="s">
        <v>3243</v>
      </c>
      <c r="O98" s="167" t="s">
        <v>3150</v>
      </c>
      <c r="P98" s="167">
        <v>12</v>
      </c>
      <c r="Q98" s="167">
        <v>6</v>
      </c>
      <c r="R98">
        <f t="shared" si="9"/>
        <v>60</v>
      </c>
    </row>
    <row r="99" spans="1:18">
      <c r="A99" s="83" t="s">
        <v>1391</v>
      </c>
      <c r="B99" t="s">
        <v>1377</v>
      </c>
      <c r="C99" s="167" t="str">
        <f t="shared" si="12"/>
        <v>SAG-3 (i:12,m:2/rnd)</v>
      </c>
      <c r="D99" t="str">
        <f>"0"</f>
        <v>0</v>
      </c>
      <c r="E99" t="s">
        <v>8</v>
      </c>
      <c r="F99" t="str">
        <f>"0"</f>
        <v>0</v>
      </c>
      <c r="G99" t="s">
        <v>1384</v>
      </c>
      <c r="H99" t="s">
        <v>8</v>
      </c>
      <c r="I99" t="s">
        <v>8</v>
      </c>
      <c r="J99" t="s">
        <v>8</v>
      </c>
      <c r="K99" s="31" t="str">
        <f>IF(psio_version="2.0","MJRS5 p.48","T&amp;P p.164")</f>
        <v>MJRS5 p.48</v>
      </c>
      <c r="L99" s="31" t="s">
        <v>8</v>
      </c>
      <c r="M99" s="167" t="s">
        <v>3220</v>
      </c>
      <c r="N99" s="167" t="s">
        <v>3242</v>
      </c>
      <c r="O99" s="167" t="s">
        <v>3180</v>
      </c>
      <c r="P99" s="167">
        <v>5</v>
      </c>
      <c r="Q99" s="167">
        <v>2</v>
      </c>
      <c r="R99">
        <f t="shared" si="9"/>
        <v>25</v>
      </c>
    </row>
    <row r="100" spans="1:18">
      <c r="A100" s="83" t="s">
        <v>1096</v>
      </c>
      <c r="B100" t="s">
        <v>1410</v>
      </c>
      <c r="C100" s="167" t="str">
        <f t="shared" si="12"/>
        <v>CON-5 (i:cont,m:5/tour)</v>
      </c>
      <c r="D100" t="s">
        <v>1626</v>
      </c>
      <c r="E100" t="s">
        <v>8</v>
      </c>
      <c r="F100">
        <v>1</v>
      </c>
      <c r="G100" t="s">
        <v>1384</v>
      </c>
      <c r="H100" t="s">
        <v>8</v>
      </c>
      <c r="I100" t="s">
        <v>8</v>
      </c>
      <c r="J100" t="s">
        <v>8</v>
      </c>
      <c r="K100" t="str">
        <f>IF(psio_version="2.0","MJRS5 p.76","T&amp;P p.177")</f>
        <v>MJRS5 p.76</v>
      </c>
      <c r="L100" t="s">
        <v>8</v>
      </c>
      <c r="M100" s="167" t="s">
        <v>3231</v>
      </c>
      <c r="N100" s="167" t="s">
        <v>3246</v>
      </c>
      <c r="O100" s="167" t="s">
        <v>3181</v>
      </c>
      <c r="P100" s="167" t="s">
        <v>3453</v>
      </c>
      <c r="Q100" s="167">
        <v>3</v>
      </c>
      <c r="R100">
        <v>30</v>
      </c>
    </row>
    <row r="101" spans="1:18">
      <c r="A101" s="83" t="s">
        <v>1056</v>
      </c>
      <c r="B101" t="s">
        <v>1410</v>
      </c>
      <c r="C101" s="167" t="str">
        <f t="shared" si="12"/>
        <v>CON-2 (i:cont,m:4/tour)</v>
      </c>
      <c r="D101" t="s">
        <v>1100</v>
      </c>
      <c r="E101" t="s">
        <v>8</v>
      </c>
      <c r="F101">
        <v>1</v>
      </c>
      <c r="G101" t="s">
        <v>1384</v>
      </c>
      <c r="H101" t="s">
        <v>8</v>
      </c>
      <c r="I101" t="s">
        <v>8</v>
      </c>
      <c r="J101" t="s">
        <v>8</v>
      </c>
      <c r="K101" s="31" t="str">
        <f>IF(psio_version="2.0","MJRS5 p.88","T&amp;P p.177")</f>
        <v>MJRS5 p.88</v>
      </c>
      <c r="L101" s="31" t="s">
        <v>8</v>
      </c>
      <c r="M101" s="167" t="s">
        <v>3219</v>
      </c>
      <c r="N101" s="167" t="s">
        <v>3244</v>
      </c>
      <c r="O101" s="167" t="s">
        <v>3182</v>
      </c>
      <c r="P101" s="167" t="s">
        <v>3454</v>
      </c>
      <c r="Q101" s="167" t="s">
        <v>3449</v>
      </c>
      <c r="R101">
        <v>25</v>
      </c>
    </row>
    <row r="102" spans="1:18">
      <c r="A102" s="83" t="s">
        <v>1057</v>
      </c>
      <c r="B102" t="s">
        <v>1410</v>
      </c>
      <c r="C102" s="167" t="str">
        <f t="shared" si="12"/>
        <v>CON-2 (i:cont,m:4/tour)</v>
      </c>
      <c r="D102" t="s">
        <v>1100</v>
      </c>
      <c r="E102" t="s">
        <v>8</v>
      </c>
      <c r="F102">
        <v>1</v>
      </c>
      <c r="G102" t="s">
        <v>1384</v>
      </c>
      <c r="H102" t="s">
        <v>8</v>
      </c>
      <c r="I102" t="s">
        <v>8</v>
      </c>
      <c r="J102" t="s">
        <v>8</v>
      </c>
      <c r="K102" s="31" t="str">
        <f>IF(psio_version="2.0","MJRS5 p.88","T&amp;P p.177")</f>
        <v>MJRS5 p.88</v>
      </c>
      <c r="L102" s="31" t="s">
        <v>8</v>
      </c>
      <c r="M102" s="167" t="s">
        <v>3219</v>
      </c>
      <c r="N102" s="167" t="s">
        <v>3244</v>
      </c>
      <c r="O102" s="167" t="s">
        <v>3182</v>
      </c>
      <c r="P102" s="167" t="s">
        <v>3454</v>
      </c>
      <c r="Q102" s="167" t="s">
        <v>3441</v>
      </c>
      <c r="R102">
        <v>25</v>
      </c>
    </row>
    <row r="103" spans="1:18">
      <c r="A103" s="168" t="str">
        <f>IF(psio_version="2.0","Lien Spirituel", "Lien Mental")</f>
        <v>Lien Spirituel</v>
      </c>
      <c r="B103" t="s">
        <v>1410</v>
      </c>
      <c r="C103" s="167" t="str">
        <f t="shared" si="12"/>
        <v>SAG-5 (i:cont,m:8/rnd)</v>
      </c>
      <c r="D103" t="s">
        <v>1100</v>
      </c>
      <c r="E103" t="s">
        <v>8</v>
      </c>
      <c r="F103" t="str">
        <f>"0"</f>
        <v>0</v>
      </c>
      <c r="G103" t="s">
        <v>1384</v>
      </c>
      <c r="H103" t="s">
        <v>8</v>
      </c>
      <c r="I103" t="s">
        <v>8</v>
      </c>
      <c r="J103" s="31" t="s">
        <v>8</v>
      </c>
      <c r="K103" s="31" t="str">
        <f>IF(psio_version="2.0","MJRS5 p.76","T&amp;P p.173")</f>
        <v>MJRS5 p.76</v>
      </c>
      <c r="L103" s="31" t="s">
        <v>8</v>
      </c>
      <c r="M103" s="167" t="s">
        <v>3215</v>
      </c>
      <c r="N103" s="167" t="s">
        <v>3242</v>
      </c>
      <c r="O103" s="167" t="s">
        <v>3124</v>
      </c>
      <c r="P103" s="167" t="s">
        <v>3455</v>
      </c>
      <c r="Q103" s="167" t="s">
        <v>3441</v>
      </c>
      <c r="R103">
        <v>35</v>
      </c>
    </row>
    <row r="104" spans="1:18">
      <c r="A104" s="142" t="s">
        <v>1058</v>
      </c>
      <c r="B104" t="s">
        <v>1410</v>
      </c>
      <c r="C104" s="167" t="str">
        <f t="shared" si="12"/>
        <v>CON-3 (i:cont,m:5/tour)</v>
      </c>
      <c r="D104" t="s">
        <v>1100</v>
      </c>
      <c r="E104" t="s">
        <v>8</v>
      </c>
      <c r="F104">
        <v>1</v>
      </c>
      <c r="G104" t="s">
        <v>1384</v>
      </c>
      <c r="H104" t="s">
        <v>8</v>
      </c>
      <c r="I104" t="s">
        <v>8</v>
      </c>
      <c r="J104" t="s">
        <v>8</v>
      </c>
      <c r="K104" s="31" t="str">
        <f>IF(psio_version="2.0","MJRS5 p.88","T&amp;P p.175")</f>
        <v>MJRS5 p.88</v>
      </c>
      <c r="L104" s="31" t="s">
        <v>8</v>
      </c>
      <c r="M104" s="167" t="s">
        <v>3212</v>
      </c>
      <c r="N104" s="167" t="s">
        <v>3244</v>
      </c>
      <c r="O104" s="167" t="s">
        <v>3181</v>
      </c>
      <c r="P104" s="167" t="s">
        <v>3454</v>
      </c>
      <c r="Q104" s="167" t="s">
        <v>3441</v>
      </c>
      <c r="R104">
        <v>25</v>
      </c>
    </row>
    <row r="105" spans="1:18">
      <c r="A105" s="83" t="s">
        <v>1392</v>
      </c>
      <c r="B105" t="s">
        <v>1377</v>
      </c>
      <c r="C105" s="167" t="str">
        <f t="shared" si="12"/>
        <v>INT-3 (i:6,m:5/rnd)</v>
      </c>
      <c r="D105" t="s">
        <v>1393</v>
      </c>
      <c r="E105" t="s">
        <v>8</v>
      </c>
      <c r="F105">
        <v>1</v>
      </c>
      <c r="G105" t="s">
        <v>3727</v>
      </c>
      <c r="H105" t="s">
        <v>8</v>
      </c>
      <c r="I105" t="s">
        <v>8</v>
      </c>
      <c r="J105" t="s">
        <v>8</v>
      </c>
      <c r="K105" s="31" t="str">
        <f>IF(psio_version="2.0","MJRS5 p.48","T&amp;P p.164")</f>
        <v>MJRS5 p.48</v>
      </c>
      <c r="L105" s="31" t="s">
        <v>8</v>
      </c>
      <c r="M105" s="167" t="s">
        <v>3217</v>
      </c>
      <c r="N105" s="167" t="s">
        <v>3243</v>
      </c>
      <c r="O105" s="167" t="s">
        <v>3183</v>
      </c>
      <c r="P105" s="167">
        <v>6</v>
      </c>
      <c r="Q105" s="167">
        <v>2</v>
      </c>
      <c r="R105">
        <f t="shared" si="9"/>
        <v>30</v>
      </c>
    </row>
    <row r="106" spans="1:18">
      <c r="A106" s="83" t="s">
        <v>1042</v>
      </c>
      <c r="B106" t="s">
        <v>1401</v>
      </c>
      <c r="C106" s="167" t="str">
        <f t="shared" si="12"/>
        <v>CON-2 (i:8,m:4/tour)</v>
      </c>
      <c r="D106" t="s">
        <v>1103</v>
      </c>
      <c r="E106" t="s">
        <v>8</v>
      </c>
      <c r="F106">
        <v>2</v>
      </c>
      <c r="G106" t="s">
        <v>1106</v>
      </c>
      <c r="H106" t="s">
        <v>8</v>
      </c>
      <c r="I106" t="s">
        <v>8</v>
      </c>
      <c r="J106" t="s">
        <v>8</v>
      </c>
      <c r="K106" t="str">
        <f>IF(psio_version="2.0","MJRS5 p.68","T&amp;P p.170")</f>
        <v>MJRS5 p.68</v>
      </c>
      <c r="L106" t="s">
        <v>8</v>
      </c>
      <c r="M106" s="167" t="s">
        <v>3219</v>
      </c>
      <c r="N106" s="167" t="s">
        <v>3242</v>
      </c>
      <c r="O106" s="167" t="s">
        <v>3184</v>
      </c>
      <c r="P106" s="167">
        <v>5</v>
      </c>
      <c r="Q106" s="167">
        <v>2</v>
      </c>
      <c r="R106">
        <f t="shared" si="9"/>
        <v>25</v>
      </c>
    </row>
    <row r="107" spans="1:18">
      <c r="A107" s="83" t="s">
        <v>1059</v>
      </c>
      <c r="B107" t="s">
        <v>1410</v>
      </c>
      <c r="C107" s="167" t="str">
        <f t="shared" si="12"/>
        <v>CON-4 (i:4,m:3/rnd)</v>
      </c>
      <c r="D107" t="s">
        <v>1738</v>
      </c>
      <c r="E107" t="s">
        <v>8</v>
      </c>
      <c r="F107">
        <v>2</v>
      </c>
      <c r="G107" t="s">
        <v>3728</v>
      </c>
      <c r="H107" t="s">
        <v>8</v>
      </c>
      <c r="I107" t="s">
        <v>8</v>
      </c>
      <c r="J107" t="s">
        <v>8</v>
      </c>
      <c r="K107" s="31" t="str">
        <f>IF(psio_version="2.0","MJRS5 p.89","T&amp;P p.177")</f>
        <v>MJRS5 p.89</v>
      </c>
      <c r="L107" s="31" t="s">
        <v>8</v>
      </c>
      <c r="M107" s="167" t="s">
        <v>3213</v>
      </c>
      <c r="N107" s="167" t="s">
        <v>3246</v>
      </c>
      <c r="O107" s="167" t="s">
        <v>3113</v>
      </c>
      <c r="P107" s="167">
        <v>4</v>
      </c>
      <c r="Q107" s="167">
        <v>2</v>
      </c>
      <c r="R107">
        <f t="shared" si="9"/>
        <v>20</v>
      </c>
    </row>
    <row r="108" spans="1:18">
      <c r="A108" s="83" t="s">
        <v>1086</v>
      </c>
      <c r="B108" t="s">
        <v>1394</v>
      </c>
      <c r="C108" s="167" t="str">
        <f t="shared" si="12"/>
        <v>CON-6 (i:21,m:1/tour)</v>
      </c>
      <c r="D108" t="str">
        <f>"0"</f>
        <v>0</v>
      </c>
      <c r="E108" t="s">
        <v>8</v>
      </c>
      <c r="F108">
        <v>5</v>
      </c>
      <c r="G108" t="s">
        <v>1106</v>
      </c>
      <c r="H108" t="s">
        <v>8</v>
      </c>
      <c r="I108" t="s">
        <v>8</v>
      </c>
      <c r="J108" t="s">
        <v>8</v>
      </c>
      <c r="K108" t="str">
        <f>IF(psio_version="2.0","MJRS5 p.53","T&amp;P p.166")</f>
        <v>MJRS5 p.53</v>
      </c>
      <c r="L108" t="s">
        <v>8</v>
      </c>
      <c r="M108" s="167" t="s">
        <v>3230</v>
      </c>
      <c r="N108" s="167" t="s">
        <v>3248</v>
      </c>
      <c r="O108" s="167" t="s">
        <v>3185</v>
      </c>
      <c r="P108" s="167">
        <v>6</v>
      </c>
      <c r="Q108" s="167">
        <v>3</v>
      </c>
      <c r="R108">
        <f t="shared" si="9"/>
        <v>30</v>
      </c>
    </row>
    <row r="109" spans="1:18">
      <c r="A109" s="83" t="s">
        <v>1001</v>
      </c>
      <c r="B109" t="s">
        <v>1378</v>
      </c>
      <c r="C109" s="167" t="str">
        <f t="shared" si="12"/>
        <v>INT-3 (i:4,m:7/h)</v>
      </c>
      <c r="D109" t="str">
        <f>"0"</f>
        <v>0</v>
      </c>
      <c r="E109" t="s">
        <v>8</v>
      </c>
      <c r="F109" t="str">
        <f t="shared" ref="F109:F116" si="13">"0"</f>
        <v>0</v>
      </c>
      <c r="G109" t="s">
        <v>1106</v>
      </c>
      <c r="H109" t="s">
        <v>8</v>
      </c>
      <c r="I109" t="s">
        <v>8</v>
      </c>
      <c r="J109" t="s">
        <v>8</v>
      </c>
      <c r="K109" t="str">
        <f>IF(psio_version="2.0","MJRS5 p.35","T&amp;P p.175")</f>
        <v>MJRS5 p.35</v>
      </c>
      <c r="L109" t="s">
        <v>8</v>
      </c>
      <c r="M109" s="167" t="s">
        <v>3217</v>
      </c>
      <c r="N109" s="167" t="s">
        <v>3243</v>
      </c>
      <c r="O109" s="167" t="s">
        <v>3186</v>
      </c>
      <c r="P109" s="167" t="s">
        <v>3456</v>
      </c>
      <c r="Q109" s="167">
        <v>3</v>
      </c>
      <c r="R109">
        <v>30</v>
      </c>
    </row>
    <row r="110" spans="1:18">
      <c r="A110" s="83" t="s">
        <v>1739</v>
      </c>
      <c r="B110" t="s">
        <v>1410</v>
      </c>
      <c r="C110" s="167" t="str">
        <f t="shared" si="12"/>
        <v>SAG-7 (i:0,m:0)</v>
      </c>
      <c r="D110" t="str">
        <f>"0"</f>
        <v>0</v>
      </c>
      <c r="E110" t="s">
        <v>8</v>
      </c>
      <c r="F110" t="str">
        <f t="shared" si="13"/>
        <v>0</v>
      </c>
      <c r="G110" s="31" t="s">
        <v>1106</v>
      </c>
      <c r="H110" s="31" t="s">
        <v>8</v>
      </c>
      <c r="I110" s="31" t="s">
        <v>8</v>
      </c>
      <c r="J110" s="31" t="s">
        <v>8</v>
      </c>
      <c r="K110" s="31" t="str">
        <f>IF(psio_version="2.0","MJRS5 p.89","T&amp;P p.148")</f>
        <v>MJRS5 p.89</v>
      </c>
      <c r="L110" s="31" t="s">
        <v>8</v>
      </c>
      <c r="M110" s="167" t="s">
        <v>3234</v>
      </c>
      <c r="N110" s="167" t="s">
        <v>168</v>
      </c>
      <c r="O110" s="167" t="s">
        <v>3187</v>
      </c>
      <c r="P110" s="167">
        <v>3</v>
      </c>
      <c r="Q110" s="167" t="s">
        <v>3443</v>
      </c>
      <c r="R110">
        <f t="shared" si="9"/>
        <v>15</v>
      </c>
    </row>
    <row r="111" spans="1:18">
      <c r="A111" s="83" t="s">
        <v>1060</v>
      </c>
      <c r="B111" t="s">
        <v>1410</v>
      </c>
      <c r="C111" s="167" t="str">
        <f t="shared" si="12"/>
        <v>INT-2 (i:6,m:4/rnd)</v>
      </c>
      <c r="D111" t="str">
        <f>"0"</f>
        <v>0</v>
      </c>
      <c r="E111" t="s">
        <v>8</v>
      </c>
      <c r="F111" t="str">
        <f t="shared" si="13"/>
        <v>0</v>
      </c>
      <c r="G111" t="s">
        <v>1106</v>
      </c>
      <c r="H111" t="s">
        <v>8</v>
      </c>
      <c r="I111" t="s">
        <v>8</v>
      </c>
      <c r="J111" t="s">
        <v>8</v>
      </c>
      <c r="K111" t="str">
        <f>IF(psio_version="2.0","MJRS5 p.89","T&amp;P p.177")</f>
        <v>MJRS5 p.89</v>
      </c>
      <c r="L111" s="31" t="s">
        <v>8</v>
      </c>
      <c r="M111" s="167" t="s">
        <v>3228</v>
      </c>
      <c r="N111" s="167" t="s">
        <v>3243</v>
      </c>
      <c r="O111" s="167" t="s">
        <v>3137</v>
      </c>
      <c r="P111" s="167">
        <v>5</v>
      </c>
      <c r="Q111" s="167">
        <v>2</v>
      </c>
      <c r="R111">
        <f t="shared" si="9"/>
        <v>25</v>
      </c>
    </row>
    <row r="112" spans="1:18">
      <c r="A112" s="83" t="s">
        <v>1751</v>
      </c>
      <c r="B112" t="str">
        <f>IF(psio_version="2.0","Métapsionisme","Télépathie")</f>
        <v>Métapsionisme</v>
      </c>
      <c r="C112" s="167" t="str">
        <f t="shared" si="12"/>
        <v>SAG-12 (i:var,m:na)</v>
      </c>
      <c r="D112" t="s">
        <v>1395</v>
      </c>
      <c r="E112" t="s">
        <v>8</v>
      </c>
      <c r="F112" t="str">
        <f t="shared" si="13"/>
        <v>0</v>
      </c>
      <c r="G112" s="133" t="s">
        <v>1117</v>
      </c>
      <c r="H112" t="s">
        <v>8</v>
      </c>
      <c r="I112" t="s">
        <v>8</v>
      </c>
      <c r="J112" s="31" t="s">
        <v>8</v>
      </c>
      <c r="K112" s="31" t="str">
        <f>IF(psio_version="2.0","MJRS5 p.95","T&amp;P p.177")</f>
        <v>MJRS5 p.95</v>
      </c>
      <c r="L112" s="31" t="s">
        <v>8</v>
      </c>
      <c r="M112" s="167" t="s">
        <v>3235</v>
      </c>
      <c r="N112" s="167" t="s">
        <v>3248</v>
      </c>
      <c r="O112" s="167" t="s">
        <v>3166</v>
      </c>
      <c r="P112" s="167" t="s">
        <v>3442</v>
      </c>
      <c r="Q112" s="167" t="s">
        <v>3442</v>
      </c>
      <c r="R112">
        <v>400</v>
      </c>
    </row>
    <row r="113" spans="1:18">
      <c r="A113" s="83" t="s">
        <v>1061</v>
      </c>
      <c r="B113" t="s">
        <v>1410</v>
      </c>
      <c r="C113" s="167" t="str">
        <f t="shared" ref="C113:C144" si="14">IF(psio_version="2.0",M113,N113)&amp;" "&amp;IF(psio_version="2.0",O113,"("&amp;P113&amp;"/"&amp;Q113&amp;")")</f>
        <v>SAG (i:4,m:2/rnd)</v>
      </c>
      <c r="D113" t="str">
        <f>"0"</f>
        <v>0</v>
      </c>
      <c r="E113" t="s">
        <v>8</v>
      </c>
      <c r="F113" t="str">
        <f t="shared" si="13"/>
        <v>0</v>
      </c>
      <c r="G113" t="s">
        <v>1741</v>
      </c>
      <c r="H113" t="s">
        <v>8</v>
      </c>
      <c r="I113" t="s">
        <v>8</v>
      </c>
      <c r="J113" t="s">
        <v>8</v>
      </c>
      <c r="K113" s="31" t="str">
        <f>IF(psio_version="2.0","MJRS5 p.90","T&amp;P p.177")</f>
        <v>MJRS5 p.90</v>
      </c>
      <c r="L113" s="31" t="s">
        <v>8</v>
      </c>
      <c r="M113" s="167" t="s">
        <v>195</v>
      </c>
      <c r="N113" s="167" t="s">
        <v>3245</v>
      </c>
      <c r="O113" s="167" t="s">
        <v>3188</v>
      </c>
      <c r="P113" s="167">
        <v>3</v>
      </c>
      <c r="Q113" s="167">
        <v>1</v>
      </c>
      <c r="R113">
        <f t="shared" si="9"/>
        <v>15</v>
      </c>
    </row>
    <row r="114" spans="1:18">
      <c r="A114" s="147" t="s">
        <v>1062</v>
      </c>
      <c r="B114" t="s">
        <v>1410</v>
      </c>
      <c r="C114" s="167" t="str">
        <f t="shared" si="14"/>
        <v>INT-4 (i:15,m:10/rnd)</v>
      </c>
      <c r="D114" t="str">
        <f>"0"</f>
        <v>0</v>
      </c>
      <c r="E114" t="s">
        <v>8</v>
      </c>
      <c r="F114" t="str">
        <f t="shared" si="13"/>
        <v>0</v>
      </c>
      <c r="G114" t="s">
        <v>1742</v>
      </c>
      <c r="H114" t="s">
        <v>8</v>
      </c>
      <c r="I114" t="s">
        <v>8</v>
      </c>
      <c r="J114" t="s">
        <v>8</v>
      </c>
      <c r="K114" t="str">
        <f>IF(psio_version="2.0","MJRS5 p.90","T&amp;P p.177")</f>
        <v>MJRS5 p.90</v>
      </c>
      <c r="L114" t="s">
        <v>8</v>
      </c>
      <c r="M114" s="167" t="s">
        <v>3218</v>
      </c>
      <c r="N114" s="167" t="s">
        <v>3244</v>
      </c>
      <c r="O114" s="167" t="s">
        <v>3189</v>
      </c>
      <c r="P114" s="167">
        <v>11</v>
      </c>
      <c r="Q114" s="167">
        <v>5</v>
      </c>
      <c r="R114">
        <f t="shared" si="9"/>
        <v>55</v>
      </c>
    </row>
    <row r="115" spans="1:18">
      <c r="A115" s="83" t="s">
        <v>1063</v>
      </c>
      <c r="B115" t="s">
        <v>1410</v>
      </c>
      <c r="C115" s="167" t="str">
        <f t="shared" si="14"/>
        <v>SAG-3 (i:cont,m:6/rnd)</v>
      </c>
      <c r="D115" t="s">
        <v>1100</v>
      </c>
      <c r="E115" t="s">
        <v>8</v>
      </c>
      <c r="F115" t="str">
        <f t="shared" si="13"/>
        <v>0</v>
      </c>
      <c r="G115" t="s">
        <v>1384</v>
      </c>
      <c r="H115" t="s">
        <v>8</v>
      </c>
      <c r="I115" t="s">
        <v>8</v>
      </c>
      <c r="J115" t="s">
        <v>8</v>
      </c>
      <c r="K115" t="str">
        <f>IF(psio_version="2.0","MJRS5 p.90","T&amp;P p.177")</f>
        <v>MJRS5 p.90</v>
      </c>
      <c r="L115" s="31" t="s">
        <v>8</v>
      </c>
      <c r="M115" s="167" t="s">
        <v>3220</v>
      </c>
      <c r="N115" s="167" t="s">
        <v>3242</v>
      </c>
      <c r="O115" s="167" t="s">
        <v>3164</v>
      </c>
      <c r="P115" s="167">
        <v>6</v>
      </c>
      <c r="Q115" s="167">
        <v>3</v>
      </c>
      <c r="R115">
        <f t="shared" si="9"/>
        <v>30</v>
      </c>
    </row>
    <row r="116" spans="1:18">
      <c r="A116" s="83" t="s">
        <v>1064</v>
      </c>
      <c r="B116" t="s">
        <v>1410</v>
      </c>
      <c r="C116" s="167" t="str">
        <f t="shared" si="14"/>
        <v>SAG (i:5,m:3/rnd)</v>
      </c>
      <c r="D116" t="str">
        <f>"0"</f>
        <v>0</v>
      </c>
      <c r="E116" t="s">
        <v>8</v>
      </c>
      <c r="F116" t="str">
        <f t="shared" si="13"/>
        <v>0</v>
      </c>
      <c r="G116" t="s">
        <v>1406</v>
      </c>
      <c r="H116" t="s">
        <v>8</v>
      </c>
      <c r="I116" t="s">
        <v>8</v>
      </c>
      <c r="J116" t="s">
        <v>8</v>
      </c>
      <c r="K116" s="31" t="str">
        <f>IF(psio_version="2.0","MJRS5 p.90","T&amp;P p.175")</f>
        <v>MJRS5 p.90</v>
      </c>
      <c r="L116" s="31" t="s">
        <v>8</v>
      </c>
      <c r="M116" s="167" t="s">
        <v>195</v>
      </c>
      <c r="N116" s="167" t="s">
        <v>3245</v>
      </c>
      <c r="O116" s="167" t="s">
        <v>3190</v>
      </c>
      <c r="P116" s="167">
        <v>4</v>
      </c>
      <c r="Q116" s="167">
        <v>2</v>
      </c>
      <c r="R116">
        <f t="shared" si="9"/>
        <v>20</v>
      </c>
    </row>
    <row r="117" spans="1:18">
      <c r="A117" s="83" t="s">
        <v>1065</v>
      </c>
      <c r="B117" t="s">
        <v>1410</v>
      </c>
      <c r="C117" s="167" t="str">
        <f t="shared" si="14"/>
        <v>SAG (i:10,m:3/h)</v>
      </c>
      <c r="D117" t="str">
        <f>"0"</f>
        <v>0</v>
      </c>
      <c r="E117" t="s">
        <v>8</v>
      </c>
      <c r="F117" t="s">
        <v>1740</v>
      </c>
      <c r="G117" t="s">
        <v>1106</v>
      </c>
      <c r="H117" t="s">
        <v>8</v>
      </c>
      <c r="I117" t="s">
        <v>8</v>
      </c>
      <c r="J117" t="s">
        <v>8</v>
      </c>
      <c r="K117" s="31" t="str">
        <f>IF(psio_version="2.0","MJRS5 p.91","T&amp;P p.177")</f>
        <v>MJRS5 p.91</v>
      </c>
      <c r="L117" s="31" t="s">
        <v>8</v>
      </c>
      <c r="M117" s="167" t="s">
        <v>195</v>
      </c>
      <c r="N117" s="167" t="s">
        <v>3245</v>
      </c>
      <c r="O117" s="167" t="s">
        <v>3191</v>
      </c>
      <c r="P117" s="167" t="s">
        <v>3457</v>
      </c>
      <c r="Q117" s="167">
        <v>2</v>
      </c>
      <c r="R117">
        <v>25</v>
      </c>
    </row>
    <row r="118" spans="1:18">
      <c r="A118" s="168" t="s">
        <v>3255</v>
      </c>
      <c r="B118" t="s">
        <v>1401</v>
      </c>
      <c r="C118" s="167" t="str">
        <f t="shared" si="14"/>
        <v>CON-1 (i:4,m:2/rnd)</v>
      </c>
      <c r="D118" t="s">
        <v>1407</v>
      </c>
      <c r="E118" t="s">
        <v>8</v>
      </c>
      <c r="F118" t="str">
        <f>"0"</f>
        <v>0</v>
      </c>
      <c r="G118" t="s">
        <v>1103</v>
      </c>
      <c r="H118" t="s">
        <v>8</v>
      </c>
      <c r="I118" t="s">
        <v>8</v>
      </c>
      <c r="J118" t="s">
        <v>8</v>
      </c>
      <c r="K118" s="31" t="str">
        <f>IF(psio_version="2.0","MJRS5 p.70","T&amp;P p.171")</f>
        <v>MJRS5 p.70</v>
      </c>
      <c r="L118" s="31" t="s">
        <v>8</v>
      </c>
      <c r="M118" s="167" t="s">
        <v>3236</v>
      </c>
      <c r="N118" s="167" t="s">
        <v>3243</v>
      </c>
      <c r="O118" s="167" t="s">
        <v>3188</v>
      </c>
      <c r="P118" s="167">
        <v>3</v>
      </c>
      <c r="Q118" s="167">
        <v>1</v>
      </c>
      <c r="R118">
        <f t="shared" si="9"/>
        <v>15</v>
      </c>
    </row>
    <row r="119" spans="1:18">
      <c r="A119" s="83" t="s">
        <v>1034</v>
      </c>
      <c r="B119" t="s">
        <v>1394</v>
      </c>
      <c r="C119" s="167" t="str">
        <f t="shared" si="14"/>
        <v>CON-1 (i:6,m:3/rnd)</v>
      </c>
      <c r="D119" t="str">
        <f>"0"</f>
        <v>0</v>
      </c>
      <c r="E119" t="s">
        <v>8</v>
      </c>
      <c r="F119" t="str">
        <f>"0"</f>
        <v>0</v>
      </c>
      <c r="G119" t="s">
        <v>1106</v>
      </c>
      <c r="H119" t="s">
        <v>8</v>
      </c>
      <c r="I119" t="s">
        <v>8</v>
      </c>
      <c r="J119" t="s">
        <v>8</v>
      </c>
      <c r="K119" t="str">
        <f>IF(psio_version="2.0","MJRS5 p.60","T&amp;P p.167")</f>
        <v>MJRS5 p.60</v>
      </c>
      <c r="L119" s="31" t="s">
        <v>8</v>
      </c>
      <c r="M119" s="167" t="s">
        <v>3236</v>
      </c>
      <c r="N119" s="167" t="s">
        <v>3243</v>
      </c>
      <c r="O119" s="167" t="s">
        <v>3131</v>
      </c>
      <c r="P119" s="167">
        <v>4</v>
      </c>
      <c r="Q119" s="167">
        <v>1</v>
      </c>
      <c r="R119">
        <f t="shared" si="9"/>
        <v>20</v>
      </c>
    </row>
    <row r="120" spans="1:18">
      <c r="A120" s="83" t="s">
        <v>1073</v>
      </c>
      <c r="B120" t="s">
        <v>1378</v>
      </c>
      <c r="C120" s="167" t="str">
        <f t="shared" si="14"/>
        <v>SAG-5 (i:24,m:na)</v>
      </c>
      <c r="D120" t="str">
        <f>"0"</f>
        <v>0</v>
      </c>
      <c r="E120" t="s">
        <v>8</v>
      </c>
      <c r="F120">
        <v>5</v>
      </c>
      <c r="G120" t="s">
        <v>1103</v>
      </c>
      <c r="H120" t="s">
        <v>8</v>
      </c>
      <c r="I120" t="s">
        <v>8</v>
      </c>
      <c r="J120" t="s">
        <v>8</v>
      </c>
      <c r="K120" t="str">
        <f>IF(psio_version="2.0","MJRS5 p.30","T&amp;P p.175")</f>
        <v>MJRS5 p.30</v>
      </c>
      <c r="L120" s="31" t="s">
        <v>8</v>
      </c>
      <c r="M120" s="167" t="s">
        <v>3215</v>
      </c>
      <c r="N120" s="167" t="s">
        <v>3242</v>
      </c>
      <c r="O120" s="167" t="s">
        <v>3192</v>
      </c>
      <c r="P120" s="167">
        <v>18</v>
      </c>
      <c r="Q120" s="167">
        <v>10</v>
      </c>
      <c r="R120">
        <f t="shared" si="9"/>
        <v>90</v>
      </c>
    </row>
    <row r="121" spans="1:18">
      <c r="A121" s="83" t="s">
        <v>1743</v>
      </c>
      <c r="B121" t="s">
        <v>1410</v>
      </c>
      <c r="C121" s="167" t="str">
        <f t="shared" si="14"/>
        <v>SAG-2 (i:2,m:na)</v>
      </c>
      <c r="D121" t="s">
        <v>1744</v>
      </c>
      <c r="E121" t="s">
        <v>8</v>
      </c>
      <c r="F121" t="str">
        <f>"0"</f>
        <v>0</v>
      </c>
      <c r="G121" t="s">
        <v>1384</v>
      </c>
      <c r="H121" t="s">
        <v>8</v>
      </c>
      <c r="I121" t="s">
        <v>8</v>
      </c>
      <c r="J121" t="s">
        <v>8</v>
      </c>
      <c r="K121" s="31" t="str">
        <f>IF(psio_version="2.0","MJRS5 p.91","T&amp;P p.147")</f>
        <v>MJRS5 p.91</v>
      </c>
      <c r="L121" s="31" t="s">
        <v>8</v>
      </c>
      <c r="M121" s="167" t="s">
        <v>3216</v>
      </c>
      <c r="N121" s="167" t="s">
        <v>168</v>
      </c>
      <c r="O121" s="167" t="s">
        <v>3193</v>
      </c>
      <c r="P121" s="167">
        <v>2</v>
      </c>
      <c r="Q121" s="167">
        <v>1</v>
      </c>
      <c r="R121">
        <f t="shared" si="9"/>
        <v>10</v>
      </c>
    </row>
    <row r="122" spans="1:18">
      <c r="A122" s="83" t="s">
        <v>1035</v>
      </c>
      <c r="B122" t="s">
        <v>1394</v>
      </c>
      <c r="C122" s="167" t="str">
        <f t="shared" si="14"/>
        <v>CON-1 (i:4,m:na)</v>
      </c>
      <c r="D122" t="s">
        <v>1395</v>
      </c>
      <c r="E122" t="s">
        <v>8</v>
      </c>
      <c r="F122" t="str">
        <f>"0"</f>
        <v>0</v>
      </c>
      <c r="G122" t="s">
        <v>1106</v>
      </c>
      <c r="H122" t="s">
        <v>8</v>
      </c>
      <c r="I122" t="s">
        <v>8</v>
      </c>
      <c r="J122" t="s">
        <v>8</v>
      </c>
      <c r="K122" s="31" t="str">
        <f>IF(psio_version="2.0","MJRS5 p.60","T&amp;P p.175")</f>
        <v>MJRS5 p.60</v>
      </c>
      <c r="L122" s="31" t="s">
        <v>8</v>
      </c>
      <c r="M122" s="167" t="s">
        <v>3236</v>
      </c>
      <c r="N122" s="167" t="s">
        <v>3243</v>
      </c>
      <c r="O122" s="167" t="s">
        <v>3136</v>
      </c>
      <c r="P122" s="167">
        <v>4</v>
      </c>
      <c r="Q122" s="167">
        <v>1</v>
      </c>
      <c r="R122">
        <f t="shared" si="9"/>
        <v>20</v>
      </c>
    </row>
    <row r="123" spans="1:18">
      <c r="A123" s="147" t="s">
        <v>1043</v>
      </c>
      <c r="B123" t="s">
        <v>1401</v>
      </c>
      <c r="C123" s="167" t="str">
        <f t="shared" si="14"/>
        <v>INT (i:6,m:2/h)</v>
      </c>
      <c r="D123" t="s">
        <v>1103</v>
      </c>
      <c r="E123" t="s">
        <v>8</v>
      </c>
      <c r="F123">
        <v>1</v>
      </c>
      <c r="G123" t="s">
        <v>1106</v>
      </c>
      <c r="H123" t="s">
        <v>8</v>
      </c>
      <c r="I123" t="s">
        <v>8</v>
      </c>
      <c r="J123" t="s">
        <v>8</v>
      </c>
      <c r="K123" t="str">
        <f>IF(psio_version="2.0","MJRS5 p.71","T&amp;P p.171")</f>
        <v>MJRS5 p.71</v>
      </c>
      <c r="L123" t="s">
        <v>8</v>
      </c>
      <c r="M123" s="167" t="s">
        <v>194</v>
      </c>
      <c r="N123" s="167" t="s">
        <v>3242</v>
      </c>
      <c r="O123" s="167" t="s">
        <v>3194</v>
      </c>
      <c r="P123" s="167">
        <v>3</v>
      </c>
      <c r="Q123" s="167">
        <v>1</v>
      </c>
      <c r="R123">
        <f t="shared" si="9"/>
        <v>15</v>
      </c>
    </row>
    <row r="124" spans="1:18">
      <c r="A124" s="83" t="s">
        <v>1066</v>
      </c>
      <c r="B124" t="s">
        <v>1410</v>
      </c>
      <c r="C124" s="167" t="str">
        <f t="shared" si="14"/>
        <v>SAG-2 (i:cont,m:4/rnd)</v>
      </c>
      <c r="D124" t="s">
        <v>1100</v>
      </c>
      <c r="E124" t="s">
        <v>8</v>
      </c>
      <c r="F124">
        <v>1</v>
      </c>
      <c r="G124" t="s">
        <v>1745</v>
      </c>
      <c r="H124" t="s">
        <v>8</v>
      </c>
      <c r="I124" t="s">
        <v>8</v>
      </c>
      <c r="J124" t="s">
        <v>8</v>
      </c>
      <c r="K124" s="31" t="str">
        <f>IF(psio_version="2.0","MJRS5 p.91","T&amp;P p.177")</f>
        <v>MJRS5 p.91</v>
      </c>
      <c r="L124" s="31" t="s">
        <v>8</v>
      </c>
      <c r="M124" s="167" t="s">
        <v>3216</v>
      </c>
      <c r="N124" s="167" t="s">
        <v>3250</v>
      </c>
      <c r="O124" s="167" t="s">
        <v>3115</v>
      </c>
      <c r="P124" s="167">
        <v>5</v>
      </c>
      <c r="Q124" s="167">
        <v>2</v>
      </c>
      <c r="R124">
        <f t="shared" si="9"/>
        <v>25</v>
      </c>
    </row>
    <row r="125" spans="1:18">
      <c r="A125" s="83" t="s">
        <v>1764</v>
      </c>
      <c r="B125" t="str">
        <f>IF(psio_version="2.0","Métapsionisme","Psychométabolisme")</f>
        <v>Métapsionisme</v>
      </c>
      <c r="C125" s="167" t="str">
        <f t="shared" si="14"/>
        <v>CON-4 (i:5,m:2/rnd)</v>
      </c>
      <c r="D125" t="str">
        <f>"0"</f>
        <v>0</v>
      </c>
      <c r="E125" t="s">
        <v>8</v>
      </c>
      <c r="F125" t="str">
        <f>"0"</f>
        <v>0</v>
      </c>
      <c r="G125" s="133" t="s">
        <v>1106</v>
      </c>
      <c r="H125" t="s">
        <v>8</v>
      </c>
      <c r="I125" t="s">
        <v>8</v>
      </c>
      <c r="J125" s="31" t="s">
        <v>8</v>
      </c>
      <c r="K125" s="31" t="str">
        <f>IF(psio_version="2.0","MJRS5 p.103","T&amp;P p.176")</f>
        <v>MJRS5 p.103</v>
      </c>
      <c r="L125" s="31" t="s">
        <v>8</v>
      </c>
      <c r="M125" s="167" t="s">
        <v>3213</v>
      </c>
      <c r="N125" s="167" t="s">
        <v>3246</v>
      </c>
      <c r="O125" s="167" t="s">
        <v>3144</v>
      </c>
      <c r="P125" s="167">
        <v>3</v>
      </c>
      <c r="Q125" s="167">
        <v>1</v>
      </c>
      <c r="R125">
        <f t="shared" si="9"/>
        <v>15</v>
      </c>
    </row>
    <row r="126" spans="1:18">
      <c r="A126" s="83" t="s">
        <v>1078</v>
      </c>
      <c r="B126" t="s">
        <v>1377</v>
      </c>
      <c r="C126" s="167" t="str">
        <f t="shared" si="14"/>
        <v>INT-5 (i:20,m:10/h)</v>
      </c>
      <c r="D126" t="s">
        <v>1115</v>
      </c>
      <c r="E126" t="s">
        <v>8</v>
      </c>
      <c r="F126" t="s">
        <v>1116</v>
      </c>
      <c r="G126" t="s">
        <v>1117</v>
      </c>
      <c r="H126" t="s">
        <v>8</v>
      </c>
      <c r="I126" t="s">
        <v>8</v>
      </c>
      <c r="J126" t="s">
        <v>8</v>
      </c>
      <c r="K126" s="31" t="str">
        <f>IF(psio_version="2.0","MJRS5 p.40","T&amp;P p.176")</f>
        <v>MJRS5 p.40</v>
      </c>
      <c r="L126" s="31" t="s">
        <v>8</v>
      </c>
      <c r="M126" s="167" t="s">
        <v>3225</v>
      </c>
      <c r="N126" s="167" t="s">
        <v>3244</v>
      </c>
      <c r="O126" s="167" t="s">
        <v>3195</v>
      </c>
      <c r="P126" s="167" t="s">
        <v>3458</v>
      </c>
      <c r="Q126" s="167">
        <v>6</v>
      </c>
      <c r="R126">
        <v>60</v>
      </c>
    </row>
    <row r="127" spans="1:18">
      <c r="A127" s="83" t="s">
        <v>1765</v>
      </c>
      <c r="B127" t="str">
        <f>IF(psio_version="2.0","Métapsionisme","Télépathie")</f>
        <v>Métapsionisme</v>
      </c>
      <c r="C127" s="167" t="str">
        <f t="shared" si="14"/>
        <v>SAG-5 (i:0,m:0)</v>
      </c>
      <c r="D127" t="s">
        <v>1395</v>
      </c>
      <c r="E127" t="s">
        <v>8</v>
      </c>
      <c r="F127" t="s">
        <v>1772</v>
      </c>
      <c r="G127" s="133" t="s">
        <v>1117</v>
      </c>
      <c r="H127" t="s">
        <v>8</v>
      </c>
      <c r="I127" t="s">
        <v>8</v>
      </c>
      <c r="J127" t="s">
        <v>8</v>
      </c>
      <c r="K127" s="31" t="str">
        <f>IF(psio_version="2.0","MJRS5 p.103","T&amp;P p.177")</f>
        <v>MJRS5 p.103</v>
      </c>
      <c r="L127" s="31" t="s">
        <v>8</v>
      </c>
      <c r="M127" s="167" t="s">
        <v>3215</v>
      </c>
      <c r="N127" s="167" t="s">
        <v>3242</v>
      </c>
      <c r="O127" s="167" t="s">
        <v>3187</v>
      </c>
      <c r="P127" s="167">
        <v>0</v>
      </c>
      <c r="Q127" s="167">
        <v>0</v>
      </c>
      <c r="R127">
        <f t="shared" si="9"/>
        <v>0</v>
      </c>
    </row>
    <row r="128" spans="1:18">
      <c r="A128" s="131" t="s">
        <v>1036</v>
      </c>
      <c r="B128" t="s">
        <v>1394</v>
      </c>
      <c r="C128" s="167" t="str">
        <f t="shared" si="14"/>
        <v>CON-2 (i:var,m:1/rnd)</v>
      </c>
      <c r="D128" t="str">
        <f>"0"</f>
        <v>0</v>
      </c>
      <c r="E128" t="s">
        <v>8</v>
      </c>
      <c r="F128" t="str">
        <f>"0"</f>
        <v>0</v>
      </c>
      <c r="G128" t="s">
        <v>1106</v>
      </c>
      <c r="H128" t="s">
        <v>8</v>
      </c>
      <c r="I128" t="s">
        <v>8</v>
      </c>
      <c r="J128" t="s">
        <v>8</v>
      </c>
      <c r="K128" t="str">
        <f>IF(psio_version="2.0","MJRS5 p.62","T&amp;P p.176")</f>
        <v>MJRS5 p.62</v>
      </c>
      <c r="L128" s="31" t="s">
        <v>8</v>
      </c>
      <c r="M128" s="167" t="s">
        <v>3219</v>
      </c>
      <c r="N128" s="167" t="s">
        <v>3244</v>
      </c>
      <c r="O128" s="167" t="s">
        <v>3142</v>
      </c>
      <c r="P128" s="167" t="s">
        <v>3442</v>
      </c>
      <c r="Q128" s="167" t="s">
        <v>3442</v>
      </c>
      <c r="R128">
        <v>5</v>
      </c>
    </row>
    <row r="129" spans="1:18">
      <c r="A129" s="134" t="s">
        <v>1067</v>
      </c>
      <c r="B129" t="s">
        <v>1410</v>
      </c>
      <c r="C129" s="167" t="str">
        <f t="shared" si="14"/>
        <v>SAG-5 (i:cont,m:8/rnd)</v>
      </c>
      <c r="D129" t="s">
        <v>1114</v>
      </c>
      <c r="E129" t="s">
        <v>8</v>
      </c>
      <c r="F129" t="str">
        <f>"0"</f>
        <v>0</v>
      </c>
      <c r="G129" t="s">
        <v>1384</v>
      </c>
      <c r="H129" t="s">
        <v>8</v>
      </c>
      <c r="I129" t="s">
        <v>8</v>
      </c>
      <c r="J129" t="s">
        <v>8</v>
      </c>
      <c r="K129" s="31" t="str">
        <f>IF(psio_version="2.0","MJRS5 p.91","T&amp;P p.177")</f>
        <v>MJRS5 p.91</v>
      </c>
      <c r="L129" s="31" t="s">
        <v>8</v>
      </c>
      <c r="M129" s="167" t="s">
        <v>3215</v>
      </c>
      <c r="N129" s="167" t="s">
        <v>3242</v>
      </c>
      <c r="O129" s="167" t="s">
        <v>3124</v>
      </c>
      <c r="P129" s="167">
        <v>8</v>
      </c>
      <c r="Q129" s="167">
        <v>3</v>
      </c>
      <c r="R129">
        <f t="shared" si="9"/>
        <v>40</v>
      </c>
    </row>
    <row r="130" spans="1:18">
      <c r="A130" s="83" t="s">
        <v>1766</v>
      </c>
      <c r="B130" t="str">
        <f>IF(psio_version="2.0","Métapsionisme","Clairsentience")</f>
        <v>Métapsionisme</v>
      </c>
      <c r="C130" s="167" t="str">
        <f t="shared" si="14"/>
        <v>SAG-4 (i:120,m:na)</v>
      </c>
      <c r="D130" t="str">
        <f>"0"</f>
        <v>0</v>
      </c>
      <c r="E130" t="s">
        <v>8</v>
      </c>
      <c r="F130">
        <v>10</v>
      </c>
      <c r="G130" s="133" t="s">
        <v>1106</v>
      </c>
      <c r="H130" t="s">
        <v>8</v>
      </c>
      <c r="I130" t="s">
        <v>8</v>
      </c>
      <c r="J130" t="s">
        <v>8</v>
      </c>
      <c r="K130" s="31" t="str">
        <f>IF(psio_version="2.0","MJRS5 p.104","T&amp;P p.175")</f>
        <v>MJRS5 p.104</v>
      </c>
      <c r="L130" s="31" t="s">
        <v>8</v>
      </c>
      <c r="M130" s="167" t="s">
        <v>3214</v>
      </c>
      <c r="N130" s="167" t="s">
        <v>3242</v>
      </c>
      <c r="O130" s="167" t="s">
        <v>3196</v>
      </c>
      <c r="P130" s="167">
        <v>120</v>
      </c>
      <c r="Q130" s="167">
        <v>40</v>
      </c>
      <c r="R130">
        <f t="shared" si="9"/>
        <v>600</v>
      </c>
    </row>
    <row r="131" spans="1:18">
      <c r="A131" s="83" t="s">
        <v>1068</v>
      </c>
      <c r="B131" t="s">
        <v>1410</v>
      </c>
      <c r="C131" s="167" t="str">
        <f t="shared" si="14"/>
        <v>SAG (i:cont,m:3/rnd)</v>
      </c>
      <c r="D131" t="s">
        <v>1100</v>
      </c>
      <c r="E131" t="s">
        <v>8</v>
      </c>
      <c r="F131" t="str">
        <f>"0"</f>
        <v>0</v>
      </c>
      <c r="G131" t="s">
        <v>1384</v>
      </c>
      <c r="H131" t="s">
        <v>8</v>
      </c>
      <c r="I131" t="s">
        <v>8</v>
      </c>
      <c r="J131" t="s">
        <v>8</v>
      </c>
      <c r="K131" s="31" t="str">
        <f>IF(psio_version="2.0","MJRS5 p.92","T&amp;P p.177")</f>
        <v>MJRS5 p.92</v>
      </c>
      <c r="L131" s="31" t="s">
        <v>8</v>
      </c>
      <c r="M131" s="167" t="s">
        <v>195</v>
      </c>
      <c r="N131" s="167" t="s">
        <v>3245</v>
      </c>
      <c r="O131" s="167" t="s">
        <v>3197</v>
      </c>
      <c r="P131" s="167">
        <v>4</v>
      </c>
      <c r="Q131" s="167">
        <v>2</v>
      </c>
      <c r="R131">
        <f t="shared" si="9"/>
        <v>20</v>
      </c>
    </row>
    <row r="132" spans="1:18">
      <c r="A132" s="83" t="s">
        <v>1767</v>
      </c>
      <c r="B132" t="str">
        <f>IF(psio_version="2.0","Métapsionisme","Psychométabolisme")</f>
        <v>Métapsionisme</v>
      </c>
      <c r="C132" s="167" t="str">
        <f t="shared" si="14"/>
        <v>INT-3 (i:0,m:na)</v>
      </c>
      <c r="D132" t="str">
        <f>"0"</f>
        <v>0</v>
      </c>
      <c r="E132" t="s">
        <v>8</v>
      </c>
      <c r="F132" t="str">
        <f>"0"</f>
        <v>0</v>
      </c>
      <c r="G132" s="133" t="s">
        <v>1106</v>
      </c>
      <c r="H132" t="s">
        <v>8</v>
      </c>
      <c r="I132" t="s">
        <v>8</v>
      </c>
      <c r="J132" t="s">
        <v>8</v>
      </c>
      <c r="K132" s="31" t="str">
        <f>IF(psio_version="2.0","MJRS5 p.105","T&amp;P p.176")</f>
        <v>MJRS5 p.105</v>
      </c>
      <c r="L132" s="31" t="s">
        <v>8</v>
      </c>
      <c r="M132" s="167" t="s">
        <v>3217</v>
      </c>
      <c r="N132" s="167" t="s">
        <v>3243</v>
      </c>
      <c r="O132" s="167" t="s">
        <v>3126</v>
      </c>
      <c r="P132" s="167" t="s">
        <v>383</v>
      </c>
      <c r="Q132" s="167" t="s">
        <v>383</v>
      </c>
      <c r="R132">
        <v>5</v>
      </c>
    </row>
    <row r="133" spans="1:18">
      <c r="A133" s="83" t="s">
        <v>1022</v>
      </c>
      <c r="B133" t="s">
        <v>1394</v>
      </c>
      <c r="C133" s="167" t="str">
        <f t="shared" si="14"/>
        <v>DEX-2 (i:4,m:na)</v>
      </c>
      <c r="D133" t="str">
        <f>"0"</f>
        <v>0</v>
      </c>
      <c r="E133" t="s">
        <v>8</v>
      </c>
      <c r="F133" t="str">
        <f>"0"</f>
        <v>0</v>
      </c>
      <c r="G133" t="s">
        <v>1106</v>
      </c>
      <c r="H133" t="s">
        <v>8</v>
      </c>
      <c r="I133" t="s">
        <v>8</v>
      </c>
      <c r="J133" t="s">
        <v>8</v>
      </c>
      <c r="K133" s="31" t="str">
        <f>IF(psio_version="2.0","MJRS5 p.62","T&amp;P p.176")</f>
        <v>MJRS5 p.62</v>
      </c>
      <c r="L133" s="31" t="s">
        <v>8</v>
      </c>
      <c r="M133" s="167" t="s">
        <v>3237</v>
      </c>
      <c r="N133" s="167" t="s">
        <v>3243</v>
      </c>
      <c r="O133" s="167" t="s">
        <v>3136</v>
      </c>
      <c r="P133" s="167">
        <v>4</v>
      </c>
      <c r="Q133" s="167">
        <v>2</v>
      </c>
      <c r="R133">
        <f t="shared" ref="R133:R156" si="15">P133*5</f>
        <v>20</v>
      </c>
    </row>
    <row r="134" spans="1:18">
      <c r="A134" s="83" t="s">
        <v>1097</v>
      </c>
      <c r="B134" t="s">
        <v>1410</v>
      </c>
      <c r="C134" s="167" t="str">
        <f t="shared" si="14"/>
        <v>INT-6 (i:cont,m:8/rnd)</v>
      </c>
      <c r="D134" t="s">
        <v>1395</v>
      </c>
      <c r="E134" t="s">
        <v>8</v>
      </c>
      <c r="F134">
        <v>1</v>
      </c>
      <c r="G134" t="s">
        <v>1384</v>
      </c>
      <c r="H134" t="s">
        <v>8</v>
      </c>
      <c r="I134" t="s">
        <v>8</v>
      </c>
      <c r="J134" t="s">
        <v>8</v>
      </c>
      <c r="K134" t="str">
        <f>IF(psio_version="2.0","MJRS5 p.76","T&amp;P p.177")</f>
        <v>MJRS5 p.76</v>
      </c>
      <c r="L134" t="s">
        <v>8</v>
      </c>
      <c r="M134" s="167" t="s">
        <v>3238</v>
      </c>
      <c r="N134" s="167" t="s">
        <v>3246</v>
      </c>
      <c r="O134" s="167" t="s">
        <v>3124</v>
      </c>
      <c r="P134" s="167">
        <v>8</v>
      </c>
      <c r="Q134" s="167">
        <v>3</v>
      </c>
      <c r="R134">
        <f t="shared" si="15"/>
        <v>40</v>
      </c>
    </row>
    <row r="135" spans="1:18">
      <c r="A135" s="83" t="s">
        <v>1037</v>
      </c>
      <c r="B135" t="s">
        <v>1394</v>
      </c>
      <c r="C135" s="167" t="str">
        <f t="shared" si="14"/>
        <v>CON (i:5,m:1/rnd)</v>
      </c>
      <c r="D135" t="str">
        <f>"0"</f>
        <v>0</v>
      </c>
      <c r="E135" t="s">
        <v>8</v>
      </c>
      <c r="F135" t="str">
        <f>"0"</f>
        <v>0</v>
      </c>
      <c r="G135" t="s">
        <v>1106</v>
      </c>
      <c r="H135" t="s">
        <v>8</v>
      </c>
      <c r="I135" t="s">
        <v>8</v>
      </c>
      <c r="J135" t="s">
        <v>8</v>
      </c>
      <c r="K135" s="31" t="str">
        <f>IF(psio_version="2.0","MJRS5 p.62","T&amp;P p.167")</f>
        <v>MJRS5 p.62</v>
      </c>
      <c r="L135" s="31" t="s">
        <v>8</v>
      </c>
      <c r="M135" s="167" t="s">
        <v>199</v>
      </c>
      <c r="N135" s="167" t="s">
        <v>3243</v>
      </c>
      <c r="O135" s="167" t="s">
        <v>3116</v>
      </c>
      <c r="P135" s="167">
        <v>3</v>
      </c>
      <c r="Q135" s="167">
        <v>1</v>
      </c>
      <c r="R135">
        <f t="shared" si="15"/>
        <v>15</v>
      </c>
    </row>
    <row r="136" spans="1:18">
      <c r="A136" s="142" t="s">
        <v>1002</v>
      </c>
      <c r="B136" t="s">
        <v>1378</v>
      </c>
      <c r="C136" s="167" t="str">
        <f t="shared" si="14"/>
        <v>SAG-3 (i:10,m:na)</v>
      </c>
      <c r="D136" t="str">
        <f>"0"</f>
        <v>0</v>
      </c>
      <c r="E136" t="s">
        <v>8</v>
      </c>
      <c r="F136" t="str">
        <f>"0"</f>
        <v>0</v>
      </c>
      <c r="G136" t="s">
        <v>1108</v>
      </c>
      <c r="H136" t="s">
        <v>8</v>
      </c>
      <c r="I136" t="s">
        <v>8</v>
      </c>
      <c r="J136" t="s">
        <v>8</v>
      </c>
      <c r="K136" t="str">
        <f>IF(psio_version="2.0","MJRS5 p.35","T&amp;P p.175")</f>
        <v>MJRS5 p.35</v>
      </c>
      <c r="L136" t="s">
        <v>8</v>
      </c>
      <c r="M136" s="167" t="s">
        <v>3220</v>
      </c>
      <c r="N136" s="167" t="s">
        <v>3242</v>
      </c>
      <c r="O136" s="167" t="s">
        <v>3112</v>
      </c>
      <c r="P136" s="167">
        <v>8</v>
      </c>
      <c r="Q136" s="167">
        <v>4</v>
      </c>
      <c r="R136">
        <f t="shared" si="15"/>
        <v>40</v>
      </c>
    </row>
    <row r="137" spans="1:18">
      <c r="A137" s="142" t="s">
        <v>1003</v>
      </c>
      <c r="B137" t="s">
        <v>1378</v>
      </c>
      <c r="C137" s="167" t="str">
        <f t="shared" si="14"/>
        <v>SAG-4 (i:4,m:3/rnd)</v>
      </c>
      <c r="D137" t="s">
        <v>1101</v>
      </c>
      <c r="E137" t="s">
        <v>8</v>
      </c>
      <c r="F137" t="str">
        <f>"0"</f>
        <v>0</v>
      </c>
      <c r="G137" t="s">
        <v>1109</v>
      </c>
      <c r="H137" t="s">
        <v>8</v>
      </c>
      <c r="I137" t="s">
        <v>8</v>
      </c>
      <c r="J137" t="s">
        <v>8</v>
      </c>
      <c r="K137" s="31" t="str">
        <f>IF(psio_version="2.0","MJRS5 p.36","T&amp;P p.160")</f>
        <v>MJRS5 p.36</v>
      </c>
      <c r="L137" s="31" t="s">
        <v>8</v>
      </c>
      <c r="M137" s="167" t="s">
        <v>3214</v>
      </c>
      <c r="N137" s="167" t="s">
        <v>3242</v>
      </c>
      <c r="O137" s="167" t="s">
        <v>3113</v>
      </c>
      <c r="P137" s="167">
        <v>3</v>
      </c>
      <c r="Q137" s="167">
        <v>1</v>
      </c>
      <c r="R137">
        <f t="shared" si="15"/>
        <v>15</v>
      </c>
    </row>
    <row r="138" spans="1:18">
      <c r="A138" s="142" t="s">
        <v>1004</v>
      </c>
      <c r="B138" t="s">
        <v>1378</v>
      </c>
      <c r="C138" s="167" t="str">
        <f t="shared" si="14"/>
        <v>SAG (i:1,m:na)</v>
      </c>
      <c r="D138" t="str">
        <f>"0"</f>
        <v>0</v>
      </c>
      <c r="E138" t="s">
        <v>8</v>
      </c>
      <c r="F138" t="str">
        <f>"0"</f>
        <v>0</v>
      </c>
      <c r="G138" t="s">
        <v>1110</v>
      </c>
      <c r="H138" t="s">
        <v>8</v>
      </c>
      <c r="I138" t="s">
        <v>8</v>
      </c>
      <c r="J138" t="s">
        <v>8</v>
      </c>
      <c r="K138" t="str">
        <f>IF(psio_version="2.0","MJRS5 p.36","T&amp;P p.160")</f>
        <v>MJRS5 p.36</v>
      </c>
      <c r="L138" t="s">
        <v>8</v>
      </c>
      <c r="M138" s="167" t="s">
        <v>195</v>
      </c>
      <c r="N138" s="167" t="s">
        <v>3245</v>
      </c>
      <c r="O138" s="167" t="s">
        <v>3132</v>
      </c>
      <c r="P138" s="167">
        <v>1</v>
      </c>
      <c r="Q138" s="167">
        <v>1</v>
      </c>
      <c r="R138">
        <f t="shared" si="15"/>
        <v>5</v>
      </c>
    </row>
    <row r="139" spans="1:18">
      <c r="A139" s="142" t="s">
        <v>1107</v>
      </c>
      <c r="B139" t="s">
        <v>1378</v>
      </c>
      <c r="C139" s="167" t="str">
        <f t="shared" si="14"/>
        <v>SAG-4 (i:12,m:2/rnd)</v>
      </c>
      <c r="D139" t="str">
        <f>"0"</f>
        <v>0</v>
      </c>
      <c r="E139" t="s">
        <v>8</v>
      </c>
      <c r="F139">
        <v>2</v>
      </c>
      <c r="G139" t="s">
        <v>1104</v>
      </c>
      <c r="H139" t="s">
        <v>8</v>
      </c>
      <c r="I139" t="s">
        <v>8</v>
      </c>
      <c r="J139" t="s">
        <v>8</v>
      </c>
      <c r="K139" s="31" t="str">
        <f>IF(psio_version="2.0","MJRS5 p.32","T&amp;P p.175")</f>
        <v>MJRS5 p.32</v>
      </c>
      <c r="L139" s="31" t="s">
        <v>8</v>
      </c>
      <c r="M139" s="167" t="s">
        <v>3214</v>
      </c>
      <c r="N139" s="167" t="s">
        <v>3242</v>
      </c>
      <c r="O139" s="167" t="s">
        <v>3180</v>
      </c>
      <c r="P139" s="167">
        <v>5</v>
      </c>
      <c r="Q139" s="167">
        <v>3</v>
      </c>
      <c r="R139">
        <f t="shared" si="15"/>
        <v>25</v>
      </c>
    </row>
    <row r="140" spans="1:18">
      <c r="A140" s="142" t="s">
        <v>1005</v>
      </c>
      <c r="B140" t="s">
        <v>1378</v>
      </c>
      <c r="C140" s="167" t="str">
        <f t="shared" si="14"/>
        <v>SAG-3 (i:7,m:5/rnd)</v>
      </c>
      <c r="D140" t="str">
        <f>"0"</f>
        <v>0</v>
      </c>
      <c r="E140" t="s">
        <v>8</v>
      </c>
      <c r="F140" t="str">
        <f>"0"</f>
        <v>0</v>
      </c>
      <c r="G140" t="s">
        <v>1101</v>
      </c>
      <c r="H140" t="s">
        <v>8</v>
      </c>
      <c r="I140" t="s">
        <v>8</v>
      </c>
      <c r="J140" t="s">
        <v>8</v>
      </c>
      <c r="K140" t="str">
        <f>IF(psio_version="2.0","MJRS5 p.36","T&amp;P p.175")</f>
        <v>MJRS5 p.36</v>
      </c>
      <c r="L140" s="31" t="s">
        <v>8</v>
      </c>
      <c r="M140" s="167" t="s">
        <v>3220</v>
      </c>
      <c r="N140" s="167" t="s">
        <v>3242</v>
      </c>
      <c r="O140" s="167" t="s">
        <v>3129</v>
      </c>
      <c r="P140" s="167">
        <v>5</v>
      </c>
      <c r="Q140" s="167">
        <v>3</v>
      </c>
      <c r="R140">
        <f t="shared" si="15"/>
        <v>25</v>
      </c>
    </row>
    <row r="141" spans="1:18">
      <c r="A141" s="142" t="s">
        <v>1006</v>
      </c>
      <c r="B141" t="s">
        <v>1378</v>
      </c>
      <c r="C141" s="167" t="str">
        <f t="shared" si="14"/>
        <v>SAG-3 (i:5,m:3/rnd)</v>
      </c>
      <c r="D141" t="str">
        <f>"0"</f>
        <v>0</v>
      </c>
      <c r="E141" t="s">
        <v>8</v>
      </c>
      <c r="F141" t="str">
        <f>"0"</f>
        <v>0</v>
      </c>
      <c r="G141" t="s">
        <v>1101</v>
      </c>
      <c r="H141" t="s">
        <v>8</v>
      </c>
      <c r="I141" t="s">
        <v>8</v>
      </c>
      <c r="J141" t="s">
        <v>8</v>
      </c>
      <c r="K141" t="str">
        <f>IF(psio_version="2.0","MJRS5 p.37","T&amp;P p.160")</f>
        <v>MJRS5 p.37</v>
      </c>
      <c r="L141" s="31" t="s">
        <v>8</v>
      </c>
      <c r="M141" s="167" t="s">
        <v>3220</v>
      </c>
      <c r="N141" s="167" t="s">
        <v>3242</v>
      </c>
      <c r="O141" s="167" t="s">
        <v>3190</v>
      </c>
      <c r="P141" s="167">
        <v>4</v>
      </c>
      <c r="Q141" s="167">
        <v>2</v>
      </c>
      <c r="R141">
        <f t="shared" si="15"/>
        <v>20</v>
      </c>
    </row>
    <row r="142" spans="1:18">
      <c r="A142" s="142" t="s">
        <v>1038</v>
      </c>
      <c r="B142" t="s">
        <v>1394</v>
      </c>
      <c r="C142" s="167" t="str">
        <f t="shared" si="14"/>
        <v>CON-4 (i:9,m:6/rnd)</v>
      </c>
      <c r="D142" t="s">
        <v>1395</v>
      </c>
      <c r="E142" t="s">
        <v>8</v>
      </c>
      <c r="F142">
        <v>1</v>
      </c>
      <c r="G142" t="s">
        <v>1400</v>
      </c>
      <c r="H142" t="s">
        <v>8</v>
      </c>
      <c r="I142" t="s">
        <v>8</v>
      </c>
      <c r="J142" t="s">
        <v>8</v>
      </c>
      <c r="K142" t="str">
        <f>IF(psio_version="2.0","MJRS5 p.63","T&amp;P p.176")</f>
        <v>MJRS5 p.63</v>
      </c>
      <c r="L142" s="31" t="s">
        <v>8</v>
      </c>
      <c r="M142" s="167" t="s">
        <v>3213</v>
      </c>
      <c r="N142" s="167" t="s">
        <v>3246</v>
      </c>
      <c r="O142" s="167" t="s">
        <v>3174</v>
      </c>
      <c r="P142" s="167">
        <v>7</v>
      </c>
      <c r="Q142" s="167">
        <v>3</v>
      </c>
      <c r="R142">
        <f t="shared" si="15"/>
        <v>35</v>
      </c>
    </row>
    <row r="143" spans="1:18">
      <c r="A143" s="147" t="s">
        <v>1098</v>
      </c>
      <c r="B143" t="s">
        <v>1410</v>
      </c>
      <c r="C143" s="167" t="str">
        <f t="shared" si="14"/>
        <v>SAG-5 (i:cont,m:9/rnd)</v>
      </c>
      <c r="D143" t="s">
        <v>1115</v>
      </c>
      <c r="E143" t="s">
        <v>8</v>
      </c>
      <c r="F143" t="str">
        <f t="shared" ref="F143:F150" si="16">"0"</f>
        <v>0</v>
      </c>
      <c r="G143" t="s">
        <v>1384</v>
      </c>
      <c r="H143" t="s">
        <v>8</v>
      </c>
      <c r="I143" t="s">
        <v>8</v>
      </c>
      <c r="J143" t="s">
        <v>8</v>
      </c>
      <c r="K143" t="str">
        <f>IF(psio_version="2.0","MJRS5 p.78","T&amp;P p.173")</f>
        <v>MJRS5 p.78</v>
      </c>
      <c r="L143" t="s">
        <v>8</v>
      </c>
      <c r="M143" s="167" t="s">
        <v>3215</v>
      </c>
      <c r="N143" s="167" t="s">
        <v>3242</v>
      </c>
      <c r="O143" s="167" t="s">
        <v>3198</v>
      </c>
      <c r="P143" s="167" t="s">
        <v>3459</v>
      </c>
      <c r="Q143" s="167" t="s">
        <v>3448</v>
      </c>
      <c r="R143">
        <v>40</v>
      </c>
    </row>
    <row r="144" spans="1:18">
      <c r="A144" s="142" t="s">
        <v>1627</v>
      </c>
      <c r="B144" t="s">
        <v>1410</v>
      </c>
      <c r="C144" s="167" t="str">
        <f t="shared" si="14"/>
        <v>SAG-5 (i:10,m:na)</v>
      </c>
      <c r="D144" t="s">
        <v>1628</v>
      </c>
      <c r="E144" t="s">
        <v>8</v>
      </c>
      <c r="F144" t="str">
        <f t="shared" si="16"/>
        <v>0</v>
      </c>
      <c r="G144" t="s">
        <v>1384</v>
      </c>
      <c r="H144" t="s">
        <v>8</v>
      </c>
      <c r="I144" t="s">
        <v>8</v>
      </c>
      <c r="J144" t="s">
        <v>8</v>
      </c>
      <c r="K144" s="31" t="str">
        <f>IF(psio_version="2.0","MJRS5 p.78","T&amp;P p.147")</f>
        <v>MJRS5 p.78</v>
      </c>
      <c r="L144" s="31" t="s">
        <v>8</v>
      </c>
      <c r="M144" s="167" t="s">
        <v>3215</v>
      </c>
      <c r="N144" s="167" t="s">
        <v>168</v>
      </c>
      <c r="O144" s="167" t="s">
        <v>3112</v>
      </c>
      <c r="P144" s="167">
        <v>10</v>
      </c>
      <c r="Q144" s="167">
        <v>5</v>
      </c>
      <c r="R144">
        <f t="shared" si="15"/>
        <v>50</v>
      </c>
    </row>
    <row r="145" spans="1:18">
      <c r="A145" s="142" t="s">
        <v>1069</v>
      </c>
      <c r="B145" t="s">
        <v>1410</v>
      </c>
      <c r="C145" s="167" t="str">
        <f t="shared" ref="C145:C158" si="17">IF(psio_version="2.0",M145,N145)&amp;" "&amp;IF(psio_version="2.0",O145,"("&amp;P145&amp;"/"&amp;Q145&amp;")")</f>
        <v>INT-3 (i:cont,m:1/niv)</v>
      </c>
      <c r="D145" t="s">
        <v>1100</v>
      </c>
      <c r="E145" t="s">
        <v>8</v>
      </c>
      <c r="F145" t="str">
        <f t="shared" si="16"/>
        <v>0</v>
      </c>
      <c r="G145" t="s">
        <v>1403</v>
      </c>
      <c r="H145" t="s">
        <v>8</v>
      </c>
      <c r="I145" t="s">
        <v>8</v>
      </c>
      <c r="J145" t="s">
        <v>8</v>
      </c>
      <c r="K145" t="str">
        <f>IF(psio_version="2.0","MJRS5 p.92","T&amp;P p.177")</f>
        <v>MJRS5 p.92</v>
      </c>
      <c r="L145" t="s">
        <v>8</v>
      </c>
      <c r="M145" s="167" t="s">
        <v>3217</v>
      </c>
      <c r="N145" s="167" t="s">
        <v>3243</v>
      </c>
      <c r="O145" s="167" t="s">
        <v>3199</v>
      </c>
      <c r="P145" s="167" t="s">
        <v>3442</v>
      </c>
      <c r="Q145" s="167" t="s">
        <v>3442</v>
      </c>
      <c r="R145">
        <v>19</v>
      </c>
    </row>
    <row r="146" spans="1:18">
      <c r="A146" s="147" t="s">
        <v>1079</v>
      </c>
      <c r="B146" t="s">
        <v>1377</v>
      </c>
      <c r="C146" s="167" t="str">
        <f t="shared" si="17"/>
        <v>SAG-3 (i:3+,m:1+/rnd)</v>
      </c>
      <c r="D146" t="s">
        <v>1118</v>
      </c>
      <c r="E146" t="s">
        <v>8</v>
      </c>
      <c r="F146" t="str">
        <f t="shared" si="16"/>
        <v>0</v>
      </c>
      <c r="G146" t="s">
        <v>1119</v>
      </c>
      <c r="H146" t="s">
        <v>8</v>
      </c>
      <c r="I146" t="s">
        <v>8</v>
      </c>
      <c r="J146" t="s">
        <v>8</v>
      </c>
      <c r="K146" s="31" t="str">
        <f>IF(psio_version="2.0","MJRS5 p.41","T&amp;P p.162")</f>
        <v>MJRS5 p.41</v>
      </c>
      <c r="L146" s="31" t="s">
        <v>8</v>
      </c>
      <c r="M146" s="167" t="s">
        <v>3220</v>
      </c>
      <c r="N146" s="167" t="s">
        <v>3242</v>
      </c>
      <c r="O146" s="167" t="s">
        <v>3200</v>
      </c>
      <c r="P146" s="167" t="s">
        <v>3441</v>
      </c>
      <c r="Q146" s="167" t="s">
        <v>3460</v>
      </c>
      <c r="R146">
        <v>15</v>
      </c>
    </row>
    <row r="147" spans="1:18">
      <c r="A147" s="142" t="s">
        <v>1089</v>
      </c>
      <c r="B147" t="s">
        <v>1401</v>
      </c>
      <c r="C147" s="167" t="str">
        <f t="shared" si="17"/>
        <v>INT (i:10+,m:na)</v>
      </c>
      <c r="D147" t="s">
        <v>1404</v>
      </c>
      <c r="E147" t="s">
        <v>8</v>
      </c>
      <c r="F147" t="str">
        <f t="shared" si="16"/>
        <v>0</v>
      </c>
      <c r="G147" t="s">
        <v>1106</v>
      </c>
      <c r="H147" t="s">
        <v>8</v>
      </c>
      <c r="I147" t="s">
        <v>8</v>
      </c>
      <c r="J147" t="s">
        <v>8</v>
      </c>
      <c r="K147" t="str">
        <f>IF(psio_version="2.0","MJRS5 p.65","T&amp;P p.168")</f>
        <v>MJRS5 p.65</v>
      </c>
      <c r="L147" t="s">
        <v>8</v>
      </c>
      <c r="M147" s="167" t="s">
        <v>194</v>
      </c>
      <c r="N147" s="167" t="s">
        <v>3250</v>
      </c>
      <c r="O147" s="167" t="s">
        <v>3201</v>
      </c>
      <c r="P147" s="167" t="s">
        <v>3461</v>
      </c>
      <c r="Q147" s="167" t="s">
        <v>3440</v>
      </c>
      <c r="R147">
        <v>50</v>
      </c>
    </row>
    <row r="148" spans="1:18">
      <c r="A148" s="142" t="s">
        <v>1090</v>
      </c>
      <c r="B148" t="s">
        <v>1401</v>
      </c>
      <c r="C148" s="167" t="str">
        <f t="shared" si="17"/>
        <v>INT-2 (i:20+,m:na)</v>
      </c>
      <c r="D148" t="s">
        <v>1109</v>
      </c>
      <c r="E148" t="s">
        <v>8</v>
      </c>
      <c r="F148" t="str">
        <f t="shared" si="16"/>
        <v>0</v>
      </c>
      <c r="G148" t="s">
        <v>1103</v>
      </c>
      <c r="H148" t="s">
        <v>8</v>
      </c>
      <c r="I148" t="s">
        <v>8</v>
      </c>
      <c r="J148" t="s">
        <v>8</v>
      </c>
      <c r="K148" s="31" t="str">
        <f>IF(psio_version="2.0","MJRS5 p.66","T&amp;P p.170")</f>
        <v>MJRS5 p.66</v>
      </c>
      <c r="L148" s="31" t="s">
        <v>8</v>
      </c>
      <c r="M148" s="167" t="s">
        <v>3228</v>
      </c>
      <c r="N148" s="167" t="s">
        <v>3242</v>
      </c>
      <c r="O148" s="167" t="s">
        <v>3202</v>
      </c>
      <c r="P148" s="167" t="s">
        <v>3461</v>
      </c>
      <c r="Q148" s="167" t="s">
        <v>3440</v>
      </c>
      <c r="R148">
        <v>50</v>
      </c>
    </row>
    <row r="149" spans="1:18">
      <c r="A149" s="142" t="s">
        <v>1408</v>
      </c>
      <c r="B149" t="s">
        <v>1401</v>
      </c>
      <c r="C149" s="167" t="str">
        <f t="shared" si="17"/>
        <v>INT+1 (i:0,m:2/h)</v>
      </c>
      <c r="D149" t="s">
        <v>1103</v>
      </c>
      <c r="E149" t="s">
        <v>8</v>
      </c>
      <c r="F149" t="str">
        <f t="shared" si="16"/>
        <v>0</v>
      </c>
      <c r="G149" t="s">
        <v>1106</v>
      </c>
      <c r="H149" t="s">
        <v>8</v>
      </c>
      <c r="I149" t="s">
        <v>8</v>
      </c>
      <c r="J149" t="s">
        <v>8</v>
      </c>
      <c r="K149" s="31" t="str">
        <f>IF(psio_version="2.0","MJRS5 p.71","T&amp;P p.172")</f>
        <v>MJRS5 p.71</v>
      </c>
      <c r="L149" s="31" t="s">
        <v>8</v>
      </c>
      <c r="M149" s="167" t="s">
        <v>3239</v>
      </c>
      <c r="N149" s="167" t="s">
        <v>3242</v>
      </c>
      <c r="O149" s="167" t="s">
        <v>3203</v>
      </c>
      <c r="P149" s="167" t="s">
        <v>3462</v>
      </c>
      <c r="Q149" s="167">
        <v>1</v>
      </c>
      <c r="R149">
        <v>10</v>
      </c>
    </row>
    <row r="150" spans="1:18">
      <c r="A150" s="142" t="s">
        <v>1629</v>
      </c>
      <c r="B150" t="s">
        <v>1410</v>
      </c>
      <c r="C150" s="167" t="str">
        <f t="shared" si="17"/>
        <v>SAG-2 (i:6,m:na)</v>
      </c>
      <c r="D150" t="str">
        <f>"0"</f>
        <v>0</v>
      </c>
      <c r="E150" t="s">
        <v>8</v>
      </c>
      <c r="F150" t="str">
        <f t="shared" si="16"/>
        <v>0</v>
      </c>
      <c r="G150" t="s">
        <v>1630</v>
      </c>
      <c r="H150" t="s">
        <v>8</v>
      </c>
      <c r="I150" t="s">
        <v>8</v>
      </c>
      <c r="J150" t="s">
        <v>8</v>
      </c>
      <c r="K150" t="str">
        <f>IF(psio_version="2.0","MJRS5 p.80","T&amp;P p.148")</f>
        <v>MJRS5 p.80</v>
      </c>
      <c r="L150" s="31" t="s">
        <v>8</v>
      </c>
      <c r="M150" s="167" t="s">
        <v>3216</v>
      </c>
      <c r="N150" s="167" t="s">
        <v>168</v>
      </c>
      <c r="O150" s="167" t="s">
        <v>3204</v>
      </c>
      <c r="P150" s="167">
        <v>6</v>
      </c>
      <c r="Q150" s="167" t="s">
        <v>3443</v>
      </c>
      <c r="R150">
        <f t="shared" si="15"/>
        <v>30</v>
      </c>
    </row>
    <row r="151" spans="1:18">
      <c r="A151" s="142" t="s">
        <v>1768</v>
      </c>
      <c r="B151" t="str">
        <f>IF(psio_version="2.0","Métapsionisme","Clairsentience")</f>
        <v>Métapsionisme</v>
      </c>
      <c r="C151" s="167" t="str">
        <f t="shared" si="17"/>
        <v>SAG-3 (i:7,m:0)</v>
      </c>
      <c r="D151" t="str">
        <f>"0"</f>
        <v>0</v>
      </c>
      <c r="E151" t="s">
        <v>8</v>
      </c>
      <c r="F151">
        <v>1</v>
      </c>
      <c r="G151" s="133" t="s">
        <v>1106</v>
      </c>
      <c r="H151" t="s">
        <v>8</v>
      </c>
      <c r="I151" t="s">
        <v>8</v>
      </c>
      <c r="J151" t="s">
        <v>8</v>
      </c>
      <c r="K151" t="str">
        <f>IF(psio_version="2.0","MJRS5 p.105","T&amp;P p.160")</f>
        <v>MJRS5 p.105</v>
      </c>
      <c r="L151" t="s">
        <v>8</v>
      </c>
      <c r="M151" s="167" t="s">
        <v>3220</v>
      </c>
      <c r="N151" s="167" t="s">
        <v>3243</v>
      </c>
      <c r="O151" s="167" t="s">
        <v>3205</v>
      </c>
      <c r="P151" s="167">
        <v>7</v>
      </c>
      <c r="Q151" s="167">
        <v>3</v>
      </c>
      <c r="R151">
        <f t="shared" si="15"/>
        <v>35</v>
      </c>
    </row>
    <row r="152" spans="1:18">
      <c r="A152" s="142" t="s">
        <v>1752</v>
      </c>
      <c r="B152" t="str">
        <f>IF(psio_version="2.0","Métapsionisme","Télépathie")</f>
        <v>Métapsionisme</v>
      </c>
      <c r="C152" s="167" t="str">
        <f t="shared" si="17"/>
        <v>SAG-10 (i:75,m:0)</v>
      </c>
      <c r="D152" t="str">
        <f>"0"</f>
        <v>0</v>
      </c>
      <c r="E152" t="s">
        <v>8</v>
      </c>
      <c r="F152">
        <v>3</v>
      </c>
      <c r="G152" t="s">
        <v>1108</v>
      </c>
      <c r="H152" t="s">
        <v>8</v>
      </c>
      <c r="I152" t="s">
        <v>8</v>
      </c>
      <c r="J152" t="s">
        <v>8</v>
      </c>
      <c r="K152" t="str">
        <f>IF(psio_version="2.0","MJRS5 p.96","T&amp;P p.177")</f>
        <v>MJRS5 p.96</v>
      </c>
      <c r="L152" s="31" t="s">
        <v>8</v>
      </c>
      <c r="M152" s="167" t="s">
        <v>3240</v>
      </c>
      <c r="N152" s="167" t="s">
        <v>3246</v>
      </c>
      <c r="O152" s="167" t="s">
        <v>3206</v>
      </c>
      <c r="P152" s="167">
        <v>75</v>
      </c>
      <c r="Q152" s="167">
        <v>25</v>
      </c>
      <c r="R152">
        <f t="shared" si="15"/>
        <v>375</v>
      </c>
    </row>
    <row r="153" spans="1:18">
      <c r="A153" s="142" t="s">
        <v>1039</v>
      </c>
      <c r="B153" t="s">
        <v>1394</v>
      </c>
      <c r="C153" s="167" t="str">
        <f t="shared" si="17"/>
        <v>CON-7 (i:15,m:na)</v>
      </c>
      <c r="D153" t="s">
        <v>1395</v>
      </c>
      <c r="E153" t="s">
        <v>8</v>
      </c>
      <c r="F153" t="str">
        <f>"0"</f>
        <v>0</v>
      </c>
      <c r="G153" t="s">
        <v>1384</v>
      </c>
      <c r="H153" t="s">
        <v>8</v>
      </c>
      <c r="I153" t="s">
        <v>8</v>
      </c>
      <c r="J153" t="s">
        <v>8</v>
      </c>
      <c r="K153" t="str">
        <f>IF(psio_version="2.0","MJRS5 p.63","T&amp;P p.176")</f>
        <v>MJRS5 p.63</v>
      </c>
      <c r="L153" s="31" t="s">
        <v>8</v>
      </c>
      <c r="M153" s="167" t="s">
        <v>3241</v>
      </c>
      <c r="N153" s="167" t="s">
        <v>3246</v>
      </c>
      <c r="O153" s="167" t="s">
        <v>3207</v>
      </c>
      <c r="P153" s="167">
        <v>9</v>
      </c>
      <c r="Q153" s="167">
        <v>5</v>
      </c>
      <c r="R153">
        <f t="shared" si="15"/>
        <v>45</v>
      </c>
    </row>
    <row r="154" spans="1:18">
      <c r="A154" s="142" t="s">
        <v>1074</v>
      </c>
      <c r="B154" t="s">
        <v>1378</v>
      </c>
      <c r="C154" s="167" t="str">
        <f t="shared" si="17"/>
        <v>SAG-5 (i:9,m:9/rnd)</v>
      </c>
      <c r="D154" t="s">
        <v>1105</v>
      </c>
      <c r="E154" t="s">
        <v>8</v>
      </c>
      <c r="F154" t="str">
        <f>"0"</f>
        <v>0</v>
      </c>
      <c r="G154" t="s">
        <v>1106</v>
      </c>
      <c r="H154" t="s">
        <v>8</v>
      </c>
      <c r="I154" t="s">
        <v>8</v>
      </c>
      <c r="J154" t="s">
        <v>8</v>
      </c>
      <c r="K154" t="str">
        <f>IF(psio_version="2.0","MJRS5 p.32","T&amp;P p.159")</f>
        <v>MJRS5 p.32</v>
      </c>
      <c r="L154" t="s">
        <v>8</v>
      </c>
      <c r="M154" s="167" t="s">
        <v>3215</v>
      </c>
      <c r="N154" s="167" t="s">
        <v>3243</v>
      </c>
      <c r="O154" s="167" t="s">
        <v>3171</v>
      </c>
      <c r="P154" s="167">
        <v>9</v>
      </c>
      <c r="Q154" s="167">
        <v>3</v>
      </c>
      <c r="R154">
        <f t="shared" si="15"/>
        <v>45</v>
      </c>
    </row>
    <row r="155" spans="1:18">
      <c r="A155" s="142" t="s">
        <v>1007</v>
      </c>
      <c r="B155" t="s">
        <v>1378</v>
      </c>
      <c r="C155" s="167" t="str">
        <f t="shared" si="17"/>
        <v>SAG-3 (i:6,m:3/rnd)</v>
      </c>
      <c r="D155" t="s">
        <v>1101</v>
      </c>
      <c r="E155" t="s">
        <v>8</v>
      </c>
      <c r="F155" t="str">
        <f>"0"</f>
        <v>0</v>
      </c>
      <c r="G155" t="s">
        <v>1106</v>
      </c>
      <c r="H155" t="s">
        <v>8</v>
      </c>
      <c r="I155" t="s">
        <v>8</v>
      </c>
      <c r="J155" t="s">
        <v>8</v>
      </c>
      <c r="K155" s="31" t="str">
        <f>IF(psio_version="2.0","MJRS5 p.37","T&amp;P p.160")</f>
        <v>MJRS5 p.37</v>
      </c>
      <c r="L155" s="31" t="s">
        <v>8</v>
      </c>
      <c r="M155" s="167" t="s">
        <v>3220</v>
      </c>
      <c r="N155" s="167" t="s">
        <v>3242</v>
      </c>
      <c r="O155" s="167" t="s">
        <v>3131</v>
      </c>
      <c r="P155" s="167">
        <v>4</v>
      </c>
      <c r="Q155" s="167">
        <v>2</v>
      </c>
      <c r="R155">
        <f t="shared" si="15"/>
        <v>20</v>
      </c>
    </row>
    <row r="156" spans="1:18">
      <c r="A156" s="142" t="s">
        <v>1008</v>
      </c>
      <c r="B156" t="s">
        <v>1378</v>
      </c>
      <c r="C156" s="167" t="str">
        <f t="shared" si="17"/>
        <v>SAG-3 (i:6,m:4/rnd)</v>
      </c>
      <c r="D156" t="str">
        <f>"0"</f>
        <v>0</v>
      </c>
      <c r="E156" t="s">
        <v>8</v>
      </c>
      <c r="F156" t="str">
        <f>"0"</f>
        <v>0</v>
      </c>
      <c r="G156" t="s">
        <v>1106</v>
      </c>
      <c r="H156" t="s">
        <v>8</v>
      </c>
      <c r="I156" t="s">
        <v>8</v>
      </c>
      <c r="J156" t="s">
        <v>8</v>
      </c>
      <c r="K156" t="str">
        <f>IF(psio_version="2.0","MJRS5 p.37","T&amp;P p.161")</f>
        <v>MJRS5 p.37</v>
      </c>
      <c r="L156" t="s">
        <v>8</v>
      </c>
      <c r="M156" s="167" t="s">
        <v>3220</v>
      </c>
      <c r="N156" s="167" t="s">
        <v>3242</v>
      </c>
      <c r="O156" s="167" t="s">
        <v>3137</v>
      </c>
      <c r="P156" s="167">
        <v>5</v>
      </c>
      <c r="Q156" s="167">
        <v>2</v>
      </c>
      <c r="R156">
        <f t="shared" si="15"/>
        <v>25</v>
      </c>
    </row>
    <row r="157" spans="1:18">
      <c r="A157" s="142" t="s">
        <v>1044</v>
      </c>
      <c r="B157" t="s">
        <v>1401</v>
      </c>
      <c r="C157" s="167" t="str">
        <f t="shared" si="17"/>
        <v>SAG-4 (i:1/40km,m:na)</v>
      </c>
      <c r="D157" t="s">
        <v>1409</v>
      </c>
      <c r="E157" t="s">
        <v>8</v>
      </c>
      <c r="F157" t="str">
        <f>"0"</f>
        <v>0</v>
      </c>
      <c r="G157" t="s">
        <v>1106</v>
      </c>
      <c r="H157" t="s">
        <v>8</v>
      </c>
      <c r="I157" t="s">
        <v>8</v>
      </c>
      <c r="J157" t="s">
        <v>8</v>
      </c>
      <c r="K157" s="31" t="str">
        <f>IF(psio_version="2.0","MJRS5 p.72","T&amp;P p.177")</f>
        <v>MJRS5 p.72</v>
      </c>
      <c r="L157" s="31" t="s">
        <v>8</v>
      </c>
      <c r="M157" s="167" t="s">
        <v>3214</v>
      </c>
      <c r="N157" s="167" t="s">
        <v>3243</v>
      </c>
      <c r="O157" s="167" t="s">
        <v>3208</v>
      </c>
      <c r="P157" s="167" t="s">
        <v>3463</v>
      </c>
      <c r="Q157" s="167">
        <v>1</v>
      </c>
      <c r="R157">
        <v>5</v>
      </c>
    </row>
    <row r="158" spans="1:18">
      <c r="A158" s="147" t="s">
        <v>1091</v>
      </c>
      <c r="B158" t="s">
        <v>1401</v>
      </c>
      <c r="C158" s="167" t="str">
        <f t="shared" si="17"/>
        <v>INT (i:20,m:8/h)</v>
      </c>
      <c r="D158" t="s">
        <v>1100</v>
      </c>
      <c r="E158" t="s">
        <v>8</v>
      </c>
      <c r="F158">
        <v>2</v>
      </c>
      <c r="G158" s="133" t="s">
        <v>1405</v>
      </c>
      <c r="H158" t="s">
        <v>8</v>
      </c>
      <c r="I158" t="s">
        <v>8</v>
      </c>
      <c r="J158" t="s">
        <v>8</v>
      </c>
      <c r="K158" s="31" t="str">
        <f>IF(psio_version="2.0","MJRS5 p.66","T&amp;P p.177")</f>
        <v>MJRS5 p.66</v>
      </c>
      <c r="L158" s="31" t="s">
        <v>8</v>
      </c>
      <c r="M158" s="167" t="s">
        <v>194</v>
      </c>
      <c r="N158" s="167" t="s">
        <v>3242</v>
      </c>
      <c r="O158" s="167" t="s">
        <v>3209</v>
      </c>
      <c r="P158" s="167" t="s">
        <v>3464</v>
      </c>
      <c r="Q158" s="167">
        <v>5</v>
      </c>
      <c r="R158">
        <v>55</v>
      </c>
    </row>
    <row r="159" spans="1:18">
      <c r="A159" s="145"/>
      <c r="C159" s="88"/>
      <c r="G159" s="133"/>
    </row>
    <row r="160" spans="1:18">
      <c r="C160" s="88"/>
    </row>
    <row r="161" spans="1:18">
      <c r="A161" s="148" t="s">
        <v>1779</v>
      </c>
      <c r="B161" s="149"/>
      <c r="C161" s="150"/>
      <c r="D161" s="149"/>
      <c r="E161" s="149"/>
      <c r="F161" s="149"/>
      <c r="G161" s="149"/>
      <c r="H161" s="149"/>
      <c r="I161" s="149"/>
      <c r="J161" s="149"/>
      <c r="K161" s="149"/>
    </row>
    <row r="162" spans="1:18">
      <c r="A162" s="151" t="s">
        <v>1780</v>
      </c>
      <c r="B162" s="67" t="s">
        <v>2105</v>
      </c>
      <c r="C162" s="152">
        <v>1</v>
      </c>
      <c r="D162" s="67" t="s">
        <v>2117</v>
      </c>
      <c r="E162" s="67" t="s">
        <v>2115</v>
      </c>
      <c r="F162" s="67">
        <v>1</v>
      </c>
      <c r="G162" s="67" t="s">
        <v>2106</v>
      </c>
      <c r="H162" s="67" t="s">
        <v>2107</v>
      </c>
      <c r="I162" s="67" t="s">
        <v>1834</v>
      </c>
      <c r="J162" s="67" t="s">
        <v>2108</v>
      </c>
      <c r="K162" s="67" t="s">
        <v>2109</v>
      </c>
      <c r="L162">
        <v>1</v>
      </c>
      <c r="M162" t="s">
        <v>8</v>
      </c>
      <c r="N162" t="s">
        <v>8</v>
      </c>
      <c r="O162" t="s">
        <v>8</v>
      </c>
      <c r="P162" t="s">
        <v>8</v>
      </c>
      <c r="Q162" t="s">
        <v>8</v>
      </c>
      <c r="R162" t="s">
        <v>8</v>
      </c>
    </row>
    <row r="163" spans="1:18">
      <c r="A163" s="151" t="s">
        <v>1999</v>
      </c>
      <c r="B163" s="67" t="s">
        <v>2105</v>
      </c>
      <c r="C163" s="152">
        <v>6</v>
      </c>
      <c r="D163" s="67" t="s">
        <v>1383</v>
      </c>
      <c r="E163" s="67" t="s">
        <v>2115</v>
      </c>
      <c r="F163" s="153" t="s">
        <v>1740</v>
      </c>
      <c r="G163" s="153" t="s">
        <v>3729</v>
      </c>
      <c r="H163" s="153" t="s">
        <v>2107</v>
      </c>
      <c r="I163" s="67" t="s">
        <v>1834</v>
      </c>
      <c r="J163" s="67" t="s">
        <v>2120</v>
      </c>
      <c r="K163" s="67" t="s">
        <v>2197</v>
      </c>
      <c r="L163">
        <v>6</v>
      </c>
      <c r="M163" t="s">
        <v>8</v>
      </c>
      <c r="N163" t="s">
        <v>8</v>
      </c>
      <c r="O163" t="s">
        <v>8</v>
      </c>
      <c r="P163" t="s">
        <v>8</v>
      </c>
      <c r="Q163" t="s">
        <v>8</v>
      </c>
      <c r="R163" t="s">
        <v>8</v>
      </c>
    </row>
    <row r="164" spans="1:18">
      <c r="A164" s="151" t="s">
        <v>1921</v>
      </c>
      <c r="B164" s="67" t="s">
        <v>2258</v>
      </c>
      <c r="C164" s="152">
        <v>4</v>
      </c>
      <c r="D164" s="67" t="s">
        <v>1112</v>
      </c>
      <c r="E164" s="67" t="s">
        <v>2318</v>
      </c>
      <c r="F164" s="153">
        <v>4</v>
      </c>
      <c r="G164" s="153" t="s">
        <v>3730</v>
      </c>
      <c r="H164" s="153" t="s">
        <v>2107</v>
      </c>
      <c r="I164" s="67" t="s">
        <v>1835</v>
      </c>
      <c r="J164" s="67" t="s">
        <v>2120</v>
      </c>
      <c r="K164" s="67" t="s">
        <v>2177</v>
      </c>
      <c r="L164">
        <v>4</v>
      </c>
      <c r="M164" t="s">
        <v>8</v>
      </c>
      <c r="N164" t="s">
        <v>8</v>
      </c>
      <c r="O164" t="s">
        <v>8</v>
      </c>
      <c r="P164" t="s">
        <v>8</v>
      </c>
      <c r="Q164" t="s">
        <v>8</v>
      </c>
      <c r="R164" t="s">
        <v>8</v>
      </c>
    </row>
    <row r="165" spans="1:18">
      <c r="A165" s="151" t="s">
        <v>2340</v>
      </c>
      <c r="B165" s="67" t="s">
        <v>2240</v>
      </c>
      <c r="C165" s="152">
        <v>9</v>
      </c>
      <c r="D165" s="67" t="s">
        <v>2122</v>
      </c>
      <c r="E165" s="67" t="s">
        <v>2142</v>
      </c>
      <c r="F165" s="153">
        <v>3</v>
      </c>
      <c r="G165" s="153" t="s">
        <v>2127</v>
      </c>
      <c r="H165" s="153" t="s">
        <v>2107</v>
      </c>
      <c r="I165" s="67" t="s">
        <v>1835</v>
      </c>
      <c r="J165" s="67" t="s">
        <v>2120</v>
      </c>
      <c r="K165" s="67" t="s">
        <v>2223</v>
      </c>
      <c r="L165">
        <v>9</v>
      </c>
      <c r="M165" t="s">
        <v>8</v>
      </c>
      <c r="N165" t="s">
        <v>8</v>
      </c>
      <c r="O165" t="s">
        <v>8</v>
      </c>
      <c r="P165" t="s">
        <v>8</v>
      </c>
      <c r="Q165" t="s">
        <v>8</v>
      </c>
      <c r="R165" t="s">
        <v>8</v>
      </c>
    </row>
    <row r="166" spans="1:18">
      <c r="A166" s="151" t="s">
        <v>1922</v>
      </c>
      <c r="B166" s="67" t="s">
        <v>2231</v>
      </c>
      <c r="C166" s="152">
        <v>4</v>
      </c>
      <c r="D166" s="67" t="s">
        <v>2147</v>
      </c>
      <c r="E166" s="67" t="s">
        <v>2319</v>
      </c>
      <c r="F166" s="153">
        <v>4</v>
      </c>
      <c r="G166" s="153" t="s">
        <v>2127</v>
      </c>
      <c r="H166" s="153" t="s">
        <v>2110</v>
      </c>
      <c r="I166" s="67" t="s">
        <v>1835</v>
      </c>
      <c r="J166" s="67" t="s">
        <v>2108</v>
      </c>
      <c r="K166" s="67" t="s">
        <v>2177</v>
      </c>
      <c r="L166">
        <v>4</v>
      </c>
      <c r="M166" t="s">
        <v>8</v>
      </c>
      <c r="N166" t="s">
        <v>8</v>
      </c>
      <c r="O166" t="s">
        <v>8</v>
      </c>
      <c r="P166" t="s">
        <v>8</v>
      </c>
      <c r="Q166" t="s">
        <v>8</v>
      </c>
      <c r="R166" t="s">
        <v>8</v>
      </c>
    </row>
    <row r="167" spans="1:18">
      <c r="A167" s="151" t="s">
        <v>1783</v>
      </c>
      <c r="B167" s="67" t="s">
        <v>2125</v>
      </c>
      <c r="C167" s="152">
        <v>1</v>
      </c>
      <c r="D167" s="67" t="s">
        <v>1109</v>
      </c>
      <c r="E167" s="67" t="s">
        <v>2113</v>
      </c>
      <c r="F167" s="67" t="s">
        <v>2111</v>
      </c>
      <c r="G167" s="67" t="s">
        <v>3714</v>
      </c>
      <c r="H167" s="67" t="s">
        <v>2107</v>
      </c>
      <c r="I167" s="67" t="s">
        <v>1835</v>
      </c>
      <c r="J167" s="67" t="s">
        <v>2120</v>
      </c>
      <c r="K167" s="67" t="s">
        <v>2109</v>
      </c>
      <c r="L167">
        <v>1</v>
      </c>
      <c r="M167" t="s">
        <v>8</v>
      </c>
      <c r="N167" t="s">
        <v>8</v>
      </c>
      <c r="O167" t="s">
        <v>8</v>
      </c>
      <c r="P167" t="s">
        <v>8</v>
      </c>
      <c r="Q167" t="s">
        <v>8</v>
      </c>
      <c r="R167" t="s">
        <v>8</v>
      </c>
    </row>
    <row r="168" spans="1:18">
      <c r="A168" s="151" t="s">
        <v>1784</v>
      </c>
      <c r="B168" s="67" t="s">
        <v>2105</v>
      </c>
      <c r="C168" s="152">
        <v>1</v>
      </c>
      <c r="D168" s="67" t="s">
        <v>2117</v>
      </c>
      <c r="E168" s="67" t="s">
        <v>2116</v>
      </c>
      <c r="F168" s="67">
        <v>1</v>
      </c>
      <c r="G168" s="67" t="s">
        <v>2118</v>
      </c>
      <c r="H168" s="67" t="s">
        <v>2110</v>
      </c>
      <c r="I168" s="67" t="s">
        <v>1835</v>
      </c>
      <c r="J168" s="67" t="s">
        <v>2120</v>
      </c>
      <c r="K168" s="67" t="s">
        <v>2109</v>
      </c>
      <c r="L168">
        <v>1</v>
      </c>
      <c r="M168" t="s">
        <v>8</v>
      </c>
      <c r="N168" t="s">
        <v>8</v>
      </c>
      <c r="O168" t="s">
        <v>8</v>
      </c>
      <c r="P168" t="s">
        <v>8</v>
      </c>
      <c r="Q168" t="s">
        <v>8</v>
      </c>
      <c r="R168" t="s">
        <v>8</v>
      </c>
    </row>
    <row r="169" spans="1:18">
      <c r="A169" s="151" t="s">
        <v>1785</v>
      </c>
      <c r="B169" s="67" t="s">
        <v>2112</v>
      </c>
      <c r="C169" s="152">
        <v>1</v>
      </c>
      <c r="D169" s="67" t="str">
        <f>"0"</f>
        <v>0</v>
      </c>
      <c r="E169" s="67" t="s">
        <v>2114</v>
      </c>
      <c r="F169" s="67">
        <v>1</v>
      </c>
      <c r="G169" s="67" t="s">
        <v>2119</v>
      </c>
      <c r="H169" s="67" t="s">
        <v>2107</v>
      </c>
      <c r="I169" s="67" t="s">
        <v>1835</v>
      </c>
      <c r="J169" s="67" t="s">
        <v>270</v>
      </c>
      <c r="K169" s="67" t="s">
        <v>2109</v>
      </c>
      <c r="L169">
        <v>1</v>
      </c>
      <c r="M169" t="s">
        <v>8</v>
      </c>
      <c r="N169" t="s">
        <v>8</v>
      </c>
      <c r="O169" t="s">
        <v>8</v>
      </c>
      <c r="P169" t="s">
        <v>8</v>
      </c>
      <c r="Q169" t="s">
        <v>8</v>
      </c>
      <c r="R169" t="s">
        <v>8</v>
      </c>
    </row>
    <row r="170" spans="1:18">
      <c r="A170" s="151" t="s">
        <v>1962</v>
      </c>
      <c r="B170" s="67" t="s">
        <v>2231</v>
      </c>
      <c r="C170" s="152">
        <v>5</v>
      </c>
      <c r="D170" s="67" t="s">
        <v>1109</v>
      </c>
      <c r="E170" s="67" t="s">
        <v>2142</v>
      </c>
      <c r="F170" s="153" t="s">
        <v>2426</v>
      </c>
      <c r="G170" s="153" t="s">
        <v>2126</v>
      </c>
      <c r="H170" s="153" t="s">
        <v>2107</v>
      </c>
      <c r="I170" s="67" t="s">
        <v>1835</v>
      </c>
      <c r="J170" s="67" t="s">
        <v>2120</v>
      </c>
      <c r="K170" s="67" t="s">
        <v>2187</v>
      </c>
      <c r="L170">
        <v>5</v>
      </c>
      <c r="M170" t="s">
        <v>8</v>
      </c>
      <c r="N170" t="s">
        <v>8</v>
      </c>
      <c r="O170" t="s">
        <v>8</v>
      </c>
      <c r="P170" t="s">
        <v>8</v>
      </c>
      <c r="Q170" t="s">
        <v>8</v>
      </c>
      <c r="R170" t="s">
        <v>8</v>
      </c>
    </row>
    <row r="171" spans="1:18">
      <c r="A171" s="151" t="s">
        <v>2065</v>
      </c>
      <c r="B171" s="67" t="s">
        <v>2112</v>
      </c>
      <c r="C171" s="152">
        <v>8</v>
      </c>
      <c r="D171" s="67" t="s">
        <v>1118</v>
      </c>
      <c r="E171" s="67" t="s">
        <v>2336</v>
      </c>
      <c r="F171" s="153" t="s">
        <v>2425</v>
      </c>
      <c r="G171" s="153" t="s">
        <v>2126</v>
      </c>
      <c r="H171" s="153" t="s">
        <v>2107</v>
      </c>
      <c r="I171" s="67" t="s">
        <v>1835</v>
      </c>
      <c r="J171" s="67" t="s">
        <v>270</v>
      </c>
      <c r="K171" s="67" t="s">
        <v>2215</v>
      </c>
      <c r="L171">
        <v>8</v>
      </c>
      <c r="M171" t="s">
        <v>8</v>
      </c>
      <c r="N171" t="s">
        <v>8</v>
      </c>
      <c r="O171" t="s">
        <v>8</v>
      </c>
      <c r="P171" t="s">
        <v>8</v>
      </c>
      <c r="Q171" t="s">
        <v>8</v>
      </c>
      <c r="R171" t="s">
        <v>8</v>
      </c>
    </row>
    <row r="172" spans="1:18">
      <c r="A172" s="151" t="s">
        <v>1824</v>
      </c>
      <c r="B172" s="67" t="s">
        <v>2105</v>
      </c>
      <c r="C172" s="152">
        <v>2</v>
      </c>
      <c r="D172" s="67" t="str">
        <f>"0"</f>
        <v>0</v>
      </c>
      <c r="E172" s="67" t="s">
        <v>2306</v>
      </c>
      <c r="F172" s="153">
        <v>2</v>
      </c>
      <c r="G172" s="67" t="s">
        <v>2131</v>
      </c>
      <c r="H172" s="153" t="s">
        <v>2110</v>
      </c>
      <c r="I172" s="67" t="s">
        <v>1835</v>
      </c>
      <c r="J172" s="67" t="s">
        <v>2120</v>
      </c>
      <c r="K172" s="67" t="s">
        <v>2157</v>
      </c>
      <c r="L172">
        <v>2</v>
      </c>
      <c r="M172" t="s">
        <v>8</v>
      </c>
      <c r="N172" t="s">
        <v>8</v>
      </c>
      <c r="O172" t="s">
        <v>8</v>
      </c>
      <c r="P172" t="s">
        <v>8</v>
      </c>
      <c r="Q172" t="s">
        <v>8</v>
      </c>
      <c r="R172" t="s">
        <v>8</v>
      </c>
    </row>
    <row r="173" spans="1:18">
      <c r="A173" s="151" t="s">
        <v>1923</v>
      </c>
      <c r="B173" s="67" t="s">
        <v>2228</v>
      </c>
      <c r="C173" s="152">
        <v>4</v>
      </c>
      <c r="D173" s="67" t="s">
        <v>2122</v>
      </c>
      <c r="E173" s="67" t="s">
        <v>2115</v>
      </c>
      <c r="F173" s="153" t="s">
        <v>1740</v>
      </c>
      <c r="G173" s="153" t="s">
        <v>2440</v>
      </c>
      <c r="H173" s="153" t="s">
        <v>2107</v>
      </c>
      <c r="I173" s="67" t="s">
        <v>1835</v>
      </c>
      <c r="J173" s="67" t="s">
        <v>2120</v>
      </c>
      <c r="K173" s="67" t="s">
        <v>2177</v>
      </c>
      <c r="L173">
        <v>4</v>
      </c>
      <c r="M173" t="s">
        <v>8</v>
      </c>
      <c r="N173" t="s">
        <v>8</v>
      </c>
      <c r="O173" t="s">
        <v>8</v>
      </c>
      <c r="P173" t="s">
        <v>8</v>
      </c>
      <c r="Q173" t="s">
        <v>8</v>
      </c>
      <c r="R173" t="s">
        <v>8</v>
      </c>
    </row>
    <row r="174" spans="1:18">
      <c r="A174" s="151" t="s">
        <v>248</v>
      </c>
      <c r="B174" s="67" t="s">
        <v>2003</v>
      </c>
      <c r="C174" s="152">
        <v>1</v>
      </c>
      <c r="D174" s="67" t="s">
        <v>2122</v>
      </c>
      <c r="E174" s="67" t="s">
        <v>2126</v>
      </c>
      <c r="F174" s="67" t="s">
        <v>2111</v>
      </c>
      <c r="G174" s="67" t="s">
        <v>2127</v>
      </c>
      <c r="H174" s="67" t="s">
        <v>2107</v>
      </c>
      <c r="I174" s="67" t="s">
        <v>1835</v>
      </c>
      <c r="J174" s="67" t="s">
        <v>2120</v>
      </c>
      <c r="K174" s="67" t="s">
        <v>2121</v>
      </c>
      <c r="L174">
        <v>1</v>
      </c>
      <c r="M174" t="s">
        <v>8</v>
      </c>
      <c r="N174" t="s">
        <v>8</v>
      </c>
      <c r="O174" t="s">
        <v>8</v>
      </c>
      <c r="P174" t="s">
        <v>8</v>
      </c>
      <c r="Q174" t="s">
        <v>8</v>
      </c>
      <c r="R174" t="s">
        <v>8</v>
      </c>
    </row>
    <row r="175" spans="1:18">
      <c r="A175" s="151" t="s">
        <v>2087</v>
      </c>
      <c r="B175" s="67" t="s">
        <v>2105</v>
      </c>
      <c r="C175" s="152">
        <v>9</v>
      </c>
      <c r="D175" s="67" t="str">
        <f>"0"</f>
        <v>0</v>
      </c>
      <c r="E175" s="67" t="s">
        <v>2126</v>
      </c>
      <c r="F175" s="153">
        <v>9</v>
      </c>
      <c r="G175" s="153" t="s">
        <v>2468</v>
      </c>
      <c r="H175" s="153" t="s">
        <v>2151</v>
      </c>
      <c r="I175" s="67" t="s">
        <v>1835</v>
      </c>
      <c r="J175" s="67" t="s">
        <v>2120</v>
      </c>
      <c r="K175" s="67" t="s">
        <v>2223</v>
      </c>
      <c r="L175">
        <v>9</v>
      </c>
      <c r="M175" t="s">
        <v>8</v>
      </c>
      <c r="N175" t="s">
        <v>8</v>
      </c>
      <c r="O175" t="s">
        <v>8</v>
      </c>
      <c r="P175" t="s">
        <v>8</v>
      </c>
      <c r="Q175" t="s">
        <v>8</v>
      </c>
      <c r="R175" t="s">
        <v>8</v>
      </c>
    </row>
    <row r="176" spans="1:18">
      <c r="A176" s="151" t="s">
        <v>2088</v>
      </c>
      <c r="B176" s="67" t="s">
        <v>2239</v>
      </c>
      <c r="C176" s="152">
        <v>9</v>
      </c>
      <c r="D176" s="67" t="s">
        <v>2122</v>
      </c>
      <c r="E176" s="67" t="s">
        <v>2126</v>
      </c>
      <c r="F176" s="153" t="s">
        <v>2432</v>
      </c>
      <c r="G176" s="153" t="s">
        <v>2469</v>
      </c>
      <c r="H176" s="153" t="s">
        <v>2107</v>
      </c>
      <c r="I176" s="67" t="s">
        <v>1834</v>
      </c>
      <c r="J176" s="67" t="s">
        <v>2120</v>
      </c>
      <c r="K176" s="67" t="s">
        <v>2223</v>
      </c>
      <c r="L176">
        <v>9</v>
      </c>
      <c r="M176" t="s">
        <v>8</v>
      </c>
      <c r="N176" t="s">
        <v>8</v>
      </c>
      <c r="O176" t="s">
        <v>8</v>
      </c>
      <c r="P176" t="s">
        <v>8</v>
      </c>
      <c r="Q176" t="s">
        <v>8</v>
      </c>
      <c r="R176" t="s">
        <v>8</v>
      </c>
    </row>
    <row r="177" spans="1:18">
      <c r="A177" s="151" t="s">
        <v>1924</v>
      </c>
      <c r="B177" s="67" t="s">
        <v>2123</v>
      </c>
      <c r="C177" s="152">
        <v>4</v>
      </c>
      <c r="D177" s="67" t="s">
        <v>2117</v>
      </c>
      <c r="E177" s="67" t="s">
        <v>2148</v>
      </c>
      <c r="F177" s="153">
        <v>4</v>
      </c>
      <c r="G177" s="153" t="s">
        <v>2127</v>
      </c>
      <c r="H177" s="153" t="s">
        <v>2110</v>
      </c>
      <c r="I177" s="67" t="s">
        <v>1835</v>
      </c>
      <c r="J177" s="67" t="s">
        <v>270</v>
      </c>
      <c r="K177" s="67" t="s">
        <v>2177</v>
      </c>
      <c r="L177">
        <v>4</v>
      </c>
      <c r="M177" t="s">
        <v>8</v>
      </c>
      <c r="N177" t="s">
        <v>8</v>
      </c>
      <c r="O177" t="s">
        <v>8</v>
      </c>
      <c r="P177" t="s">
        <v>8</v>
      </c>
      <c r="Q177" t="s">
        <v>8</v>
      </c>
      <c r="R177" t="s">
        <v>8</v>
      </c>
    </row>
    <row r="178" spans="1:18">
      <c r="A178" s="151" t="s">
        <v>2000</v>
      </c>
      <c r="B178" s="67" t="s">
        <v>2003</v>
      </c>
      <c r="C178" s="152">
        <v>6</v>
      </c>
      <c r="D178" s="67" t="s">
        <v>1109</v>
      </c>
      <c r="E178" s="67" t="s">
        <v>2126</v>
      </c>
      <c r="F178" s="153" t="s">
        <v>1740</v>
      </c>
      <c r="G178" s="153" t="s">
        <v>2126</v>
      </c>
      <c r="H178" s="153" t="s">
        <v>2107</v>
      </c>
      <c r="I178" s="67" t="s">
        <v>1835</v>
      </c>
      <c r="J178" s="67" t="s">
        <v>2108</v>
      </c>
      <c r="K178" s="67" t="s">
        <v>2198</v>
      </c>
      <c r="L178">
        <v>6</v>
      </c>
      <c r="M178" t="s">
        <v>8</v>
      </c>
      <c r="N178" t="s">
        <v>8</v>
      </c>
      <c r="O178" t="s">
        <v>8</v>
      </c>
      <c r="P178" t="s">
        <v>8</v>
      </c>
      <c r="Q178" t="s">
        <v>8</v>
      </c>
      <c r="R178" t="s">
        <v>8</v>
      </c>
    </row>
    <row r="179" spans="1:18">
      <c r="A179" s="151" t="s">
        <v>1786</v>
      </c>
      <c r="B179" s="67" t="s">
        <v>2123</v>
      </c>
      <c r="C179" s="152">
        <v>1</v>
      </c>
      <c r="D179" s="67" t="s">
        <v>2122</v>
      </c>
      <c r="E179" s="67" t="s">
        <v>2129</v>
      </c>
      <c r="F179" s="67" t="s">
        <v>2111</v>
      </c>
      <c r="G179" s="67" t="s">
        <v>2126</v>
      </c>
      <c r="H179" s="67" t="s">
        <v>2107</v>
      </c>
      <c r="I179" s="67" t="s">
        <v>1835</v>
      </c>
      <c r="J179" s="67" t="s">
        <v>270</v>
      </c>
      <c r="K179" s="67" t="s">
        <v>2121</v>
      </c>
      <c r="L179">
        <v>1</v>
      </c>
      <c r="M179" t="s">
        <v>8</v>
      </c>
      <c r="N179" t="s">
        <v>8</v>
      </c>
      <c r="O179" t="s">
        <v>8</v>
      </c>
      <c r="P179" t="s">
        <v>8</v>
      </c>
      <c r="Q179" t="s">
        <v>8</v>
      </c>
      <c r="R179" t="s">
        <v>8</v>
      </c>
    </row>
    <row r="180" spans="1:18">
      <c r="A180" s="151" t="s">
        <v>1087</v>
      </c>
      <c r="B180" s="67" t="s">
        <v>2229</v>
      </c>
      <c r="C180" s="152">
        <v>7</v>
      </c>
      <c r="D180" s="67" t="s">
        <v>1112</v>
      </c>
      <c r="E180" s="67" t="s">
        <v>2297</v>
      </c>
      <c r="F180" s="153">
        <v>7</v>
      </c>
      <c r="G180" s="153" t="s">
        <v>2463</v>
      </c>
      <c r="H180" s="153" t="s">
        <v>2107</v>
      </c>
      <c r="I180" s="67" t="s">
        <v>1835</v>
      </c>
      <c r="J180" s="67" t="s">
        <v>270</v>
      </c>
      <c r="K180" s="67" t="s">
        <v>2209</v>
      </c>
      <c r="L180">
        <v>7</v>
      </c>
      <c r="M180" t="s">
        <v>8</v>
      </c>
      <c r="N180" t="s">
        <v>8</v>
      </c>
      <c r="O180" t="s">
        <v>8</v>
      </c>
      <c r="P180" t="s">
        <v>8</v>
      </c>
      <c r="Q180" t="s">
        <v>8</v>
      </c>
      <c r="R180" t="s">
        <v>8</v>
      </c>
    </row>
    <row r="181" spans="1:18">
      <c r="A181" s="151" t="s">
        <v>1825</v>
      </c>
      <c r="B181" s="67" t="s">
        <v>2105</v>
      </c>
      <c r="C181" s="152">
        <v>2</v>
      </c>
      <c r="D181" s="67" t="s">
        <v>1109</v>
      </c>
      <c r="E181" s="67" t="s">
        <v>2126</v>
      </c>
      <c r="F181" s="153">
        <v>2</v>
      </c>
      <c r="G181" s="67" t="s">
        <v>1117</v>
      </c>
      <c r="H181" s="153" t="s">
        <v>2107</v>
      </c>
      <c r="I181" s="67" t="s">
        <v>1835</v>
      </c>
      <c r="J181" s="67" t="s">
        <v>2120</v>
      </c>
      <c r="K181" s="67" t="s">
        <v>2158</v>
      </c>
      <c r="L181">
        <v>2</v>
      </c>
      <c r="M181" t="s">
        <v>8</v>
      </c>
      <c r="N181" t="s">
        <v>8</v>
      </c>
      <c r="O181" t="s">
        <v>8</v>
      </c>
      <c r="P181" t="s">
        <v>8</v>
      </c>
      <c r="Q181" t="s">
        <v>8</v>
      </c>
      <c r="R181" t="s">
        <v>8</v>
      </c>
    </row>
    <row r="182" spans="1:18">
      <c r="A182" s="151" t="s">
        <v>1787</v>
      </c>
      <c r="B182" s="67" t="s">
        <v>2124</v>
      </c>
      <c r="C182" s="152">
        <v>1</v>
      </c>
      <c r="D182" s="67" t="str">
        <f>"0"</f>
        <v>0</v>
      </c>
      <c r="E182" s="67" t="s">
        <v>2115</v>
      </c>
      <c r="F182" s="67">
        <v>1</v>
      </c>
      <c r="G182" s="67" t="s">
        <v>2126</v>
      </c>
      <c r="H182" s="67" t="s">
        <v>2110</v>
      </c>
      <c r="I182" s="67" t="s">
        <v>1835</v>
      </c>
      <c r="J182" s="67" t="s">
        <v>2120</v>
      </c>
      <c r="K182" s="67" t="s">
        <v>2121</v>
      </c>
      <c r="L182">
        <v>1</v>
      </c>
      <c r="M182" t="s">
        <v>8</v>
      </c>
      <c r="N182" t="s">
        <v>8</v>
      </c>
      <c r="O182" t="s">
        <v>8</v>
      </c>
      <c r="P182" t="s">
        <v>8</v>
      </c>
      <c r="Q182" t="s">
        <v>8</v>
      </c>
      <c r="R182" t="s">
        <v>8</v>
      </c>
    </row>
    <row r="183" spans="1:18">
      <c r="A183" s="151" t="s">
        <v>1925</v>
      </c>
      <c r="B183" s="67" t="s">
        <v>2257</v>
      </c>
      <c r="C183" s="152">
        <v>4</v>
      </c>
      <c r="D183" s="67" t="str">
        <f>"0"</f>
        <v>0</v>
      </c>
      <c r="E183" s="67" t="s">
        <v>2300</v>
      </c>
      <c r="F183" s="153">
        <v>4</v>
      </c>
      <c r="G183" s="153" t="s">
        <v>2441</v>
      </c>
      <c r="H183" s="153" t="s">
        <v>2107</v>
      </c>
      <c r="I183" s="67" t="s">
        <v>1835</v>
      </c>
      <c r="J183" s="67" t="s">
        <v>2120</v>
      </c>
      <c r="K183" s="67" t="s">
        <v>2178</v>
      </c>
      <c r="L183">
        <v>4</v>
      </c>
      <c r="M183" t="s">
        <v>8</v>
      </c>
      <c r="N183" t="s">
        <v>8</v>
      </c>
      <c r="O183" t="s">
        <v>8</v>
      </c>
      <c r="P183" t="s">
        <v>8</v>
      </c>
      <c r="Q183" t="s">
        <v>8</v>
      </c>
      <c r="R183" t="s">
        <v>8</v>
      </c>
    </row>
    <row r="184" spans="1:18">
      <c r="A184" s="151" t="s">
        <v>1887</v>
      </c>
      <c r="B184" s="67" t="s">
        <v>2124</v>
      </c>
      <c r="C184" s="152">
        <v>3</v>
      </c>
      <c r="D184" s="67" t="s">
        <v>2285</v>
      </c>
      <c r="E184" s="67" t="s">
        <v>2297</v>
      </c>
      <c r="F184" s="153">
        <v>3</v>
      </c>
      <c r="G184" s="153" t="s">
        <v>2435</v>
      </c>
      <c r="H184" s="153" t="s">
        <v>2107</v>
      </c>
      <c r="I184" s="67" t="s">
        <v>1835</v>
      </c>
      <c r="J184" s="67" t="s">
        <v>2267</v>
      </c>
      <c r="K184" s="67" t="s">
        <v>2167</v>
      </c>
      <c r="L184">
        <v>3</v>
      </c>
      <c r="M184" t="s">
        <v>8</v>
      </c>
      <c r="N184" t="s">
        <v>8</v>
      </c>
      <c r="O184" t="s">
        <v>8</v>
      </c>
      <c r="P184" t="s">
        <v>8</v>
      </c>
      <c r="Q184" t="s">
        <v>8</v>
      </c>
      <c r="R184" t="s">
        <v>8</v>
      </c>
    </row>
    <row r="185" spans="1:18">
      <c r="A185" s="151" t="s">
        <v>2040</v>
      </c>
      <c r="B185" s="67" t="s">
        <v>2124</v>
      </c>
      <c r="C185" s="152">
        <v>7</v>
      </c>
      <c r="D185" s="67" t="s">
        <v>2291</v>
      </c>
      <c r="E185" s="67" t="s">
        <v>2126</v>
      </c>
      <c r="F185" s="153">
        <v>7</v>
      </c>
      <c r="G185" s="153" t="s">
        <v>2465</v>
      </c>
      <c r="H185" s="153" t="s">
        <v>2107</v>
      </c>
      <c r="I185" s="67" t="s">
        <v>1835</v>
      </c>
      <c r="J185" s="67" t="s">
        <v>2267</v>
      </c>
      <c r="K185" s="67" t="s">
        <v>2209</v>
      </c>
      <c r="L185">
        <v>7</v>
      </c>
      <c r="M185" t="s">
        <v>8</v>
      </c>
      <c r="N185" t="s">
        <v>8</v>
      </c>
      <c r="O185" t="s">
        <v>8</v>
      </c>
      <c r="P185" t="s">
        <v>8</v>
      </c>
      <c r="Q185" t="s">
        <v>8</v>
      </c>
      <c r="R185" t="s">
        <v>8</v>
      </c>
    </row>
    <row r="186" spans="1:18">
      <c r="A186" s="151" t="s">
        <v>1926</v>
      </c>
      <c r="B186" s="67" t="s">
        <v>2105</v>
      </c>
      <c r="C186" s="152">
        <v>4</v>
      </c>
      <c r="D186" s="67" t="s">
        <v>1118</v>
      </c>
      <c r="E186" s="67" t="s">
        <v>2299</v>
      </c>
      <c r="F186" s="153">
        <v>4</v>
      </c>
      <c r="G186" s="153" t="s">
        <v>2453</v>
      </c>
      <c r="H186" s="153" t="s">
        <v>2107</v>
      </c>
      <c r="I186" s="67" t="s">
        <v>1835</v>
      </c>
      <c r="J186" s="67" t="s">
        <v>2120</v>
      </c>
      <c r="K186" s="67" t="s">
        <v>2178</v>
      </c>
      <c r="L186">
        <v>4</v>
      </c>
      <c r="M186" t="s">
        <v>8</v>
      </c>
      <c r="N186" t="s">
        <v>8</v>
      </c>
      <c r="O186" t="s">
        <v>8</v>
      </c>
      <c r="P186" t="s">
        <v>8</v>
      </c>
      <c r="Q186" t="s">
        <v>8</v>
      </c>
      <c r="R186" t="s">
        <v>8</v>
      </c>
    </row>
    <row r="187" spans="1:18">
      <c r="A187" s="151" t="s">
        <v>2001</v>
      </c>
      <c r="B187" s="67" t="s">
        <v>2248</v>
      </c>
      <c r="C187" s="152">
        <v>6</v>
      </c>
      <c r="D187" s="67" t="s">
        <v>1118</v>
      </c>
      <c r="E187" s="67" t="s">
        <v>2114</v>
      </c>
      <c r="F187" s="153">
        <v>6</v>
      </c>
      <c r="G187" s="153" t="s">
        <v>3715</v>
      </c>
      <c r="H187" s="153" t="s">
        <v>2107</v>
      </c>
      <c r="I187" s="67" t="s">
        <v>1835</v>
      </c>
      <c r="J187" s="67" t="s">
        <v>2120</v>
      </c>
      <c r="K187" s="67" t="s">
        <v>2198</v>
      </c>
      <c r="L187">
        <v>6</v>
      </c>
      <c r="M187" t="s">
        <v>8</v>
      </c>
      <c r="N187" t="s">
        <v>8</v>
      </c>
      <c r="O187" t="s">
        <v>8</v>
      </c>
      <c r="P187" t="s">
        <v>8</v>
      </c>
      <c r="Q187" t="s">
        <v>8</v>
      </c>
      <c r="R187" t="s">
        <v>8</v>
      </c>
    </row>
    <row r="188" spans="1:18">
      <c r="A188" s="151" t="s">
        <v>1963</v>
      </c>
      <c r="B188" s="67" t="s">
        <v>2105</v>
      </c>
      <c r="C188" s="152">
        <v>5</v>
      </c>
      <c r="D188" s="67" t="str">
        <f>"0"</f>
        <v>0</v>
      </c>
      <c r="E188" s="67" t="s">
        <v>2271</v>
      </c>
      <c r="F188" s="153">
        <v>5</v>
      </c>
      <c r="G188" s="153" t="s">
        <v>2451</v>
      </c>
      <c r="H188" s="153" t="s">
        <v>2107</v>
      </c>
      <c r="I188" s="67" t="s">
        <v>1835</v>
      </c>
      <c r="J188" s="67" t="s">
        <v>2120</v>
      </c>
      <c r="K188" s="67" t="s">
        <v>2187</v>
      </c>
      <c r="L188">
        <v>5</v>
      </c>
      <c r="M188" t="s">
        <v>8</v>
      </c>
      <c r="N188" t="s">
        <v>8</v>
      </c>
      <c r="O188" t="s">
        <v>8</v>
      </c>
      <c r="P188" t="s">
        <v>8</v>
      </c>
      <c r="Q188" t="s">
        <v>8</v>
      </c>
      <c r="R188" t="s">
        <v>8</v>
      </c>
    </row>
    <row r="189" spans="1:18">
      <c r="A189" s="151" t="s">
        <v>1888</v>
      </c>
      <c r="B189" s="67" t="s">
        <v>2105</v>
      </c>
      <c r="C189" s="152">
        <v>3</v>
      </c>
      <c r="D189" s="67" t="str">
        <f>"0"</f>
        <v>0</v>
      </c>
      <c r="E189" s="67" t="s">
        <v>2312</v>
      </c>
      <c r="F189" s="153">
        <v>3</v>
      </c>
      <c r="G189" s="153" t="s">
        <v>2436</v>
      </c>
      <c r="H189" s="153" t="s">
        <v>2107</v>
      </c>
      <c r="I189" s="67" t="s">
        <v>1835</v>
      </c>
      <c r="J189" s="67" t="s">
        <v>2120</v>
      </c>
      <c r="K189" s="67" t="s">
        <v>2167</v>
      </c>
      <c r="L189">
        <v>3</v>
      </c>
      <c r="M189" t="s">
        <v>8</v>
      </c>
      <c r="N189" t="s">
        <v>8</v>
      </c>
      <c r="O189" t="s">
        <v>8</v>
      </c>
      <c r="P189" t="s">
        <v>8</v>
      </c>
      <c r="Q189" t="s">
        <v>8</v>
      </c>
      <c r="R189" t="s">
        <v>8</v>
      </c>
    </row>
    <row r="190" spans="1:18">
      <c r="A190" s="151" t="s">
        <v>2041</v>
      </c>
      <c r="B190" s="67" t="s">
        <v>2124</v>
      </c>
      <c r="C190" s="152">
        <v>7</v>
      </c>
      <c r="D190" s="67" t="s">
        <v>2292</v>
      </c>
      <c r="E190" s="67" t="s">
        <v>2329</v>
      </c>
      <c r="F190" s="157" t="s">
        <v>2427</v>
      </c>
      <c r="G190" s="153" t="s">
        <v>3705</v>
      </c>
      <c r="H190" s="153" t="s">
        <v>2265</v>
      </c>
      <c r="I190" s="67" t="s">
        <v>1835</v>
      </c>
      <c r="J190" s="67" t="s">
        <v>2120</v>
      </c>
      <c r="K190" s="67" t="s">
        <v>2209</v>
      </c>
      <c r="L190">
        <v>7</v>
      </c>
      <c r="M190" t="s">
        <v>8</v>
      </c>
      <c r="N190" t="s">
        <v>8</v>
      </c>
      <c r="O190" t="s">
        <v>8</v>
      </c>
      <c r="P190" t="s">
        <v>8</v>
      </c>
      <c r="Q190" t="s">
        <v>8</v>
      </c>
      <c r="R190" t="s">
        <v>8</v>
      </c>
    </row>
    <row r="191" spans="1:18">
      <c r="A191" s="151" t="s">
        <v>1889</v>
      </c>
      <c r="B191" s="67" t="s">
        <v>2123</v>
      </c>
      <c r="C191" s="152">
        <v>3</v>
      </c>
      <c r="D191" s="67" t="s">
        <v>2122</v>
      </c>
      <c r="E191" s="67" t="s">
        <v>2129</v>
      </c>
      <c r="F191" s="153" t="s">
        <v>270</v>
      </c>
      <c r="G191" s="153" t="s">
        <v>2127</v>
      </c>
      <c r="H191" s="153" t="s">
        <v>2107</v>
      </c>
      <c r="I191" s="67" t="s">
        <v>1835</v>
      </c>
      <c r="J191" s="67" t="s">
        <v>270</v>
      </c>
      <c r="K191" s="67" t="s">
        <v>2168</v>
      </c>
      <c r="L191">
        <v>3</v>
      </c>
      <c r="M191" t="s">
        <v>8</v>
      </c>
      <c r="N191" t="s">
        <v>8</v>
      </c>
      <c r="O191" t="s">
        <v>8</v>
      </c>
      <c r="P191" t="s">
        <v>8</v>
      </c>
      <c r="Q191" t="s">
        <v>8</v>
      </c>
      <c r="R191" t="s">
        <v>8</v>
      </c>
    </row>
    <row r="192" spans="1:18">
      <c r="A192" s="151" t="s">
        <v>1826</v>
      </c>
      <c r="B192" s="67" t="s">
        <v>2123</v>
      </c>
      <c r="C192" s="152">
        <v>2</v>
      </c>
      <c r="D192" s="67" t="s">
        <v>2279</v>
      </c>
      <c r="E192" s="67" t="s">
        <v>2126</v>
      </c>
      <c r="F192" s="153">
        <v>2</v>
      </c>
      <c r="G192" s="67" t="s">
        <v>2127</v>
      </c>
      <c r="H192" s="153" t="s">
        <v>2151</v>
      </c>
      <c r="I192" s="67" t="s">
        <v>1835</v>
      </c>
      <c r="J192" s="67" t="s">
        <v>2108</v>
      </c>
      <c r="K192" s="67" t="s">
        <v>2158</v>
      </c>
      <c r="L192">
        <v>2</v>
      </c>
      <c r="M192" t="s">
        <v>8</v>
      </c>
      <c r="N192" t="s">
        <v>8</v>
      </c>
      <c r="O192" t="s">
        <v>8</v>
      </c>
      <c r="P192" t="s">
        <v>8</v>
      </c>
      <c r="Q192" t="s">
        <v>8</v>
      </c>
      <c r="R192" t="s">
        <v>8</v>
      </c>
    </row>
    <row r="193" spans="1:18">
      <c r="A193" s="151" t="s">
        <v>2002</v>
      </c>
      <c r="B193" s="67" t="s">
        <v>2124</v>
      </c>
      <c r="C193" s="152">
        <v>6</v>
      </c>
      <c r="D193" s="67" t="s">
        <v>2290</v>
      </c>
      <c r="E193" s="67" t="s">
        <v>2297</v>
      </c>
      <c r="F193" s="153">
        <v>5</v>
      </c>
      <c r="G193" s="153" t="s">
        <v>2126</v>
      </c>
      <c r="H193" s="153" t="s">
        <v>2107</v>
      </c>
      <c r="I193" s="67" t="s">
        <v>1835</v>
      </c>
      <c r="J193" s="67" t="s">
        <v>2267</v>
      </c>
      <c r="K193" s="67" t="s">
        <v>2199</v>
      </c>
      <c r="L193">
        <v>6</v>
      </c>
      <c r="M193" t="s">
        <v>8</v>
      </c>
      <c r="N193" t="s">
        <v>8</v>
      </c>
      <c r="O193" t="s">
        <v>8</v>
      </c>
      <c r="P193" t="s">
        <v>8</v>
      </c>
      <c r="Q193" t="s">
        <v>8</v>
      </c>
      <c r="R193" t="s">
        <v>8</v>
      </c>
    </row>
    <row r="194" spans="1:18">
      <c r="A194" s="151" t="s">
        <v>1788</v>
      </c>
      <c r="B194" s="67" t="s">
        <v>2123</v>
      </c>
      <c r="C194" s="152">
        <v>1</v>
      </c>
      <c r="D194" s="67" t="str">
        <f>"0"</f>
        <v>0</v>
      </c>
      <c r="E194" s="67" t="s">
        <v>2130</v>
      </c>
      <c r="F194" s="67">
        <v>1</v>
      </c>
      <c r="G194" s="67" t="s">
        <v>2131</v>
      </c>
      <c r="H194" s="67" t="s">
        <v>2110</v>
      </c>
      <c r="I194" s="67" t="s">
        <v>1835</v>
      </c>
      <c r="J194" s="67" t="s">
        <v>2120</v>
      </c>
      <c r="K194" s="67" t="s">
        <v>2121</v>
      </c>
      <c r="L194">
        <v>1</v>
      </c>
      <c r="M194" t="s">
        <v>8</v>
      </c>
      <c r="N194" t="s">
        <v>8</v>
      </c>
      <c r="O194" t="s">
        <v>8</v>
      </c>
      <c r="P194" t="s">
        <v>8</v>
      </c>
      <c r="Q194" t="s">
        <v>8</v>
      </c>
      <c r="R194" t="s">
        <v>8</v>
      </c>
    </row>
    <row r="195" spans="1:18">
      <c r="A195" s="151" t="s">
        <v>2089</v>
      </c>
      <c r="B195" s="67" t="s">
        <v>2105</v>
      </c>
      <c r="C195" s="152">
        <v>9</v>
      </c>
      <c r="D195" s="67" t="str">
        <f>"0"</f>
        <v>0</v>
      </c>
      <c r="E195" s="67" t="s">
        <v>2271</v>
      </c>
      <c r="F195" s="153">
        <v>9</v>
      </c>
      <c r="G195" s="153" t="s">
        <v>2454</v>
      </c>
      <c r="H195" s="153" t="s">
        <v>2107</v>
      </c>
      <c r="I195" s="67" t="s">
        <v>1835</v>
      </c>
      <c r="J195" s="67" t="s">
        <v>2120</v>
      </c>
      <c r="K195" s="67" t="s">
        <v>2223</v>
      </c>
      <c r="L195">
        <v>9</v>
      </c>
      <c r="M195" t="s">
        <v>8</v>
      </c>
      <c r="N195" t="s">
        <v>8</v>
      </c>
      <c r="O195" t="s">
        <v>8</v>
      </c>
      <c r="P195" t="s">
        <v>8</v>
      </c>
      <c r="Q195" t="s">
        <v>8</v>
      </c>
      <c r="R195" t="s">
        <v>8</v>
      </c>
    </row>
    <row r="196" spans="1:18">
      <c r="A196" s="151" t="s">
        <v>1964</v>
      </c>
      <c r="B196" s="67" t="s">
        <v>2112</v>
      </c>
      <c r="C196" s="152">
        <v>5</v>
      </c>
      <c r="D196" s="67" t="s">
        <v>2117</v>
      </c>
      <c r="E196" s="67" t="s">
        <v>2148</v>
      </c>
      <c r="F196" s="153">
        <v>5</v>
      </c>
      <c r="G196" s="153" t="s">
        <v>3716</v>
      </c>
      <c r="H196" s="153" t="s">
        <v>2107</v>
      </c>
      <c r="I196" s="67" t="s">
        <v>1835</v>
      </c>
      <c r="J196" s="67" t="s">
        <v>270</v>
      </c>
      <c r="K196" s="67" t="s">
        <v>2188</v>
      </c>
      <c r="L196">
        <v>5</v>
      </c>
      <c r="M196" t="s">
        <v>8</v>
      </c>
      <c r="N196" t="s">
        <v>8</v>
      </c>
      <c r="O196" t="s">
        <v>8</v>
      </c>
      <c r="P196" t="s">
        <v>8</v>
      </c>
      <c r="Q196" t="s">
        <v>8</v>
      </c>
      <c r="R196" t="s">
        <v>8</v>
      </c>
    </row>
    <row r="197" spans="1:18">
      <c r="A197" s="151" t="s">
        <v>1928</v>
      </c>
      <c r="B197" s="67" t="s">
        <v>2112</v>
      </c>
      <c r="C197" s="152">
        <v>4</v>
      </c>
      <c r="D197" s="67" t="s">
        <v>1109</v>
      </c>
      <c r="E197" s="67" t="s">
        <v>2116</v>
      </c>
      <c r="F197" s="153">
        <v>4</v>
      </c>
      <c r="G197" s="153" t="s">
        <v>2417</v>
      </c>
      <c r="H197" s="153" t="s">
        <v>2107</v>
      </c>
      <c r="I197" s="67" t="s">
        <v>1835</v>
      </c>
      <c r="J197" s="67" t="s">
        <v>2108</v>
      </c>
      <c r="K197" s="67" t="s">
        <v>2178</v>
      </c>
      <c r="L197">
        <v>4</v>
      </c>
      <c r="M197" t="s">
        <v>8</v>
      </c>
      <c r="N197" t="s">
        <v>8</v>
      </c>
      <c r="O197" t="s">
        <v>8</v>
      </c>
      <c r="P197" t="s">
        <v>8</v>
      </c>
      <c r="Q197" t="s">
        <v>8</v>
      </c>
      <c r="R197" t="s">
        <v>8</v>
      </c>
    </row>
    <row r="198" spans="1:18">
      <c r="A198" s="151" t="s">
        <v>2066</v>
      </c>
      <c r="B198" s="67" t="s">
        <v>2112</v>
      </c>
      <c r="C198" s="152">
        <v>8</v>
      </c>
      <c r="D198" s="67" t="s">
        <v>2117</v>
      </c>
      <c r="E198" s="67" t="s">
        <v>2126</v>
      </c>
      <c r="F198" s="153">
        <v>8</v>
      </c>
      <c r="G198" s="153" t="s">
        <v>2126</v>
      </c>
      <c r="H198" s="153" t="s">
        <v>2151</v>
      </c>
      <c r="I198" s="67" t="s">
        <v>1835</v>
      </c>
      <c r="J198" s="67" t="s">
        <v>2108</v>
      </c>
      <c r="K198" s="67" t="s">
        <v>2216</v>
      </c>
      <c r="L198">
        <v>8</v>
      </c>
      <c r="M198" t="s">
        <v>8</v>
      </c>
      <c r="N198" t="s">
        <v>8</v>
      </c>
      <c r="O198" t="s">
        <v>8</v>
      </c>
      <c r="P198" t="s">
        <v>8</v>
      </c>
      <c r="Q198" t="s">
        <v>8</v>
      </c>
      <c r="R198" t="s">
        <v>8</v>
      </c>
    </row>
    <row r="199" spans="1:18">
      <c r="A199" s="151" t="s">
        <v>1927</v>
      </c>
      <c r="B199" s="67" t="s">
        <v>2112</v>
      </c>
      <c r="C199" s="152">
        <v>4</v>
      </c>
      <c r="D199" s="67" t="s">
        <v>1113</v>
      </c>
      <c r="E199" s="67" t="s">
        <v>2126</v>
      </c>
      <c r="F199" s="153">
        <v>4</v>
      </c>
      <c r="G199" s="153" t="s">
        <v>2464</v>
      </c>
      <c r="H199" s="153" t="s">
        <v>2110</v>
      </c>
      <c r="I199" s="67" t="s">
        <v>1835</v>
      </c>
      <c r="J199" s="67" t="s">
        <v>2108</v>
      </c>
      <c r="K199" s="67" t="s">
        <v>2178</v>
      </c>
      <c r="L199">
        <v>4</v>
      </c>
      <c r="M199" t="s">
        <v>8</v>
      </c>
      <c r="N199" t="s">
        <v>8</v>
      </c>
      <c r="O199" t="s">
        <v>8</v>
      </c>
      <c r="P199" t="s">
        <v>8</v>
      </c>
      <c r="Q199" t="s">
        <v>8</v>
      </c>
      <c r="R199" t="s">
        <v>8</v>
      </c>
    </row>
    <row r="200" spans="1:18">
      <c r="A200" s="151" t="s">
        <v>1789</v>
      </c>
      <c r="B200" s="67" t="s">
        <v>2112</v>
      </c>
      <c r="C200" s="152">
        <v>1</v>
      </c>
      <c r="D200" s="67" t="s">
        <v>2128</v>
      </c>
      <c r="E200" s="67" t="s">
        <v>2126</v>
      </c>
      <c r="F200" s="67">
        <v>1</v>
      </c>
      <c r="G200" s="67" t="s">
        <v>2132</v>
      </c>
      <c r="H200" s="67" t="s">
        <v>2110</v>
      </c>
      <c r="I200" s="67" t="s">
        <v>1835</v>
      </c>
      <c r="J200" s="67" t="s">
        <v>2108</v>
      </c>
      <c r="K200" s="67" t="s">
        <v>2121</v>
      </c>
      <c r="L200">
        <v>1</v>
      </c>
      <c r="M200" t="s">
        <v>8</v>
      </c>
      <c r="N200" t="s">
        <v>8</v>
      </c>
      <c r="O200" t="s">
        <v>8</v>
      </c>
      <c r="P200" t="s">
        <v>8</v>
      </c>
      <c r="Q200" t="s">
        <v>8</v>
      </c>
      <c r="R200" t="s">
        <v>8</v>
      </c>
    </row>
    <row r="201" spans="1:18">
      <c r="A201" s="151" t="s">
        <v>2042</v>
      </c>
      <c r="B201" s="67" t="s">
        <v>2112</v>
      </c>
      <c r="C201" s="152">
        <v>7</v>
      </c>
      <c r="D201" s="67" t="s">
        <v>1118</v>
      </c>
      <c r="E201" s="67" t="s">
        <v>2142</v>
      </c>
      <c r="F201" s="153" t="s">
        <v>1740</v>
      </c>
      <c r="G201" s="153" t="s">
        <v>2126</v>
      </c>
      <c r="H201" s="153" t="s">
        <v>2107</v>
      </c>
      <c r="I201" s="67" t="s">
        <v>1835</v>
      </c>
      <c r="J201" s="67" t="s">
        <v>2108</v>
      </c>
      <c r="K201" s="67" t="s">
        <v>2210</v>
      </c>
      <c r="L201">
        <v>7</v>
      </c>
      <c r="M201" t="s">
        <v>8</v>
      </c>
      <c r="N201" t="s">
        <v>8</v>
      </c>
      <c r="O201" t="s">
        <v>8</v>
      </c>
      <c r="P201" t="s">
        <v>8</v>
      </c>
      <c r="Q201" t="s">
        <v>8</v>
      </c>
      <c r="R201" t="s">
        <v>8</v>
      </c>
    </row>
    <row r="202" spans="1:18">
      <c r="A202" s="151" t="s">
        <v>1070</v>
      </c>
      <c r="B202" s="67" t="s">
        <v>2135</v>
      </c>
      <c r="C202" s="152">
        <v>3</v>
      </c>
      <c r="D202" s="67" t="s">
        <v>2126</v>
      </c>
      <c r="E202" s="67" t="s">
        <v>2148</v>
      </c>
      <c r="F202" s="153">
        <v>3</v>
      </c>
      <c r="G202" s="153" t="s">
        <v>2126</v>
      </c>
      <c r="H202" s="153" t="s">
        <v>2107</v>
      </c>
      <c r="I202" s="67" t="s">
        <v>1835</v>
      </c>
      <c r="J202" s="67" t="s">
        <v>2120</v>
      </c>
      <c r="K202" s="67" t="s">
        <v>2168</v>
      </c>
      <c r="L202">
        <v>3</v>
      </c>
      <c r="M202" t="s">
        <v>8</v>
      </c>
      <c r="N202" t="s">
        <v>8</v>
      </c>
      <c r="O202" t="s">
        <v>8</v>
      </c>
      <c r="P202" t="s">
        <v>8</v>
      </c>
      <c r="Q202" t="s">
        <v>8</v>
      </c>
      <c r="R202" t="s">
        <v>8</v>
      </c>
    </row>
    <row r="203" spans="1:18">
      <c r="A203" s="151" t="s">
        <v>1071</v>
      </c>
      <c r="B203" s="67" t="s">
        <v>2135</v>
      </c>
      <c r="C203" s="152">
        <v>3</v>
      </c>
      <c r="D203" s="67" t="s">
        <v>2126</v>
      </c>
      <c r="E203" s="67" t="s">
        <v>2148</v>
      </c>
      <c r="F203" s="153">
        <v>3</v>
      </c>
      <c r="G203" s="153" t="s">
        <v>2126</v>
      </c>
      <c r="H203" s="153" t="s">
        <v>2107</v>
      </c>
      <c r="I203" s="67" t="s">
        <v>1835</v>
      </c>
      <c r="J203" s="67" t="s">
        <v>2120</v>
      </c>
      <c r="K203" s="67" t="s">
        <v>2168</v>
      </c>
      <c r="L203">
        <v>3</v>
      </c>
      <c r="M203" t="s">
        <v>8</v>
      </c>
      <c r="N203" t="s">
        <v>8</v>
      </c>
      <c r="O203" t="s">
        <v>8</v>
      </c>
      <c r="P203" t="s">
        <v>8</v>
      </c>
      <c r="Q203" t="s">
        <v>8</v>
      </c>
      <c r="R203" t="s">
        <v>8</v>
      </c>
    </row>
    <row r="204" spans="1:18">
      <c r="A204" s="151" t="s">
        <v>1892</v>
      </c>
      <c r="B204" s="67" t="s">
        <v>2105</v>
      </c>
      <c r="C204" s="152">
        <v>3</v>
      </c>
      <c r="D204" s="67" t="str">
        <f>"0"</f>
        <v>0</v>
      </c>
      <c r="E204" s="67" t="s">
        <v>2148</v>
      </c>
      <c r="F204" s="153">
        <v>1</v>
      </c>
      <c r="G204" s="153" t="s">
        <v>2454</v>
      </c>
      <c r="H204" s="153" t="s">
        <v>2110</v>
      </c>
      <c r="I204" s="67" t="s">
        <v>1835</v>
      </c>
      <c r="J204" s="67" t="s">
        <v>2120</v>
      </c>
      <c r="K204" s="67" t="s">
        <v>2168</v>
      </c>
      <c r="L204">
        <v>3</v>
      </c>
      <c r="M204" t="s">
        <v>8</v>
      </c>
      <c r="N204" t="s">
        <v>8</v>
      </c>
      <c r="O204" t="s">
        <v>8</v>
      </c>
      <c r="P204" t="s">
        <v>8</v>
      </c>
      <c r="Q204" t="s">
        <v>8</v>
      </c>
      <c r="R204" t="s">
        <v>8</v>
      </c>
    </row>
    <row r="205" spans="1:18">
      <c r="A205" s="151" t="s">
        <v>2067</v>
      </c>
      <c r="B205" s="67" t="s">
        <v>2231</v>
      </c>
      <c r="C205" s="152">
        <v>8</v>
      </c>
      <c r="D205" s="67" t="s">
        <v>2122</v>
      </c>
      <c r="E205" s="67" t="s">
        <v>2142</v>
      </c>
      <c r="F205" s="153" t="s">
        <v>1740</v>
      </c>
      <c r="G205" s="153" t="s">
        <v>2126</v>
      </c>
      <c r="H205" s="153" t="s">
        <v>2107</v>
      </c>
      <c r="I205" s="67" t="s">
        <v>1835</v>
      </c>
      <c r="J205" s="67" t="s">
        <v>2120</v>
      </c>
      <c r="K205" s="67" t="s">
        <v>2216</v>
      </c>
      <c r="L205">
        <v>8</v>
      </c>
      <c r="M205" t="s">
        <v>8</v>
      </c>
      <c r="N205" t="s">
        <v>8</v>
      </c>
      <c r="O205" t="s">
        <v>8</v>
      </c>
      <c r="P205" t="s">
        <v>8</v>
      </c>
      <c r="Q205" t="s">
        <v>8</v>
      </c>
      <c r="R205" t="s">
        <v>8</v>
      </c>
    </row>
    <row r="206" spans="1:18">
      <c r="A206" s="151" t="s">
        <v>1965</v>
      </c>
      <c r="B206" s="67" t="s">
        <v>2256</v>
      </c>
      <c r="C206" s="152">
        <v>5</v>
      </c>
      <c r="D206" s="67" t="s">
        <v>2126</v>
      </c>
      <c r="E206" s="67" t="s">
        <v>2322</v>
      </c>
      <c r="F206" s="153" t="s">
        <v>1740</v>
      </c>
      <c r="G206" s="153" t="s">
        <v>2457</v>
      </c>
      <c r="H206" s="153" t="s">
        <v>2107</v>
      </c>
      <c r="I206" s="67" t="s">
        <v>1835</v>
      </c>
      <c r="J206" s="67" t="s">
        <v>2120</v>
      </c>
      <c r="K206" s="67" t="s">
        <v>2188</v>
      </c>
      <c r="L206">
        <v>5</v>
      </c>
      <c r="M206" t="s">
        <v>8</v>
      </c>
      <c r="N206" t="s">
        <v>8</v>
      </c>
      <c r="O206" t="s">
        <v>8</v>
      </c>
      <c r="P206" t="s">
        <v>8</v>
      </c>
      <c r="Q206" t="s">
        <v>8</v>
      </c>
      <c r="R206" t="s">
        <v>8</v>
      </c>
    </row>
    <row r="207" spans="1:18">
      <c r="A207" s="151" t="s">
        <v>1790</v>
      </c>
      <c r="B207" s="67" t="s">
        <v>2105</v>
      </c>
      <c r="C207" s="152">
        <v>1</v>
      </c>
      <c r="D207" s="67" t="s">
        <v>2122</v>
      </c>
      <c r="E207" s="67" t="s">
        <v>2115</v>
      </c>
      <c r="F207" s="67" t="s">
        <v>2111</v>
      </c>
      <c r="G207" s="67" t="s">
        <v>2106</v>
      </c>
      <c r="H207" s="67" t="s">
        <v>2107</v>
      </c>
      <c r="I207" s="67" t="s">
        <v>1834</v>
      </c>
      <c r="J207" s="67" t="s">
        <v>2120</v>
      </c>
      <c r="K207" s="67" t="s">
        <v>2133</v>
      </c>
      <c r="L207">
        <v>1</v>
      </c>
      <c r="M207" t="s">
        <v>8</v>
      </c>
      <c r="N207" t="s">
        <v>8</v>
      </c>
      <c r="O207" t="s">
        <v>8</v>
      </c>
      <c r="P207" t="s">
        <v>8</v>
      </c>
      <c r="Q207" t="s">
        <v>8</v>
      </c>
      <c r="R207" t="s">
        <v>8</v>
      </c>
    </row>
    <row r="208" spans="1:18">
      <c r="A208" s="151" t="s">
        <v>1966</v>
      </c>
      <c r="B208" s="67" t="s">
        <v>2124</v>
      </c>
      <c r="C208" s="152">
        <v>5</v>
      </c>
      <c r="D208" s="67" t="str">
        <f>"0"</f>
        <v>0</v>
      </c>
      <c r="E208" s="67" t="s">
        <v>2297</v>
      </c>
      <c r="F208" s="153">
        <v>5</v>
      </c>
      <c r="G208" s="153" t="s">
        <v>2126</v>
      </c>
      <c r="H208" s="153" t="s">
        <v>2107</v>
      </c>
      <c r="I208" s="67" t="s">
        <v>1835</v>
      </c>
      <c r="J208" s="67" t="s">
        <v>2267</v>
      </c>
      <c r="K208" s="67" t="s">
        <v>2189</v>
      </c>
      <c r="L208">
        <v>5</v>
      </c>
      <c r="M208" t="s">
        <v>8</v>
      </c>
      <c r="N208" t="s">
        <v>8</v>
      </c>
      <c r="O208" t="s">
        <v>8</v>
      </c>
      <c r="P208" t="s">
        <v>8</v>
      </c>
      <c r="Q208" t="s">
        <v>8</v>
      </c>
      <c r="R208" t="s">
        <v>8</v>
      </c>
    </row>
    <row r="209" spans="1:18">
      <c r="A209" s="151" t="s">
        <v>1929</v>
      </c>
      <c r="B209" s="67" t="s">
        <v>2112</v>
      </c>
      <c r="C209" s="152">
        <v>4</v>
      </c>
      <c r="D209" s="67" t="s">
        <v>2128</v>
      </c>
      <c r="E209" s="67" t="s">
        <v>2300</v>
      </c>
      <c r="F209" s="153">
        <v>4</v>
      </c>
      <c r="G209" s="153" t="s">
        <v>3717</v>
      </c>
      <c r="H209" s="153" t="s">
        <v>2107</v>
      </c>
      <c r="I209" s="67" t="s">
        <v>1835</v>
      </c>
      <c r="J209" s="67" t="s">
        <v>270</v>
      </c>
      <c r="K209" s="67" t="s">
        <v>2179</v>
      </c>
      <c r="L209">
        <v>4</v>
      </c>
      <c r="M209" t="s">
        <v>8</v>
      </c>
      <c r="N209" t="s">
        <v>8</v>
      </c>
      <c r="O209" t="s">
        <v>8</v>
      </c>
      <c r="P209" t="s">
        <v>8</v>
      </c>
      <c r="Q209" t="s">
        <v>8</v>
      </c>
      <c r="R209" t="s">
        <v>8</v>
      </c>
    </row>
    <row r="210" spans="1:18">
      <c r="A210" s="151" t="s">
        <v>2004</v>
      </c>
      <c r="B210" s="67" t="s">
        <v>2003</v>
      </c>
      <c r="C210" s="152">
        <v>6</v>
      </c>
      <c r="D210" s="67" t="s">
        <v>1118</v>
      </c>
      <c r="E210" s="67" t="s">
        <v>2148</v>
      </c>
      <c r="F210" s="153">
        <v>6</v>
      </c>
      <c r="G210" s="153" t="s">
        <v>2126</v>
      </c>
      <c r="H210" s="153" t="s">
        <v>2110</v>
      </c>
      <c r="I210" s="67" t="s">
        <v>1835</v>
      </c>
      <c r="J210" s="67" t="s">
        <v>2120</v>
      </c>
      <c r="K210" s="67" t="s">
        <v>2199</v>
      </c>
      <c r="L210">
        <v>6</v>
      </c>
      <c r="M210" t="s">
        <v>8</v>
      </c>
      <c r="N210" t="s">
        <v>8</v>
      </c>
      <c r="O210" t="s">
        <v>8</v>
      </c>
      <c r="P210" t="s">
        <v>8</v>
      </c>
      <c r="Q210" t="s">
        <v>8</v>
      </c>
      <c r="R210" t="s">
        <v>8</v>
      </c>
    </row>
    <row r="211" spans="1:18">
      <c r="A211" s="151" t="s">
        <v>1893</v>
      </c>
      <c r="B211" s="67" t="s">
        <v>2003</v>
      </c>
      <c r="C211" s="152">
        <v>3</v>
      </c>
      <c r="D211" s="67" t="s">
        <v>1118</v>
      </c>
      <c r="E211" s="67" t="s">
        <v>2300</v>
      </c>
      <c r="F211" s="153">
        <v>3</v>
      </c>
      <c r="G211" s="153" t="s">
        <v>2126</v>
      </c>
      <c r="H211" s="153" t="s">
        <v>2107</v>
      </c>
      <c r="I211" s="67" t="s">
        <v>1835</v>
      </c>
      <c r="J211" s="67" t="s">
        <v>2120</v>
      </c>
      <c r="K211" s="67" t="s">
        <v>2169</v>
      </c>
      <c r="L211">
        <v>3</v>
      </c>
      <c r="M211" t="s">
        <v>8</v>
      </c>
      <c r="N211" t="s">
        <v>8</v>
      </c>
      <c r="O211" t="s">
        <v>8</v>
      </c>
      <c r="P211" t="s">
        <v>8</v>
      </c>
      <c r="Q211" t="s">
        <v>8</v>
      </c>
      <c r="R211" t="s">
        <v>8</v>
      </c>
    </row>
    <row r="212" spans="1:18">
      <c r="A212" s="151" t="s">
        <v>1930</v>
      </c>
      <c r="B212" s="67" t="s">
        <v>2003</v>
      </c>
      <c r="C212" s="152">
        <v>4</v>
      </c>
      <c r="D212" s="67" t="s">
        <v>1121</v>
      </c>
      <c r="E212" s="67" t="s">
        <v>2149</v>
      </c>
      <c r="F212" s="153">
        <v>4</v>
      </c>
      <c r="G212" s="153" t="s">
        <v>2126</v>
      </c>
      <c r="H212" s="153" t="s">
        <v>2107</v>
      </c>
      <c r="I212" s="67" t="s">
        <v>1835</v>
      </c>
      <c r="J212" s="67" t="s">
        <v>2120</v>
      </c>
      <c r="K212" s="67" t="s">
        <v>2179</v>
      </c>
      <c r="L212">
        <v>4</v>
      </c>
      <c r="M212" t="s">
        <v>8</v>
      </c>
      <c r="N212" t="s">
        <v>8</v>
      </c>
      <c r="O212" t="s">
        <v>8</v>
      </c>
      <c r="P212" t="s">
        <v>8</v>
      </c>
      <c r="Q212" t="s">
        <v>8</v>
      </c>
      <c r="R212" t="s">
        <v>8</v>
      </c>
    </row>
    <row r="213" spans="1:18">
      <c r="A213" s="151" t="s">
        <v>1968</v>
      </c>
      <c r="B213" s="67" t="s">
        <v>2003</v>
      </c>
      <c r="C213" s="152">
        <v>5</v>
      </c>
      <c r="D213" s="67" t="s">
        <v>1105</v>
      </c>
      <c r="E213" s="67" t="s">
        <v>2305</v>
      </c>
      <c r="F213" s="153">
        <v>5</v>
      </c>
      <c r="G213" s="153" t="s">
        <v>2126</v>
      </c>
      <c r="H213" s="153" t="s">
        <v>2107</v>
      </c>
      <c r="I213" s="67" t="s">
        <v>1835</v>
      </c>
      <c r="J213" s="67" t="s">
        <v>2120</v>
      </c>
      <c r="K213" s="67" t="s">
        <v>2189</v>
      </c>
      <c r="L213">
        <v>5</v>
      </c>
      <c r="M213" t="s">
        <v>8</v>
      </c>
      <c r="N213" t="s">
        <v>8</v>
      </c>
      <c r="O213" t="s">
        <v>8</v>
      </c>
      <c r="P213" t="s">
        <v>8</v>
      </c>
      <c r="Q213" t="s">
        <v>8</v>
      </c>
      <c r="R213" t="s">
        <v>8</v>
      </c>
    </row>
    <row r="214" spans="1:18">
      <c r="A214" s="151" t="s">
        <v>2005</v>
      </c>
      <c r="B214" s="67" t="s">
        <v>2003</v>
      </c>
      <c r="C214" s="152">
        <v>6</v>
      </c>
      <c r="D214" s="67" t="s">
        <v>1113</v>
      </c>
      <c r="E214" s="67" t="s">
        <v>2324</v>
      </c>
      <c r="F214" s="153">
        <v>6</v>
      </c>
      <c r="G214" s="153" t="s">
        <v>2126</v>
      </c>
      <c r="H214" s="153" t="s">
        <v>2107</v>
      </c>
      <c r="I214" s="67" t="s">
        <v>1835</v>
      </c>
      <c r="J214" s="67" t="s">
        <v>2120</v>
      </c>
      <c r="K214" s="67" t="s">
        <v>2199</v>
      </c>
      <c r="L214">
        <v>6</v>
      </c>
      <c r="M214" t="s">
        <v>8</v>
      </c>
      <c r="N214" t="s">
        <v>8</v>
      </c>
      <c r="O214" t="s">
        <v>8</v>
      </c>
      <c r="P214" t="s">
        <v>8</v>
      </c>
      <c r="Q214" t="s">
        <v>8</v>
      </c>
      <c r="R214" t="s">
        <v>8</v>
      </c>
    </row>
    <row r="215" spans="1:18">
      <c r="A215" s="151" t="s">
        <v>2044</v>
      </c>
      <c r="B215" s="67" t="s">
        <v>2003</v>
      </c>
      <c r="C215" s="152">
        <v>7</v>
      </c>
      <c r="D215" s="67" t="s">
        <v>2294</v>
      </c>
      <c r="E215" s="67" t="s">
        <v>2330</v>
      </c>
      <c r="F215" s="153">
        <v>6</v>
      </c>
      <c r="G215" s="153" t="s">
        <v>2126</v>
      </c>
      <c r="H215" s="153" t="s">
        <v>2107</v>
      </c>
      <c r="I215" s="67" t="s">
        <v>1835</v>
      </c>
      <c r="J215" s="67" t="s">
        <v>2120</v>
      </c>
      <c r="K215" s="67" t="s">
        <v>2210</v>
      </c>
      <c r="L215">
        <v>7</v>
      </c>
      <c r="M215" t="s">
        <v>8</v>
      </c>
      <c r="N215" t="s">
        <v>8</v>
      </c>
      <c r="O215" t="s">
        <v>8</v>
      </c>
      <c r="P215" t="s">
        <v>8</v>
      </c>
      <c r="Q215" t="s">
        <v>8</v>
      </c>
      <c r="R215" t="s">
        <v>8</v>
      </c>
    </row>
    <row r="216" spans="1:18">
      <c r="A216" s="151" t="s">
        <v>2068</v>
      </c>
      <c r="B216" s="67" t="s">
        <v>2003</v>
      </c>
      <c r="C216" s="152">
        <v>8</v>
      </c>
      <c r="D216" s="67" t="s">
        <v>1383</v>
      </c>
      <c r="E216" s="67" t="s">
        <v>2337</v>
      </c>
      <c r="F216" s="153">
        <v>8</v>
      </c>
      <c r="G216" s="153" t="s">
        <v>2126</v>
      </c>
      <c r="H216" s="153" t="s">
        <v>2107</v>
      </c>
      <c r="I216" s="67" t="s">
        <v>1835</v>
      </c>
      <c r="J216" s="67" t="s">
        <v>2120</v>
      </c>
      <c r="K216" s="67" t="s">
        <v>2216</v>
      </c>
      <c r="L216">
        <v>8</v>
      </c>
      <c r="M216" t="s">
        <v>8</v>
      </c>
      <c r="N216" t="s">
        <v>8</v>
      </c>
      <c r="O216" t="s">
        <v>8</v>
      </c>
      <c r="P216" t="s">
        <v>8</v>
      </c>
      <c r="Q216" t="s">
        <v>8</v>
      </c>
      <c r="R216" t="s">
        <v>8</v>
      </c>
    </row>
    <row r="217" spans="1:18">
      <c r="A217" s="151" t="s">
        <v>2090</v>
      </c>
      <c r="B217" s="67" t="s">
        <v>2003</v>
      </c>
      <c r="C217" s="152">
        <v>9</v>
      </c>
      <c r="D217" s="67" t="s">
        <v>2295</v>
      </c>
      <c r="E217" s="67" t="s">
        <v>2341</v>
      </c>
      <c r="F217" s="153">
        <v>9</v>
      </c>
      <c r="G217" s="153" t="s">
        <v>2126</v>
      </c>
      <c r="H217" s="153" t="s">
        <v>2107</v>
      </c>
      <c r="I217" s="67" t="s">
        <v>1835</v>
      </c>
      <c r="J217" s="67" t="s">
        <v>2120</v>
      </c>
      <c r="K217" s="67" t="s">
        <v>2224</v>
      </c>
      <c r="L217">
        <v>9</v>
      </c>
      <c r="M217" t="s">
        <v>8</v>
      </c>
      <c r="N217" t="s">
        <v>8</v>
      </c>
      <c r="O217" t="s">
        <v>8</v>
      </c>
      <c r="P217" t="s">
        <v>8</v>
      </c>
      <c r="Q217" t="s">
        <v>8</v>
      </c>
      <c r="R217" t="s">
        <v>8</v>
      </c>
    </row>
    <row r="218" spans="1:18">
      <c r="A218" s="151" t="s">
        <v>1967</v>
      </c>
      <c r="B218" s="67" t="s">
        <v>2003</v>
      </c>
      <c r="C218" s="152">
        <v>5</v>
      </c>
      <c r="D218" s="67" t="s">
        <v>1113</v>
      </c>
      <c r="E218" s="67" t="s">
        <v>2271</v>
      </c>
      <c r="F218" s="153" t="s">
        <v>1740</v>
      </c>
      <c r="G218" s="153" t="s">
        <v>2126</v>
      </c>
      <c r="H218" s="153" t="s">
        <v>2107</v>
      </c>
      <c r="I218" s="67" t="s">
        <v>1835</v>
      </c>
      <c r="J218" s="67" t="s">
        <v>2120</v>
      </c>
      <c r="K218" s="67" t="s">
        <v>2189</v>
      </c>
      <c r="L218">
        <v>5</v>
      </c>
      <c r="M218" t="s">
        <v>8</v>
      </c>
      <c r="N218" t="s">
        <v>8</v>
      </c>
      <c r="O218" t="s">
        <v>8</v>
      </c>
      <c r="P218" t="s">
        <v>8</v>
      </c>
      <c r="Q218" t="s">
        <v>8</v>
      </c>
      <c r="R218" t="s">
        <v>8</v>
      </c>
    </row>
    <row r="219" spans="1:18">
      <c r="A219" s="151" t="s">
        <v>1969</v>
      </c>
      <c r="B219" s="67" t="s">
        <v>2003</v>
      </c>
      <c r="C219" s="152">
        <v>5</v>
      </c>
      <c r="D219" s="67" t="s">
        <v>1109</v>
      </c>
      <c r="E219" s="67" t="s">
        <v>2270</v>
      </c>
      <c r="F219" s="153">
        <v>5</v>
      </c>
      <c r="G219" s="153" t="s">
        <v>3718</v>
      </c>
      <c r="H219" s="153" t="s">
        <v>2107</v>
      </c>
      <c r="I219" s="67" t="s">
        <v>1835</v>
      </c>
      <c r="J219" s="67" t="s">
        <v>2120</v>
      </c>
      <c r="K219" s="67" t="s">
        <v>2189</v>
      </c>
      <c r="L219">
        <v>5</v>
      </c>
      <c r="M219" t="s">
        <v>8</v>
      </c>
      <c r="N219" t="s">
        <v>8</v>
      </c>
      <c r="O219" t="s">
        <v>8</v>
      </c>
      <c r="P219" t="s">
        <v>8</v>
      </c>
      <c r="Q219" t="s">
        <v>8</v>
      </c>
      <c r="R219" t="s">
        <v>8</v>
      </c>
    </row>
    <row r="220" spans="1:18">
      <c r="A220" s="151" t="s">
        <v>1827</v>
      </c>
      <c r="B220" s="67" t="s">
        <v>2003</v>
      </c>
      <c r="C220" s="152">
        <v>2</v>
      </c>
      <c r="D220" s="67" t="s">
        <v>1113</v>
      </c>
      <c r="E220" s="67" t="s">
        <v>2126</v>
      </c>
      <c r="F220" s="153">
        <v>2</v>
      </c>
      <c r="G220" s="67" t="s">
        <v>3718</v>
      </c>
      <c r="H220" s="153" t="s">
        <v>2107</v>
      </c>
      <c r="I220" s="67" t="s">
        <v>1835</v>
      </c>
      <c r="J220" s="67" t="s">
        <v>2108</v>
      </c>
      <c r="K220" s="67" t="s">
        <v>2158</v>
      </c>
      <c r="L220">
        <v>2</v>
      </c>
      <c r="M220" t="s">
        <v>8</v>
      </c>
      <c r="N220" t="s">
        <v>8</v>
      </c>
      <c r="O220" t="s">
        <v>8</v>
      </c>
      <c r="P220" t="s">
        <v>8</v>
      </c>
      <c r="Q220" t="s">
        <v>8</v>
      </c>
      <c r="R220" t="s">
        <v>8</v>
      </c>
    </row>
    <row r="221" spans="1:18">
      <c r="A221" s="151" t="s">
        <v>2043</v>
      </c>
      <c r="B221" s="67" t="s">
        <v>2003</v>
      </c>
      <c r="C221" s="152">
        <v>7</v>
      </c>
      <c r="D221" s="67" t="s">
        <v>2293</v>
      </c>
      <c r="E221" s="67" t="s">
        <v>2297</v>
      </c>
      <c r="F221" s="153">
        <v>1</v>
      </c>
      <c r="G221" s="153" t="s">
        <v>2466</v>
      </c>
      <c r="H221" s="153" t="s">
        <v>2107</v>
      </c>
      <c r="I221" s="67" t="s">
        <v>1835</v>
      </c>
      <c r="J221" s="67" t="s">
        <v>2120</v>
      </c>
      <c r="K221" s="67" t="s">
        <v>2210</v>
      </c>
      <c r="L221">
        <v>7</v>
      </c>
      <c r="M221" t="s">
        <v>8</v>
      </c>
      <c r="N221" t="s">
        <v>8</v>
      </c>
      <c r="O221" t="s">
        <v>8</v>
      </c>
      <c r="P221" t="s">
        <v>8</v>
      </c>
      <c r="Q221" t="s">
        <v>8</v>
      </c>
      <c r="R221" t="s">
        <v>8</v>
      </c>
    </row>
    <row r="222" spans="1:18">
      <c r="A222" s="151" t="s">
        <v>1828</v>
      </c>
      <c r="B222" s="67" t="s">
        <v>2135</v>
      </c>
      <c r="C222" s="152">
        <v>2</v>
      </c>
      <c r="D222" s="67" t="s">
        <v>1109</v>
      </c>
      <c r="E222" s="67" t="s">
        <v>2148</v>
      </c>
      <c r="F222" s="153" t="s">
        <v>2111</v>
      </c>
      <c r="G222" s="67" t="s">
        <v>2406</v>
      </c>
      <c r="H222" s="153" t="s">
        <v>2110</v>
      </c>
      <c r="I222" s="67" t="s">
        <v>1834</v>
      </c>
      <c r="J222" s="67" t="s">
        <v>2108</v>
      </c>
      <c r="K222" s="67" t="s">
        <v>2158</v>
      </c>
      <c r="L222">
        <v>2</v>
      </c>
      <c r="M222" t="s">
        <v>8</v>
      </c>
      <c r="N222" t="s">
        <v>8</v>
      </c>
      <c r="O222" t="s">
        <v>8</v>
      </c>
      <c r="P222" t="s">
        <v>8</v>
      </c>
      <c r="Q222" t="s">
        <v>8</v>
      </c>
      <c r="R222" t="s">
        <v>8</v>
      </c>
    </row>
    <row r="223" spans="1:18">
      <c r="A223" s="151" t="s">
        <v>2006</v>
      </c>
      <c r="B223" s="67" t="s">
        <v>2135</v>
      </c>
      <c r="C223" s="152">
        <v>6</v>
      </c>
      <c r="D223" s="67" t="str">
        <f>"0"</f>
        <v>0</v>
      </c>
      <c r="E223" s="67" t="s">
        <v>2126</v>
      </c>
      <c r="F223" s="153" t="s">
        <v>270</v>
      </c>
      <c r="G223" s="153" t="s">
        <v>2126</v>
      </c>
      <c r="H223" s="153" t="s">
        <v>2107</v>
      </c>
      <c r="I223" s="67" t="s">
        <v>1835</v>
      </c>
      <c r="J223" s="67" t="s">
        <v>2120</v>
      </c>
      <c r="K223" s="67" t="s">
        <v>2199</v>
      </c>
      <c r="L223">
        <v>6</v>
      </c>
      <c r="M223" t="s">
        <v>8</v>
      </c>
      <c r="N223" t="s">
        <v>8</v>
      </c>
      <c r="O223" t="s">
        <v>8</v>
      </c>
      <c r="P223" t="s">
        <v>8</v>
      </c>
      <c r="Q223" t="s">
        <v>8</v>
      </c>
      <c r="R223" t="s">
        <v>8</v>
      </c>
    </row>
    <row r="224" spans="1:18">
      <c r="A224" s="151" t="s">
        <v>1970</v>
      </c>
      <c r="B224" s="67" t="s">
        <v>2135</v>
      </c>
      <c r="C224" s="152">
        <v>5</v>
      </c>
      <c r="D224" s="67" t="str">
        <f>"0"</f>
        <v>0</v>
      </c>
      <c r="E224" s="67" t="s">
        <v>2322</v>
      </c>
      <c r="F224" s="153" t="s">
        <v>1740</v>
      </c>
      <c r="G224" s="153" t="s">
        <v>2126</v>
      </c>
      <c r="H224" s="153" t="s">
        <v>2151</v>
      </c>
      <c r="I224" s="67" t="s">
        <v>1835</v>
      </c>
      <c r="J224" s="67" t="s">
        <v>2120</v>
      </c>
      <c r="K224" s="67" t="s">
        <v>2189</v>
      </c>
      <c r="L224">
        <v>5</v>
      </c>
      <c r="M224" t="s">
        <v>8</v>
      </c>
      <c r="N224" t="s">
        <v>8</v>
      </c>
      <c r="O224" t="s">
        <v>8</v>
      </c>
      <c r="P224" t="s">
        <v>8</v>
      </c>
      <c r="Q224" t="s">
        <v>8</v>
      </c>
      <c r="R224" t="s">
        <v>8</v>
      </c>
    </row>
    <row r="225" spans="1:18">
      <c r="A225" s="151" t="s">
        <v>1931</v>
      </c>
      <c r="B225" s="67" t="s">
        <v>2231</v>
      </c>
      <c r="C225" s="152">
        <v>4</v>
      </c>
      <c r="D225" s="67" t="s">
        <v>1118</v>
      </c>
      <c r="E225" s="67" t="s">
        <v>2142</v>
      </c>
      <c r="F225" s="153">
        <v>4</v>
      </c>
      <c r="G225" s="153" t="s">
        <v>2127</v>
      </c>
      <c r="H225" s="153" t="s">
        <v>2107</v>
      </c>
      <c r="I225" s="67" t="s">
        <v>1835</v>
      </c>
      <c r="J225" s="67" t="s">
        <v>2108</v>
      </c>
      <c r="K225" s="67" t="s">
        <v>2179</v>
      </c>
      <c r="L225">
        <v>4</v>
      </c>
      <c r="M225" t="s">
        <v>8</v>
      </c>
      <c r="N225" t="s">
        <v>8</v>
      </c>
      <c r="O225" t="s">
        <v>8</v>
      </c>
      <c r="P225" t="s">
        <v>8</v>
      </c>
      <c r="Q225" t="s">
        <v>8</v>
      </c>
      <c r="R225" t="s">
        <v>8</v>
      </c>
    </row>
    <row r="226" spans="1:18">
      <c r="A226" s="151" t="s">
        <v>2007</v>
      </c>
      <c r="B226" s="67" t="s">
        <v>2124</v>
      </c>
      <c r="C226" s="152">
        <v>6</v>
      </c>
      <c r="D226" s="67" t="str">
        <f>"0"</f>
        <v>0</v>
      </c>
      <c r="E226" s="67" t="s">
        <v>2129</v>
      </c>
      <c r="F226" s="153" t="s">
        <v>1740</v>
      </c>
      <c r="G226" s="153" t="s">
        <v>2454</v>
      </c>
      <c r="H226" s="153" t="s">
        <v>2107</v>
      </c>
      <c r="I226" s="67" t="s">
        <v>1835</v>
      </c>
      <c r="J226" s="67" t="s">
        <v>2120</v>
      </c>
      <c r="K226" s="67" t="s">
        <v>2200</v>
      </c>
      <c r="L226">
        <v>6</v>
      </c>
      <c r="M226" t="s">
        <v>8</v>
      </c>
      <c r="N226" t="s">
        <v>8</v>
      </c>
      <c r="O226" t="s">
        <v>8</v>
      </c>
      <c r="P226" t="s">
        <v>8</v>
      </c>
      <c r="Q226" t="s">
        <v>8</v>
      </c>
      <c r="R226" t="s">
        <v>8</v>
      </c>
    </row>
    <row r="227" spans="1:18">
      <c r="A227" s="151" t="s">
        <v>2045</v>
      </c>
      <c r="B227" s="67" t="s">
        <v>2231</v>
      </c>
      <c r="C227" s="152">
        <v>7</v>
      </c>
      <c r="D227" s="67" t="s">
        <v>1112</v>
      </c>
      <c r="E227" s="67" t="s">
        <v>2331</v>
      </c>
      <c r="F227" s="153" t="s">
        <v>2111</v>
      </c>
      <c r="G227" s="153" t="s">
        <v>2126</v>
      </c>
      <c r="H227" s="153" t="s">
        <v>2107</v>
      </c>
      <c r="I227" s="67" t="s">
        <v>1835</v>
      </c>
      <c r="J227" s="67" t="s">
        <v>270</v>
      </c>
      <c r="K227" s="67" t="s">
        <v>2210</v>
      </c>
      <c r="L227">
        <v>7</v>
      </c>
      <c r="M227" t="s">
        <v>8</v>
      </c>
      <c r="N227" t="s">
        <v>8</v>
      </c>
      <c r="O227" t="s">
        <v>8</v>
      </c>
      <c r="P227" t="s">
        <v>8</v>
      </c>
      <c r="Q227" t="s">
        <v>8</v>
      </c>
      <c r="R227" t="s">
        <v>8</v>
      </c>
    </row>
    <row r="228" spans="1:18">
      <c r="A228" s="151" t="s">
        <v>2008</v>
      </c>
      <c r="B228" s="67" t="s">
        <v>2105</v>
      </c>
      <c r="C228" s="152">
        <v>6</v>
      </c>
      <c r="D228" s="67" t="str">
        <f>"0"</f>
        <v>0</v>
      </c>
      <c r="E228" s="67" t="s">
        <v>2325</v>
      </c>
      <c r="F228" s="153" t="s">
        <v>1740</v>
      </c>
      <c r="G228" s="153" t="s">
        <v>3731</v>
      </c>
      <c r="H228" s="153" t="s">
        <v>2107</v>
      </c>
      <c r="I228" s="67" t="s">
        <v>1835</v>
      </c>
      <c r="J228" s="67" t="s">
        <v>2120</v>
      </c>
      <c r="K228" s="67" t="s">
        <v>2200</v>
      </c>
      <c r="L228">
        <v>6</v>
      </c>
      <c r="M228" t="s">
        <v>8</v>
      </c>
      <c r="N228" t="s">
        <v>8</v>
      </c>
      <c r="O228" t="s">
        <v>8</v>
      </c>
      <c r="P228" t="s">
        <v>8</v>
      </c>
      <c r="Q228" t="s">
        <v>8</v>
      </c>
      <c r="R228" t="s">
        <v>8</v>
      </c>
    </row>
    <row r="229" spans="1:18">
      <c r="A229" s="151" t="s">
        <v>2009</v>
      </c>
      <c r="B229" s="67" t="s">
        <v>2229</v>
      </c>
      <c r="C229" s="152">
        <v>6</v>
      </c>
      <c r="D229" s="67" t="str">
        <f>"0"</f>
        <v>0</v>
      </c>
      <c r="E229" s="67" t="s">
        <v>2271</v>
      </c>
      <c r="F229" s="153">
        <v>1</v>
      </c>
      <c r="G229" s="153" t="s">
        <v>2459</v>
      </c>
      <c r="H229" s="153" t="s">
        <v>2110</v>
      </c>
      <c r="I229" s="67" t="s">
        <v>1835</v>
      </c>
      <c r="J229" s="67" t="s">
        <v>2120</v>
      </c>
      <c r="K229" s="67" t="s">
        <v>2201</v>
      </c>
      <c r="L229">
        <v>6</v>
      </c>
      <c r="M229" t="s">
        <v>8</v>
      </c>
      <c r="N229" t="s">
        <v>8</v>
      </c>
      <c r="O229" t="s">
        <v>8</v>
      </c>
      <c r="P229" t="s">
        <v>8</v>
      </c>
      <c r="Q229" t="s">
        <v>8</v>
      </c>
      <c r="R229" t="s">
        <v>8</v>
      </c>
    </row>
    <row r="230" spans="1:18">
      <c r="A230" s="151" t="s">
        <v>1829</v>
      </c>
      <c r="B230" s="67" t="s">
        <v>2105</v>
      </c>
      <c r="C230" s="152">
        <v>2</v>
      </c>
      <c r="D230" s="67" t="s">
        <v>2122</v>
      </c>
      <c r="E230" s="67" t="s">
        <v>2307</v>
      </c>
      <c r="F230" s="153">
        <v>2</v>
      </c>
      <c r="G230" s="67" t="s">
        <v>2126</v>
      </c>
      <c r="H230" s="153" t="s">
        <v>2107</v>
      </c>
      <c r="I230" s="67" t="s">
        <v>1835</v>
      </c>
      <c r="J230" s="67" t="s">
        <v>2120</v>
      </c>
      <c r="K230" s="67" t="s">
        <v>2159</v>
      </c>
      <c r="L230">
        <v>2</v>
      </c>
      <c r="M230" t="s">
        <v>8</v>
      </c>
      <c r="N230" t="s">
        <v>8</v>
      </c>
      <c r="O230" t="s">
        <v>8</v>
      </c>
      <c r="P230" t="s">
        <v>8</v>
      </c>
      <c r="Q230" t="s">
        <v>8</v>
      </c>
      <c r="R230" t="s">
        <v>8</v>
      </c>
    </row>
    <row r="231" spans="1:18">
      <c r="A231" s="151" t="s">
        <v>1971</v>
      </c>
      <c r="B231" s="67" t="s">
        <v>2123</v>
      </c>
      <c r="C231" s="152">
        <v>5</v>
      </c>
      <c r="D231" s="67" t="s">
        <v>1109</v>
      </c>
      <c r="E231" s="67" t="s">
        <v>2126</v>
      </c>
      <c r="F231" s="153" t="s">
        <v>1740</v>
      </c>
      <c r="G231" s="153" t="s">
        <v>2126</v>
      </c>
      <c r="H231" s="153" t="s">
        <v>2107</v>
      </c>
      <c r="I231" s="67" t="s">
        <v>1835</v>
      </c>
      <c r="J231" s="67" t="s">
        <v>2120</v>
      </c>
      <c r="K231" s="67" t="s">
        <v>2190</v>
      </c>
      <c r="L231">
        <v>5</v>
      </c>
      <c r="M231" t="s">
        <v>8</v>
      </c>
      <c r="N231" t="s">
        <v>8</v>
      </c>
      <c r="O231" t="s">
        <v>8</v>
      </c>
      <c r="P231" t="s">
        <v>8</v>
      </c>
      <c r="Q231" t="s">
        <v>8</v>
      </c>
      <c r="R231" t="s">
        <v>8</v>
      </c>
    </row>
    <row r="232" spans="1:18">
      <c r="A232" s="151" t="s">
        <v>1932</v>
      </c>
      <c r="B232" s="67" t="s">
        <v>2123</v>
      </c>
      <c r="C232" s="152">
        <v>4</v>
      </c>
      <c r="D232" s="67" t="s">
        <v>2122</v>
      </c>
      <c r="E232" s="67" t="s">
        <v>2304</v>
      </c>
      <c r="F232" s="153" t="s">
        <v>1740</v>
      </c>
      <c r="G232" s="153" t="s">
        <v>2126</v>
      </c>
      <c r="H232" s="153" t="s">
        <v>2107</v>
      </c>
      <c r="I232" s="67" t="s">
        <v>1835</v>
      </c>
      <c r="J232" s="67" t="s">
        <v>2120</v>
      </c>
      <c r="K232" s="67" t="s">
        <v>2179</v>
      </c>
      <c r="L232">
        <v>4</v>
      </c>
      <c r="M232" t="s">
        <v>8</v>
      </c>
      <c r="N232" t="s">
        <v>8</v>
      </c>
      <c r="O232" t="s">
        <v>8</v>
      </c>
      <c r="P232" t="s">
        <v>8</v>
      </c>
      <c r="Q232" t="s">
        <v>8</v>
      </c>
      <c r="R232" t="s">
        <v>8</v>
      </c>
    </row>
    <row r="233" spans="1:18">
      <c r="A233" s="151" t="s">
        <v>1933</v>
      </c>
      <c r="B233" s="67" t="s">
        <v>2124</v>
      </c>
      <c r="C233" s="152">
        <v>4</v>
      </c>
      <c r="D233" s="67" t="str">
        <f>"0"</f>
        <v>0</v>
      </c>
      <c r="E233" s="67" t="s">
        <v>2297</v>
      </c>
      <c r="F233" s="153">
        <v>1</v>
      </c>
      <c r="G233" s="153" t="s">
        <v>2442</v>
      </c>
      <c r="H233" s="153" t="s">
        <v>2110</v>
      </c>
      <c r="I233" s="67" t="s">
        <v>1835</v>
      </c>
      <c r="J233" s="67" t="s">
        <v>270</v>
      </c>
      <c r="K233" s="67" t="s">
        <v>2179</v>
      </c>
      <c r="L233">
        <v>4</v>
      </c>
      <c r="M233" t="s">
        <v>8</v>
      </c>
      <c r="N233" t="s">
        <v>8</v>
      </c>
      <c r="O233" t="s">
        <v>8</v>
      </c>
      <c r="P233" t="s">
        <v>8</v>
      </c>
      <c r="Q233" t="s">
        <v>8</v>
      </c>
      <c r="R233" t="s">
        <v>8</v>
      </c>
    </row>
    <row r="234" spans="1:18">
      <c r="A234" s="151" t="s">
        <v>1972</v>
      </c>
      <c r="B234" s="67" t="s">
        <v>2105</v>
      </c>
      <c r="C234" s="152">
        <v>5</v>
      </c>
      <c r="D234" s="67" t="s">
        <v>1113</v>
      </c>
      <c r="E234" s="67" t="s">
        <v>2148</v>
      </c>
      <c r="F234" s="153">
        <v>5</v>
      </c>
      <c r="G234" s="153" t="s">
        <v>3719</v>
      </c>
      <c r="H234" s="153" t="s">
        <v>2107</v>
      </c>
      <c r="I234" s="67" t="s">
        <v>1834</v>
      </c>
      <c r="J234" s="67" t="s">
        <v>2120</v>
      </c>
      <c r="K234" s="67" t="s">
        <v>2190</v>
      </c>
      <c r="L234">
        <v>5</v>
      </c>
      <c r="M234" t="s">
        <v>8</v>
      </c>
      <c r="N234" t="s">
        <v>8</v>
      </c>
      <c r="O234" t="s">
        <v>8</v>
      </c>
      <c r="P234" t="s">
        <v>8</v>
      </c>
      <c r="Q234" t="s">
        <v>8</v>
      </c>
      <c r="R234" t="s">
        <v>8</v>
      </c>
    </row>
    <row r="235" spans="1:18">
      <c r="A235" s="151" t="s">
        <v>1934</v>
      </c>
      <c r="B235" s="67" t="s">
        <v>2105</v>
      </c>
      <c r="C235" s="152">
        <v>4</v>
      </c>
      <c r="D235" s="67" t="s">
        <v>2147</v>
      </c>
      <c r="E235" s="67" t="s">
        <v>2142</v>
      </c>
      <c r="F235" s="153">
        <v>4</v>
      </c>
      <c r="G235" s="153" t="s">
        <v>3730</v>
      </c>
      <c r="H235" s="153" t="s">
        <v>2110</v>
      </c>
      <c r="I235" s="67" t="s">
        <v>1835</v>
      </c>
      <c r="J235" s="67" t="s">
        <v>2120</v>
      </c>
      <c r="K235" s="67" t="s">
        <v>2180</v>
      </c>
      <c r="L235">
        <v>4</v>
      </c>
      <c r="M235" t="s">
        <v>8</v>
      </c>
      <c r="N235" t="s">
        <v>8</v>
      </c>
      <c r="O235" t="s">
        <v>8</v>
      </c>
      <c r="P235" t="s">
        <v>8</v>
      </c>
      <c r="Q235" t="s">
        <v>8</v>
      </c>
      <c r="R235" t="s">
        <v>8</v>
      </c>
    </row>
    <row r="236" spans="1:18">
      <c r="A236" s="151" t="s">
        <v>2069</v>
      </c>
      <c r="B236" s="67" t="s">
        <v>2112</v>
      </c>
      <c r="C236" s="152">
        <v>8</v>
      </c>
      <c r="D236" s="67" t="s">
        <v>2122</v>
      </c>
      <c r="E236" s="67" t="s">
        <v>2338</v>
      </c>
      <c r="F236" s="153">
        <v>5</v>
      </c>
      <c r="G236" s="153" t="s">
        <v>2403</v>
      </c>
      <c r="H236" s="153" t="s">
        <v>2151</v>
      </c>
      <c r="I236" s="67" t="s">
        <v>1835</v>
      </c>
      <c r="J236" s="67" t="s">
        <v>2120</v>
      </c>
      <c r="K236" s="67" t="s">
        <v>2217</v>
      </c>
      <c r="L236">
        <v>8</v>
      </c>
      <c r="M236" t="s">
        <v>8</v>
      </c>
      <c r="N236" t="s">
        <v>8</v>
      </c>
      <c r="O236" t="s">
        <v>8</v>
      </c>
      <c r="P236" t="s">
        <v>8</v>
      </c>
      <c r="Q236" t="s">
        <v>8</v>
      </c>
      <c r="R236" t="s">
        <v>8</v>
      </c>
    </row>
    <row r="237" spans="1:18">
      <c r="A237" s="151" t="s">
        <v>1973</v>
      </c>
      <c r="B237" s="67" t="s">
        <v>2112</v>
      </c>
      <c r="C237" s="152">
        <v>5</v>
      </c>
      <c r="D237" s="67" t="s">
        <v>2147</v>
      </c>
      <c r="E237" s="67" t="s">
        <v>2142</v>
      </c>
      <c r="F237" s="153">
        <v>5</v>
      </c>
      <c r="G237" s="153" t="s">
        <v>2127</v>
      </c>
      <c r="H237" s="153" t="s">
        <v>2107</v>
      </c>
      <c r="I237" s="67" t="s">
        <v>1835</v>
      </c>
      <c r="J237" s="67" t="s">
        <v>2108</v>
      </c>
      <c r="K237" s="67" t="s">
        <v>2190</v>
      </c>
      <c r="L237">
        <v>5</v>
      </c>
      <c r="M237" t="s">
        <v>8</v>
      </c>
      <c r="N237" t="s">
        <v>8</v>
      </c>
      <c r="O237" t="s">
        <v>8</v>
      </c>
      <c r="P237" t="s">
        <v>8</v>
      </c>
      <c r="Q237" t="s">
        <v>8</v>
      </c>
      <c r="R237" t="s">
        <v>8</v>
      </c>
    </row>
    <row r="238" spans="1:18">
      <c r="A238" s="151" t="s">
        <v>1830</v>
      </c>
      <c r="B238" s="67" t="s">
        <v>2105</v>
      </c>
      <c r="C238" s="152">
        <v>2</v>
      </c>
      <c r="D238" s="67" t="s">
        <v>1113</v>
      </c>
      <c r="E238" s="67" t="s">
        <v>2126</v>
      </c>
      <c r="F238" s="153">
        <v>1</v>
      </c>
      <c r="G238" s="67" t="s">
        <v>3732</v>
      </c>
      <c r="H238" s="153" t="s">
        <v>2151</v>
      </c>
      <c r="I238" s="67" t="s">
        <v>1834</v>
      </c>
      <c r="J238" s="67" t="s">
        <v>2120</v>
      </c>
      <c r="K238" s="67" t="s">
        <v>2159</v>
      </c>
      <c r="L238">
        <v>2</v>
      </c>
      <c r="M238" t="s">
        <v>8</v>
      </c>
      <c r="N238" t="s">
        <v>8</v>
      </c>
      <c r="O238" t="s">
        <v>8</v>
      </c>
      <c r="P238" t="s">
        <v>8</v>
      </c>
      <c r="Q238" t="s">
        <v>8</v>
      </c>
      <c r="R238" t="s">
        <v>8</v>
      </c>
    </row>
    <row r="239" spans="1:18">
      <c r="A239" s="151" t="s">
        <v>1935</v>
      </c>
      <c r="B239" s="67" t="s">
        <v>2229</v>
      </c>
      <c r="C239" s="152">
        <v>4</v>
      </c>
      <c r="D239" s="67" t="s">
        <v>2122</v>
      </c>
      <c r="E239" s="67" t="s">
        <v>2142</v>
      </c>
      <c r="F239" s="153">
        <v>4</v>
      </c>
      <c r="G239" s="153" t="s">
        <v>2126</v>
      </c>
      <c r="H239" s="153" t="s">
        <v>2110</v>
      </c>
      <c r="I239" s="67" t="s">
        <v>1834</v>
      </c>
      <c r="J239" s="67" t="s">
        <v>270</v>
      </c>
      <c r="K239" s="67" t="s">
        <v>2180</v>
      </c>
      <c r="L239">
        <v>4</v>
      </c>
      <c r="M239" t="s">
        <v>8</v>
      </c>
      <c r="N239" t="s">
        <v>8</v>
      </c>
      <c r="O239" t="s">
        <v>8</v>
      </c>
      <c r="P239" t="s">
        <v>8</v>
      </c>
      <c r="Q239" t="s">
        <v>8</v>
      </c>
      <c r="R239" t="s">
        <v>8</v>
      </c>
    </row>
    <row r="240" spans="1:18">
      <c r="A240" s="151" t="s">
        <v>1075</v>
      </c>
      <c r="B240" s="67" t="s">
        <v>2105</v>
      </c>
      <c r="C240" s="152">
        <v>6</v>
      </c>
      <c r="D240" s="67" t="s">
        <v>2117</v>
      </c>
      <c r="E240" s="67" t="s">
        <v>2297</v>
      </c>
      <c r="F240" s="153">
        <v>6</v>
      </c>
      <c r="G240" s="153" t="s">
        <v>2126</v>
      </c>
      <c r="H240" s="153" t="s">
        <v>2107</v>
      </c>
      <c r="I240" s="67" t="s">
        <v>1835</v>
      </c>
      <c r="J240" s="67" t="s">
        <v>2108</v>
      </c>
      <c r="K240" s="67" t="s">
        <v>2201</v>
      </c>
      <c r="L240">
        <v>6</v>
      </c>
      <c r="M240" t="s">
        <v>8</v>
      </c>
      <c r="N240" t="s">
        <v>8</v>
      </c>
      <c r="O240" t="s">
        <v>8</v>
      </c>
      <c r="P240" t="s">
        <v>8</v>
      </c>
      <c r="Q240" t="s">
        <v>8</v>
      </c>
      <c r="R240" t="s">
        <v>8</v>
      </c>
    </row>
    <row r="241" spans="1:18">
      <c r="A241" s="151" t="s">
        <v>1791</v>
      </c>
      <c r="B241" s="67" t="s">
        <v>2135</v>
      </c>
      <c r="C241" s="152">
        <v>1</v>
      </c>
      <c r="D241" s="67" t="str">
        <f>"0"</f>
        <v>0</v>
      </c>
      <c r="E241" s="67" t="s">
        <v>2116</v>
      </c>
      <c r="F241" s="67">
        <v>1</v>
      </c>
      <c r="G241" s="67" t="s">
        <v>2137</v>
      </c>
      <c r="H241" s="67" t="s">
        <v>2110</v>
      </c>
      <c r="I241" s="67" t="s">
        <v>1835</v>
      </c>
      <c r="J241" s="67" t="s">
        <v>2120</v>
      </c>
      <c r="K241" s="67" t="s">
        <v>2133</v>
      </c>
      <c r="L241">
        <v>1</v>
      </c>
      <c r="M241" t="s">
        <v>8</v>
      </c>
      <c r="N241" t="s">
        <v>8</v>
      </c>
      <c r="O241" t="s">
        <v>8</v>
      </c>
      <c r="P241" t="s">
        <v>8</v>
      </c>
      <c r="Q241" t="s">
        <v>8</v>
      </c>
      <c r="R241" t="s">
        <v>8</v>
      </c>
    </row>
    <row r="242" spans="1:18">
      <c r="A242" s="151" t="s">
        <v>1936</v>
      </c>
      <c r="B242" s="67" t="s">
        <v>2135</v>
      </c>
      <c r="C242" s="152">
        <v>4</v>
      </c>
      <c r="D242" s="67" t="str">
        <f>"0"</f>
        <v>0</v>
      </c>
      <c r="E242" s="67" t="s">
        <v>2320</v>
      </c>
      <c r="F242" s="153">
        <v>3</v>
      </c>
      <c r="G242" s="153" t="s">
        <v>2443</v>
      </c>
      <c r="H242" s="153" t="s">
        <v>2107</v>
      </c>
      <c r="I242" s="67" t="s">
        <v>1835</v>
      </c>
      <c r="J242" s="67" t="s">
        <v>270</v>
      </c>
      <c r="K242" s="67" t="s">
        <v>2180</v>
      </c>
      <c r="L242">
        <v>4</v>
      </c>
      <c r="M242" t="s">
        <v>8</v>
      </c>
      <c r="N242" t="s">
        <v>8</v>
      </c>
      <c r="O242" t="s">
        <v>8</v>
      </c>
      <c r="P242" t="s">
        <v>8</v>
      </c>
      <c r="Q242" t="s">
        <v>8</v>
      </c>
      <c r="R242" t="s">
        <v>8</v>
      </c>
    </row>
    <row r="243" spans="1:18">
      <c r="A243" s="151" t="s">
        <v>1832</v>
      </c>
      <c r="B243" s="67" t="s">
        <v>2135</v>
      </c>
      <c r="C243" s="152">
        <v>2</v>
      </c>
      <c r="D243" s="67" t="s">
        <v>2147</v>
      </c>
      <c r="E243" s="67" t="s">
        <v>2115</v>
      </c>
      <c r="F243" s="153">
        <v>2</v>
      </c>
      <c r="G243" s="67" t="s">
        <v>2407</v>
      </c>
      <c r="H243" s="153" t="s">
        <v>2107</v>
      </c>
      <c r="I243" s="67" t="s">
        <v>1835</v>
      </c>
      <c r="J243" s="67" t="s">
        <v>2120</v>
      </c>
      <c r="K243" s="67" t="s">
        <v>2159</v>
      </c>
      <c r="L243">
        <v>2</v>
      </c>
      <c r="M243" t="s">
        <v>8</v>
      </c>
      <c r="N243" t="s">
        <v>8</v>
      </c>
      <c r="O243" t="s">
        <v>8</v>
      </c>
      <c r="P243" t="s">
        <v>8</v>
      </c>
      <c r="Q243" t="s">
        <v>8</v>
      </c>
      <c r="R243" t="s">
        <v>8</v>
      </c>
    </row>
    <row r="244" spans="1:18">
      <c r="A244" s="151" t="s">
        <v>1833</v>
      </c>
      <c r="B244" s="67" t="s">
        <v>2135</v>
      </c>
      <c r="C244" s="152">
        <v>2</v>
      </c>
      <c r="D244" s="67" t="s">
        <v>1113</v>
      </c>
      <c r="E244" s="67" t="s">
        <v>2115</v>
      </c>
      <c r="F244" s="153">
        <v>2</v>
      </c>
      <c r="G244" s="67" t="s">
        <v>2408</v>
      </c>
      <c r="H244" s="153" t="s">
        <v>2110</v>
      </c>
      <c r="I244" s="67" t="s">
        <v>1834</v>
      </c>
      <c r="J244" s="67" t="s">
        <v>2120</v>
      </c>
      <c r="K244" s="67" t="s">
        <v>2159</v>
      </c>
      <c r="L244">
        <v>2</v>
      </c>
      <c r="M244" t="s">
        <v>8</v>
      </c>
      <c r="N244" t="s">
        <v>8</v>
      </c>
      <c r="O244" t="s">
        <v>8</v>
      </c>
      <c r="P244" t="s">
        <v>8</v>
      </c>
      <c r="Q244" t="s">
        <v>8</v>
      </c>
      <c r="R244" t="s">
        <v>8</v>
      </c>
    </row>
    <row r="245" spans="1:18">
      <c r="A245" s="151" t="s">
        <v>1792</v>
      </c>
      <c r="B245" s="67" t="s">
        <v>2134</v>
      </c>
      <c r="C245" s="152">
        <v>1</v>
      </c>
      <c r="D245" s="67" t="str">
        <f>"0"</f>
        <v>0</v>
      </c>
      <c r="E245" s="67" t="s">
        <v>2136</v>
      </c>
      <c r="F245" s="67" t="s">
        <v>2111</v>
      </c>
      <c r="G245" s="67" t="s">
        <v>2138</v>
      </c>
      <c r="H245" s="67" t="s">
        <v>2107</v>
      </c>
      <c r="I245" s="67" t="s">
        <v>1835</v>
      </c>
      <c r="J245" s="67" t="s">
        <v>2120</v>
      </c>
      <c r="K245" s="67" t="s">
        <v>2133</v>
      </c>
      <c r="L245">
        <v>1</v>
      </c>
      <c r="M245" t="s">
        <v>8</v>
      </c>
      <c r="N245" t="s">
        <v>8</v>
      </c>
      <c r="O245" t="s">
        <v>8</v>
      </c>
      <c r="P245" t="s">
        <v>8</v>
      </c>
      <c r="Q245" t="s">
        <v>8</v>
      </c>
      <c r="R245" t="s">
        <v>8</v>
      </c>
    </row>
    <row r="246" spans="1:18">
      <c r="A246" s="151" t="s">
        <v>1831</v>
      </c>
      <c r="B246" s="67" t="s">
        <v>2123</v>
      </c>
      <c r="C246" s="152">
        <v>2</v>
      </c>
      <c r="D246" s="67" t="s">
        <v>1118</v>
      </c>
      <c r="E246" s="67" t="s">
        <v>2308</v>
      </c>
      <c r="F246" s="153">
        <v>2</v>
      </c>
      <c r="G246" s="67" t="s">
        <v>2106</v>
      </c>
      <c r="H246" s="153" t="s">
        <v>2110</v>
      </c>
      <c r="I246" s="67" t="s">
        <v>1835</v>
      </c>
      <c r="J246" s="67" t="s">
        <v>2108</v>
      </c>
      <c r="K246" s="67" t="s">
        <v>2159</v>
      </c>
      <c r="L246">
        <v>2</v>
      </c>
      <c r="M246" t="s">
        <v>8</v>
      </c>
      <c r="N246" t="s">
        <v>8</v>
      </c>
      <c r="O246" t="s">
        <v>8</v>
      </c>
      <c r="P246" t="s">
        <v>8</v>
      </c>
      <c r="Q246" t="s">
        <v>8</v>
      </c>
      <c r="R246" t="s">
        <v>8</v>
      </c>
    </row>
    <row r="247" spans="1:18">
      <c r="A247" s="151" t="s">
        <v>1974</v>
      </c>
      <c r="B247" s="67" t="s">
        <v>2235</v>
      </c>
      <c r="C247" s="152">
        <v>5</v>
      </c>
      <c r="D247" s="67" t="s">
        <v>1109</v>
      </c>
      <c r="E247" s="67" t="s">
        <v>2126</v>
      </c>
      <c r="F247" s="153">
        <v>5</v>
      </c>
      <c r="G247" s="153" t="s">
        <v>2458</v>
      </c>
      <c r="H247" s="153" t="s">
        <v>2151</v>
      </c>
      <c r="I247" s="67" t="s">
        <v>1835</v>
      </c>
      <c r="J247" s="67" t="s">
        <v>270</v>
      </c>
      <c r="K247" s="67" t="s">
        <v>2190</v>
      </c>
      <c r="L247">
        <v>5</v>
      </c>
      <c r="M247" t="s">
        <v>8</v>
      </c>
      <c r="N247" t="s">
        <v>8</v>
      </c>
      <c r="O247" t="s">
        <v>8</v>
      </c>
      <c r="P247" t="s">
        <v>8</v>
      </c>
      <c r="Q247" t="s">
        <v>8</v>
      </c>
      <c r="R247" t="s">
        <v>8</v>
      </c>
    </row>
    <row r="248" spans="1:18">
      <c r="A248" s="151" t="s">
        <v>2091</v>
      </c>
      <c r="B248" s="67" t="s">
        <v>2239</v>
      </c>
      <c r="C248" s="152">
        <v>9</v>
      </c>
      <c r="D248" s="67" t="str">
        <f>"0"</f>
        <v>0</v>
      </c>
      <c r="E248" s="67" t="s">
        <v>2297</v>
      </c>
      <c r="F248" s="153">
        <v>9</v>
      </c>
      <c r="G248" s="153" t="s">
        <v>2402</v>
      </c>
      <c r="H248" s="153" t="s">
        <v>2151</v>
      </c>
      <c r="I248" s="67" t="s">
        <v>1835</v>
      </c>
      <c r="J248" s="67" t="s">
        <v>270</v>
      </c>
      <c r="K248" s="67" t="s">
        <v>2224</v>
      </c>
      <c r="L248">
        <v>9</v>
      </c>
      <c r="M248" t="s">
        <v>8</v>
      </c>
      <c r="N248" t="s">
        <v>8</v>
      </c>
      <c r="O248" t="s">
        <v>8</v>
      </c>
      <c r="P248" t="s">
        <v>8</v>
      </c>
      <c r="Q248" t="s">
        <v>8</v>
      </c>
      <c r="R248" t="s">
        <v>8</v>
      </c>
    </row>
    <row r="249" spans="1:18">
      <c r="A249" s="151" t="s">
        <v>1793</v>
      </c>
      <c r="B249" s="67" t="s">
        <v>2124</v>
      </c>
      <c r="C249" s="152">
        <v>1</v>
      </c>
      <c r="D249" s="67" t="s">
        <v>1112</v>
      </c>
      <c r="E249" s="67" t="s">
        <v>2141</v>
      </c>
      <c r="F249" s="67">
        <v>1</v>
      </c>
      <c r="G249" s="67" t="s">
        <v>2126</v>
      </c>
      <c r="H249" s="67" t="s">
        <v>2107</v>
      </c>
      <c r="I249" s="67" t="s">
        <v>1835</v>
      </c>
      <c r="J249" s="67" t="s">
        <v>2120</v>
      </c>
      <c r="K249" s="67" t="s">
        <v>2139</v>
      </c>
      <c r="L249">
        <v>1</v>
      </c>
      <c r="M249" t="s">
        <v>8</v>
      </c>
      <c r="N249" t="s">
        <v>8</v>
      </c>
      <c r="O249" t="s">
        <v>8</v>
      </c>
      <c r="P249" t="s">
        <v>8</v>
      </c>
      <c r="Q249" t="s">
        <v>8</v>
      </c>
      <c r="R249" t="s">
        <v>8</v>
      </c>
    </row>
    <row r="250" spans="1:18">
      <c r="A250" s="151" t="s">
        <v>2046</v>
      </c>
      <c r="B250" s="67" t="s">
        <v>2123</v>
      </c>
      <c r="C250" s="152">
        <v>7</v>
      </c>
      <c r="D250" s="67" t="s">
        <v>2122</v>
      </c>
      <c r="E250" s="67" t="s">
        <v>2332</v>
      </c>
      <c r="F250" s="153">
        <v>7</v>
      </c>
      <c r="G250" s="153" t="s">
        <v>3720</v>
      </c>
      <c r="H250" s="153" t="s">
        <v>2107</v>
      </c>
      <c r="I250" s="67" t="s">
        <v>1835</v>
      </c>
      <c r="J250" s="67" t="s">
        <v>270</v>
      </c>
      <c r="K250" s="67" t="s">
        <v>2211</v>
      </c>
      <c r="L250">
        <v>7</v>
      </c>
      <c r="M250" t="s">
        <v>8</v>
      </c>
      <c r="N250" t="s">
        <v>8</v>
      </c>
      <c r="O250" t="s">
        <v>8</v>
      </c>
      <c r="P250" t="s">
        <v>8</v>
      </c>
      <c r="Q250" t="s">
        <v>8</v>
      </c>
      <c r="R250" t="s">
        <v>8</v>
      </c>
    </row>
    <row r="251" spans="1:18">
      <c r="A251" s="151" t="s">
        <v>1894</v>
      </c>
      <c r="B251" s="67" t="s">
        <v>2229</v>
      </c>
      <c r="C251" s="152">
        <v>3</v>
      </c>
      <c r="D251" s="67" t="s">
        <v>2128</v>
      </c>
      <c r="E251" s="67" t="s">
        <v>2297</v>
      </c>
      <c r="F251" s="153">
        <v>3</v>
      </c>
      <c r="G251" s="153" t="s">
        <v>3700</v>
      </c>
      <c r="H251" s="153" t="s">
        <v>2110</v>
      </c>
      <c r="I251" s="67" t="s">
        <v>1835</v>
      </c>
      <c r="J251" s="67" t="s">
        <v>2120</v>
      </c>
      <c r="K251" s="67" t="s">
        <v>2169</v>
      </c>
      <c r="L251">
        <v>3</v>
      </c>
      <c r="M251" t="s">
        <v>8</v>
      </c>
      <c r="N251" t="s">
        <v>8</v>
      </c>
      <c r="O251" t="s">
        <v>8</v>
      </c>
      <c r="P251" t="s">
        <v>8</v>
      </c>
      <c r="Q251" t="s">
        <v>8</v>
      </c>
      <c r="R251" t="s">
        <v>8</v>
      </c>
    </row>
    <row r="252" spans="1:18">
      <c r="A252" s="151" t="s">
        <v>1975</v>
      </c>
      <c r="B252" s="67" t="s">
        <v>2105</v>
      </c>
      <c r="C252" s="152">
        <v>5</v>
      </c>
      <c r="D252" s="67" t="s">
        <v>2147</v>
      </c>
      <c r="E252" s="67" t="s">
        <v>2307</v>
      </c>
      <c r="F252" s="153">
        <v>5</v>
      </c>
      <c r="G252" s="153" t="s">
        <v>3708</v>
      </c>
      <c r="H252" s="153" t="s">
        <v>2107</v>
      </c>
      <c r="I252" s="67" t="s">
        <v>1835</v>
      </c>
      <c r="J252" s="67" t="s">
        <v>2120</v>
      </c>
      <c r="K252" s="67" t="s">
        <v>2191</v>
      </c>
      <c r="L252">
        <v>5</v>
      </c>
      <c r="M252" t="s">
        <v>8</v>
      </c>
      <c r="N252" t="s">
        <v>8</v>
      </c>
      <c r="O252" t="s">
        <v>8</v>
      </c>
      <c r="P252" t="s">
        <v>8</v>
      </c>
      <c r="Q252" t="s">
        <v>8</v>
      </c>
      <c r="R252" t="s">
        <v>8</v>
      </c>
    </row>
    <row r="253" spans="1:18">
      <c r="A253" s="151" t="s">
        <v>2047</v>
      </c>
      <c r="B253" s="67" t="s">
        <v>2231</v>
      </c>
      <c r="C253" s="152">
        <v>7</v>
      </c>
      <c r="D253" s="67" t="s">
        <v>1113</v>
      </c>
      <c r="E253" s="67" t="s">
        <v>2142</v>
      </c>
      <c r="F253" s="153">
        <v>5</v>
      </c>
      <c r="G253" s="153" t="s">
        <v>2127</v>
      </c>
      <c r="H253" s="153" t="s">
        <v>2110</v>
      </c>
      <c r="I253" s="67" t="s">
        <v>1835</v>
      </c>
      <c r="J253" s="67" t="s">
        <v>2108</v>
      </c>
      <c r="K253" s="67" t="s">
        <v>2211</v>
      </c>
      <c r="L253">
        <v>7</v>
      </c>
      <c r="M253" t="s">
        <v>8</v>
      </c>
      <c r="N253" t="s">
        <v>8</v>
      </c>
      <c r="O253" t="s">
        <v>8</v>
      </c>
      <c r="P253" t="s">
        <v>8</v>
      </c>
      <c r="Q253" t="s">
        <v>8</v>
      </c>
      <c r="R253" t="s">
        <v>8</v>
      </c>
    </row>
    <row r="254" spans="1:18">
      <c r="A254" s="151" t="s">
        <v>1092</v>
      </c>
      <c r="B254" s="67" t="s">
        <v>2112</v>
      </c>
      <c r="C254" s="152">
        <v>5</v>
      </c>
      <c r="D254" s="67" t="s">
        <v>2147</v>
      </c>
      <c r="E254" s="67" t="s">
        <v>2126</v>
      </c>
      <c r="F254" s="153">
        <v>5</v>
      </c>
      <c r="G254" s="153" t="s">
        <v>2132</v>
      </c>
      <c r="H254" s="153" t="s">
        <v>2110</v>
      </c>
      <c r="I254" s="67" t="s">
        <v>1835</v>
      </c>
      <c r="J254" s="67" t="s">
        <v>2108</v>
      </c>
      <c r="K254" s="67" t="s">
        <v>2191</v>
      </c>
      <c r="L254">
        <v>5</v>
      </c>
      <c r="M254" t="s">
        <v>8</v>
      </c>
      <c r="N254" t="s">
        <v>8</v>
      </c>
      <c r="O254" t="s">
        <v>8</v>
      </c>
      <c r="P254" t="s">
        <v>8</v>
      </c>
      <c r="Q254" t="s">
        <v>8</v>
      </c>
      <c r="R254" t="s">
        <v>8</v>
      </c>
    </row>
    <row r="255" spans="1:18">
      <c r="A255" s="151" t="s">
        <v>2010</v>
      </c>
      <c r="B255" s="67" t="s">
        <v>2123</v>
      </c>
      <c r="C255" s="152">
        <v>6</v>
      </c>
      <c r="D255" s="67" t="s">
        <v>1109</v>
      </c>
      <c r="E255" s="67" t="s">
        <v>2148</v>
      </c>
      <c r="F255" s="153">
        <v>1</v>
      </c>
      <c r="G255" s="153" t="s">
        <v>2126</v>
      </c>
      <c r="H255" s="153" t="s">
        <v>2264</v>
      </c>
      <c r="I255" s="67" t="s">
        <v>1835</v>
      </c>
      <c r="J255" s="67" t="s">
        <v>2120</v>
      </c>
      <c r="K255" s="67" t="s">
        <v>2201</v>
      </c>
      <c r="L255">
        <v>6</v>
      </c>
      <c r="M255" t="s">
        <v>8</v>
      </c>
      <c r="N255" t="s">
        <v>8</v>
      </c>
      <c r="O255" t="s">
        <v>8</v>
      </c>
      <c r="P255" t="s">
        <v>8</v>
      </c>
      <c r="Q255" t="s">
        <v>8</v>
      </c>
      <c r="R255" t="s">
        <v>8</v>
      </c>
    </row>
    <row r="256" spans="1:18">
      <c r="A256" s="151" t="s">
        <v>2048</v>
      </c>
      <c r="B256" s="67" t="s">
        <v>2105</v>
      </c>
      <c r="C256" s="152">
        <v>7</v>
      </c>
      <c r="D256" s="67" t="str">
        <f>"0"</f>
        <v>0</v>
      </c>
      <c r="E256" s="67" t="s">
        <v>2149</v>
      </c>
      <c r="F256" s="153">
        <v>7</v>
      </c>
      <c r="G256" s="153" t="s">
        <v>2454</v>
      </c>
      <c r="H256" s="153" t="s">
        <v>2107</v>
      </c>
      <c r="I256" s="67" t="s">
        <v>1835</v>
      </c>
      <c r="J256" s="67" t="s">
        <v>2120</v>
      </c>
      <c r="K256" s="67" t="s">
        <v>2211</v>
      </c>
      <c r="L256">
        <v>7</v>
      </c>
      <c r="M256" t="s">
        <v>8</v>
      </c>
      <c r="N256" t="s">
        <v>8</v>
      </c>
      <c r="O256" t="s">
        <v>8</v>
      </c>
      <c r="P256" t="s">
        <v>8</v>
      </c>
      <c r="Q256" t="s">
        <v>8</v>
      </c>
      <c r="R256" t="s">
        <v>8</v>
      </c>
    </row>
    <row r="257" spans="1:18">
      <c r="A257" s="151" t="s">
        <v>1895</v>
      </c>
      <c r="B257" s="67" t="s">
        <v>2124</v>
      </c>
      <c r="C257" s="152">
        <v>3</v>
      </c>
      <c r="D257" s="67" t="s">
        <v>2274</v>
      </c>
      <c r="E257" s="67" t="s">
        <v>2297</v>
      </c>
      <c r="F257" s="153">
        <v>3</v>
      </c>
      <c r="G257" s="153" t="s">
        <v>2126</v>
      </c>
      <c r="H257" s="153" t="s">
        <v>2107</v>
      </c>
      <c r="I257" s="67" t="s">
        <v>1835</v>
      </c>
      <c r="J257" s="67" t="s">
        <v>2267</v>
      </c>
      <c r="K257" s="67" t="s">
        <v>2169</v>
      </c>
      <c r="L257">
        <v>3</v>
      </c>
      <c r="M257" t="s">
        <v>8</v>
      </c>
      <c r="N257" t="s">
        <v>8</v>
      </c>
      <c r="O257" t="s">
        <v>8</v>
      </c>
      <c r="P257" t="s">
        <v>8</v>
      </c>
      <c r="Q257" t="s">
        <v>8</v>
      </c>
      <c r="R257" t="s">
        <v>8</v>
      </c>
    </row>
    <row r="258" spans="1:18">
      <c r="A258" s="151" t="s">
        <v>2070</v>
      </c>
      <c r="B258" s="67" t="s">
        <v>2244</v>
      </c>
      <c r="C258" s="152">
        <v>8</v>
      </c>
      <c r="D258" s="67" t="str">
        <f>"0"</f>
        <v>0</v>
      </c>
      <c r="E258" s="67" t="s">
        <v>2304</v>
      </c>
      <c r="F258" s="153" t="s">
        <v>1740</v>
      </c>
      <c r="G258" s="153" t="s">
        <v>3689</v>
      </c>
      <c r="H258" s="153" t="s">
        <v>2110</v>
      </c>
      <c r="I258" s="67" t="s">
        <v>1835</v>
      </c>
      <c r="J258" s="67" t="s">
        <v>270</v>
      </c>
      <c r="K258" s="67" t="s">
        <v>2217</v>
      </c>
      <c r="L258">
        <v>8</v>
      </c>
      <c r="M258" t="s">
        <v>8</v>
      </c>
      <c r="N258" t="s">
        <v>8</v>
      </c>
      <c r="O258" t="s">
        <v>8</v>
      </c>
      <c r="P258" t="s">
        <v>8</v>
      </c>
      <c r="Q258" t="s">
        <v>8</v>
      </c>
      <c r="R258" t="s">
        <v>8</v>
      </c>
    </row>
    <row r="259" spans="1:18">
      <c r="A259" s="151" t="s">
        <v>1794</v>
      </c>
      <c r="B259" s="67" t="s">
        <v>2105</v>
      </c>
      <c r="C259" s="152">
        <v>1</v>
      </c>
      <c r="D259" s="67" t="s">
        <v>1118</v>
      </c>
      <c r="E259" s="67" t="s">
        <v>2142</v>
      </c>
      <c r="F259" s="67">
        <v>1</v>
      </c>
      <c r="G259" s="67" t="s">
        <v>2143</v>
      </c>
      <c r="H259" s="67" t="s">
        <v>2110</v>
      </c>
      <c r="I259" s="67" t="s">
        <v>1835</v>
      </c>
      <c r="J259" s="67" t="s">
        <v>270</v>
      </c>
      <c r="K259" s="67" t="s">
        <v>2139</v>
      </c>
      <c r="L259">
        <v>1</v>
      </c>
      <c r="M259" t="s">
        <v>8</v>
      </c>
      <c r="N259" t="s">
        <v>8</v>
      </c>
      <c r="O259" t="s">
        <v>8</v>
      </c>
      <c r="P259" t="s">
        <v>8</v>
      </c>
      <c r="Q259" t="s">
        <v>8</v>
      </c>
      <c r="R259" t="s">
        <v>8</v>
      </c>
    </row>
    <row r="260" spans="1:18">
      <c r="A260" s="151" t="s">
        <v>2011</v>
      </c>
      <c r="B260" s="67" t="s">
        <v>2105</v>
      </c>
      <c r="C260" s="152">
        <v>6</v>
      </c>
      <c r="D260" s="67" t="str">
        <f>"0"</f>
        <v>0</v>
      </c>
      <c r="E260" s="67" t="s">
        <v>2297</v>
      </c>
      <c r="F260" s="153">
        <v>1</v>
      </c>
      <c r="G260" s="153" t="s">
        <v>2454</v>
      </c>
      <c r="H260" s="153" t="s">
        <v>2110</v>
      </c>
      <c r="I260" s="67" t="s">
        <v>1835</v>
      </c>
      <c r="J260" s="67" t="s">
        <v>2120</v>
      </c>
      <c r="K260" s="67" t="s">
        <v>2201</v>
      </c>
      <c r="L260">
        <v>6</v>
      </c>
      <c r="M260" t="s">
        <v>8</v>
      </c>
      <c r="N260" t="s">
        <v>8</v>
      </c>
      <c r="O260" t="s">
        <v>8</v>
      </c>
      <c r="P260" t="s">
        <v>8</v>
      </c>
      <c r="Q260" t="s">
        <v>8</v>
      </c>
      <c r="R260" t="s">
        <v>8</v>
      </c>
    </row>
    <row r="261" spans="1:18">
      <c r="A261" s="151" t="s">
        <v>1937</v>
      </c>
      <c r="B261" s="67" t="s">
        <v>2112</v>
      </c>
      <c r="C261" s="152">
        <v>4</v>
      </c>
      <c r="D261" s="67" t="s">
        <v>2147</v>
      </c>
      <c r="E261" s="67" t="s">
        <v>2126</v>
      </c>
      <c r="F261" s="153">
        <v>4</v>
      </c>
      <c r="G261" s="153" t="s">
        <v>3705</v>
      </c>
      <c r="H261" s="153" t="s">
        <v>2110</v>
      </c>
      <c r="I261" s="67" t="s">
        <v>1835</v>
      </c>
      <c r="J261" s="67" t="s">
        <v>2108</v>
      </c>
      <c r="K261" s="67" t="s">
        <v>2180</v>
      </c>
      <c r="L261">
        <v>4</v>
      </c>
      <c r="M261" t="s">
        <v>8</v>
      </c>
      <c r="N261" t="s">
        <v>8</v>
      </c>
      <c r="O261" t="s">
        <v>8</v>
      </c>
      <c r="P261" t="s">
        <v>8</v>
      </c>
      <c r="Q261" t="s">
        <v>8</v>
      </c>
      <c r="R261" t="s">
        <v>8</v>
      </c>
    </row>
    <row r="262" spans="1:18">
      <c r="A262" s="151" t="s">
        <v>2092</v>
      </c>
      <c r="B262" s="67" t="s">
        <v>2229</v>
      </c>
      <c r="C262" s="152">
        <v>9</v>
      </c>
      <c r="D262" s="67" t="s">
        <v>2122</v>
      </c>
      <c r="E262" s="67" t="s">
        <v>2142</v>
      </c>
      <c r="F262" s="153">
        <v>9</v>
      </c>
      <c r="G262" s="153" t="s">
        <v>2127</v>
      </c>
      <c r="H262" s="153" t="s">
        <v>2110</v>
      </c>
      <c r="I262" s="67" t="s">
        <v>1834</v>
      </c>
      <c r="J262" s="67" t="s">
        <v>2120</v>
      </c>
      <c r="K262" s="67" t="s">
        <v>2224</v>
      </c>
      <c r="L262">
        <v>9</v>
      </c>
      <c r="M262" t="s">
        <v>8</v>
      </c>
      <c r="N262" t="s">
        <v>8</v>
      </c>
      <c r="O262" t="s">
        <v>8</v>
      </c>
      <c r="P262" t="s">
        <v>8</v>
      </c>
      <c r="Q262" t="s">
        <v>8</v>
      </c>
      <c r="R262" t="s">
        <v>8</v>
      </c>
    </row>
    <row r="263" spans="1:18">
      <c r="A263" s="151" t="s">
        <v>2071</v>
      </c>
      <c r="B263" s="67" t="s">
        <v>2003</v>
      </c>
      <c r="C263" s="152">
        <v>8</v>
      </c>
      <c r="D263" s="67" t="s">
        <v>1109</v>
      </c>
      <c r="E263" s="67" t="s">
        <v>2126</v>
      </c>
      <c r="F263" s="153" t="s">
        <v>2429</v>
      </c>
      <c r="G263" s="153" t="s">
        <v>2127</v>
      </c>
      <c r="H263" s="153" t="s">
        <v>2107</v>
      </c>
      <c r="I263" s="67" t="s">
        <v>1835</v>
      </c>
      <c r="J263" s="67" t="s">
        <v>270</v>
      </c>
      <c r="K263" s="67" t="s">
        <v>2217</v>
      </c>
      <c r="L263">
        <v>8</v>
      </c>
      <c r="M263" t="s">
        <v>8</v>
      </c>
      <c r="N263" t="s">
        <v>8</v>
      </c>
      <c r="O263" t="s">
        <v>8</v>
      </c>
      <c r="P263" t="s">
        <v>8</v>
      </c>
      <c r="Q263" t="s">
        <v>8</v>
      </c>
      <c r="R263" t="s">
        <v>8</v>
      </c>
    </row>
    <row r="264" spans="1:18">
      <c r="A264" s="151" t="s">
        <v>2012</v>
      </c>
      <c r="B264" s="67" t="s">
        <v>2236</v>
      </c>
      <c r="C264" s="152">
        <v>6</v>
      </c>
      <c r="D264" s="67" t="s">
        <v>2122</v>
      </c>
      <c r="E264" s="67" t="s">
        <v>2126</v>
      </c>
      <c r="F264" s="153" t="s">
        <v>270</v>
      </c>
      <c r="G264" s="153" t="s">
        <v>2126</v>
      </c>
      <c r="H264" s="153" t="s">
        <v>2107</v>
      </c>
      <c r="I264" s="67" t="s">
        <v>1835</v>
      </c>
      <c r="J264" s="67" t="s">
        <v>2108</v>
      </c>
      <c r="K264" s="67" t="s">
        <v>2201</v>
      </c>
      <c r="L264">
        <v>6</v>
      </c>
      <c r="M264" t="s">
        <v>8</v>
      </c>
      <c r="N264" t="s">
        <v>8</v>
      </c>
      <c r="O264" t="s">
        <v>8</v>
      </c>
      <c r="P264" t="s">
        <v>8</v>
      </c>
      <c r="Q264" t="s">
        <v>8</v>
      </c>
      <c r="R264" t="s">
        <v>8</v>
      </c>
    </row>
    <row r="265" spans="1:18">
      <c r="A265" s="151" t="s">
        <v>2093</v>
      </c>
      <c r="B265" s="67" t="s">
        <v>2123</v>
      </c>
      <c r="C265" s="152">
        <v>9</v>
      </c>
      <c r="D265" s="67" t="s">
        <v>1118</v>
      </c>
      <c r="E265" s="67" t="s">
        <v>2342</v>
      </c>
      <c r="F265" s="153">
        <v>9</v>
      </c>
      <c r="G265" s="153" t="s">
        <v>2435</v>
      </c>
      <c r="H265" s="153" t="s">
        <v>2110</v>
      </c>
      <c r="I265" s="67" t="s">
        <v>1835</v>
      </c>
      <c r="J265" s="67" t="s">
        <v>270</v>
      </c>
      <c r="K265" s="67" t="s">
        <v>2224</v>
      </c>
      <c r="L265">
        <v>9</v>
      </c>
      <c r="M265" t="s">
        <v>8</v>
      </c>
      <c r="N265" t="s">
        <v>8</v>
      </c>
      <c r="O265" t="s">
        <v>8</v>
      </c>
      <c r="P265" t="s">
        <v>8</v>
      </c>
      <c r="Q265" t="s">
        <v>8</v>
      </c>
      <c r="R265" t="s">
        <v>8</v>
      </c>
    </row>
    <row r="266" spans="1:18">
      <c r="A266" s="151" t="s">
        <v>2073</v>
      </c>
      <c r="B266" s="67" t="s">
        <v>2237</v>
      </c>
      <c r="C266" s="152">
        <v>8</v>
      </c>
      <c r="D266" s="67" t="s">
        <v>2147</v>
      </c>
      <c r="E266" s="67" t="s">
        <v>2126</v>
      </c>
      <c r="F266" s="153">
        <v>8</v>
      </c>
      <c r="G266" s="153" t="s">
        <v>3721</v>
      </c>
      <c r="H266" s="153" t="s">
        <v>2110</v>
      </c>
      <c r="I266" s="67" t="s">
        <v>1835</v>
      </c>
      <c r="J266" s="67" t="s">
        <v>270</v>
      </c>
      <c r="K266" s="67" t="s">
        <v>2218</v>
      </c>
      <c r="L266">
        <v>8</v>
      </c>
      <c r="M266" t="s">
        <v>8</v>
      </c>
      <c r="N266" t="s">
        <v>8</v>
      </c>
      <c r="O266" t="s">
        <v>8</v>
      </c>
      <c r="P266" t="s">
        <v>8</v>
      </c>
      <c r="Q266" t="s">
        <v>8</v>
      </c>
      <c r="R266" t="s">
        <v>8</v>
      </c>
    </row>
    <row r="267" spans="1:18">
      <c r="A267" s="151" t="s">
        <v>2072</v>
      </c>
      <c r="B267" s="67" t="s">
        <v>2235</v>
      </c>
      <c r="C267" s="152">
        <v>8</v>
      </c>
      <c r="D267" s="67" t="s">
        <v>1109</v>
      </c>
      <c r="E267" s="67" t="s">
        <v>2126</v>
      </c>
      <c r="F267" s="153" t="s">
        <v>270</v>
      </c>
      <c r="G267" s="153" t="s">
        <v>2127</v>
      </c>
      <c r="H267" s="153" t="s">
        <v>2107</v>
      </c>
      <c r="I267" s="67" t="s">
        <v>1835</v>
      </c>
      <c r="J267" s="67" t="s">
        <v>270</v>
      </c>
      <c r="K267" s="67" t="s">
        <v>2217</v>
      </c>
      <c r="L267">
        <v>8</v>
      </c>
      <c r="M267" t="s">
        <v>8</v>
      </c>
      <c r="N267" t="s">
        <v>8</v>
      </c>
      <c r="O267" t="s">
        <v>8</v>
      </c>
      <c r="P267" t="s">
        <v>8</v>
      </c>
      <c r="Q267" t="s">
        <v>8</v>
      </c>
      <c r="R267" t="s">
        <v>8</v>
      </c>
    </row>
    <row r="268" spans="1:18">
      <c r="A268" s="151" t="s">
        <v>1976</v>
      </c>
      <c r="B268" s="67" t="s">
        <v>2124</v>
      </c>
      <c r="C268" s="152">
        <v>5</v>
      </c>
      <c r="D268" s="67" t="s">
        <v>2126</v>
      </c>
      <c r="E268" s="67" t="s">
        <v>2126</v>
      </c>
      <c r="F268" s="153" t="s">
        <v>1740</v>
      </c>
      <c r="G268" s="153" t="s">
        <v>2127</v>
      </c>
      <c r="H268" s="153" t="s">
        <v>2107</v>
      </c>
      <c r="I268" s="67" t="s">
        <v>1835</v>
      </c>
      <c r="J268" s="67" t="s">
        <v>2120</v>
      </c>
      <c r="K268" s="67" t="s">
        <v>2191</v>
      </c>
      <c r="L268">
        <v>5</v>
      </c>
      <c r="M268" t="s">
        <v>8</v>
      </c>
      <c r="N268" t="s">
        <v>8</v>
      </c>
      <c r="O268" t="s">
        <v>8</v>
      </c>
      <c r="P268" t="s">
        <v>8</v>
      </c>
      <c r="Q268" t="s">
        <v>8</v>
      </c>
      <c r="R268" t="s">
        <v>8</v>
      </c>
    </row>
    <row r="269" spans="1:18">
      <c r="A269" s="151" t="s">
        <v>2049</v>
      </c>
      <c r="B269" s="67" t="s">
        <v>2124</v>
      </c>
      <c r="C269" s="152">
        <v>7</v>
      </c>
      <c r="D269" s="67" t="s">
        <v>1118</v>
      </c>
      <c r="E269" s="67" t="s">
        <v>2148</v>
      </c>
      <c r="F269" s="153">
        <v>7</v>
      </c>
      <c r="G269" s="153" t="s">
        <v>2126</v>
      </c>
      <c r="H269" s="153" t="s">
        <v>2107</v>
      </c>
      <c r="I269" s="67" t="s">
        <v>1835</v>
      </c>
      <c r="J269" s="67" t="s">
        <v>2120</v>
      </c>
      <c r="K269" s="67" t="s">
        <v>2211</v>
      </c>
      <c r="L269">
        <v>7</v>
      </c>
      <c r="M269" t="s">
        <v>8</v>
      </c>
      <c r="N269" t="s">
        <v>8</v>
      </c>
      <c r="O269" t="s">
        <v>8</v>
      </c>
      <c r="P269" t="s">
        <v>8</v>
      </c>
      <c r="Q269" t="s">
        <v>8</v>
      </c>
      <c r="R269" t="s">
        <v>8</v>
      </c>
    </row>
    <row r="270" spans="1:18">
      <c r="A270" s="151" t="s">
        <v>1857</v>
      </c>
      <c r="B270" s="67" t="s">
        <v>2135</v>
      </c>
      <c r="C270" s="152">
        <v>2</v>
      </c>
      <c r="D270" s="67" t="s">
        <v>2280</v>
      </c>
      <c r="E270" s="67" t="s">
        <v>2148</v>
      </c>
      <c r="F270" s="153">
        <v>2</v>
      </c>
      <c r="G270" s="67" t="s">
        <v>2409</v>
      </c>
      <c r="H270" s="153" t="s">
        <v>2107</v>
      </c>
      <c r="I270" s="67" t="s">
        <v>1835</v>
      </c>
      <c r="J270" s="67" t="s">
        <v>2120</v>
      </c>
      <c r="K270" s="67" t="s">
        <v>2160</v>
      </c>
      <c r="L270">
        <v>2</v>
      </c>
      <c r="M270" t="s">
        <v>8</v>
      </c>
      <c r="N270" t="s">
        <v>8</v>
      </c>
      <c r="O270" t="s">
        <v>8</v>
      </c>
      <c r="P270" t="s">
        <v>8</v>
      </c>
      <c r="Q270" t="s">
        <v>8</v>
      </c>
      <c r="R270" t="s">
        <v>8</v>
      </c>
    </row>
    <row r="271" spans="1:18">
      <c r="A271" s="151" t="s">
        <v>2074</v>
      </c>
      <c r="B271" s="67" t="s">
        <v>2229</v>
      </c>
      <c r="C271" s="152">
        <v>8</v>
      </c>
      <c r="D271" s="67" t="s">
        <v>1118</v>
      </c>
      <c r="E271" s="67" t="s">
        <v>2321</v>
      </c>
      <c r="F271" s="153">
        <v>1</v>
      </c>
      <c r="G271" s="153" t="s">
        <v>2127</v>
      </c>
      <c r="H271" s="153" t="s">
        <v>2110</v>
      </c>
      <c r="I271" s="67" t="s">
        <v>1835</v>
      </c>
      <c r="J271" s="67" t="s">
        <v>2120</v>
      </c>
      <c r="K271" s="67" t="s">
        <v>2219</v>
      </c>
      <c r="L271">
        <v>8</v>
      </c>
      <c r="M271" t="s">
        <v>8</v>
      </c>
      <c r="N271" t="s">
        <v>8</v>
      </c>
      <c r="O271" t="s">
        <v>8</v>
      </c>
      <c r="P271" t="s">
        <v>8</v>
      </c>
      <c r="Q271" t="s">
        <v>8</v>
      </c>
      <c r="R271" t="s">
        <v>8</v>
      </c>
    </row>
    <row r="272" spans="1:18">
      <c r="A272" s="151" t="s">
        <v>2050</v>
      </c>
      <c r="B272" s="67" t="s">
        <v>2105</v>
      </c>
      <c r="C272" s="152">
        <v>7</v>
      </c>
      <c r="D272" s="67" t="s">
        <v>2122</v>
      </c>
      <c r="E272" s="67" t="s">
        <v>2126</v>
      </c>
      <c r="F272" s="153">
        <v>2</v>
      </c>
      <c r="G272" s="153" t="s">
        <v>1117</v>
      </c>
      <c r="H272" s="153" t="s">
        <v>2151</v>
      </c>
      <c r="I272" s="67" t="s">
        <v>1835</v>
      </c>
      <c r="J272" s="67" t="s">
        <v>2120</v>
      </c>
      <c r="K272" s="67" t="s">
        <v>2212</v>
      </c>
      <c r="L272">
        <v>7</v>
      </c>
      <c r="M272" t="s">
        <v>8</v>
      </c>
      <c r="N272" t="s">
        <v>8</v>
      </c>
      <c r="O272" t="s">
        <v>8</v>
      </c>
      <c r="P272" t="s">
        <v>8</v>
      </c>
      <c r="Q272" t="s">
        <v>8</v>
      </c>
      <c r="R272" t="s">
        <v>8</v>
      </c>
    </row>
    <row r="273" spans="1:18">
      <c r="A273" s="151" t="s">
        <v>1977</v>
      </c>
      <c r="B273" s="67" t="s">
        <v>2255</v>
      </c>
      <c r="C273" s="152">
        <v>5</v>
      </c>
      <c r="D273" s="67" t="s">
        <v>1109</v>
      </c>
      <c r="E273" s="67" t="s">
        <v>2126</v>
      </c>
      <c r="F273" s="153">
        <v>5</v>
      </c>
      <c r="G273" s="153" t="s">
        <v>3722</v>
      </c>
      <c r="H273" s="153" t="s">
        <v>2107</v>
      </c>
      <c r="I273" s="67" t="s">
        <v>1834</v>
      </c>
      <c r="J273" s="67" t="s">
        <v>270</v>
      </c>
      <c r="K273" s="67" t="s">
        <v>2192</v>
      </c>
      <c r="L273">
        <v>5</v>
      </c>
      <c r="M273" t="s">
        <v>8</v>
      </c>
      <c r="N273" t="s">
        <v>8</v>
      </c>
      <c r="O273" t="s">
        <v>8</v>
      </c>
      <c r="P273" t="s">
        <v>8</v>
      </c>
      <c r="Q273" t="s">
        <v>8</v>
      </c>
      <c r="R273" t="s">
        <v>8</v>
      </c>
    </row>
    <row r="274" spans="1:18">
      <c r="A274" s="151" t="s">
        <v>1938</v>
      </c>
      <c r="B274" s="67" t="s">
        <v>2124</v>
      </c>
      <c r="C274" s="152">
        <v>4</v>
      </c>
      <c r="D274" s="67" t="s">
        <v>1118</v>
      </c>
      <c r="E274" s="67" t="s">
        <v>2148</v>
      </c>
      <c r="F274" s="153">
        <v>4</v>
      </c>
      <c r="G274" s="153" t="s">
        <v>3723</v>
      </c>
      <c r="H274" s="153" t="s">
        <v>2107</v>
      </c>
      <c r="I274" s="67" t="s">
        <v>1835</v>
      </c>
      <c r="J274" s="67" t="s">
        <v>270</v>
      </c>
      <c r="K274" s="67" t="s">
        <v>2181</v>
      </c>
      <c r="L274">
        <v>4</v>
      </c>
      <c r="M274" t="s">
        <v>8</v>
      </c>
      <c r="N274" t="s">
        <v>8</v>
      </c>
      <c r="O274" t="s">
        <v>8</v>
      </c>
      <c r="P274" t="s">
        <v>8</v>
      </c>
      <c r="Q274" t="s">
        <v>8</v>
      </c>
      <c r="R274" t="s">
        <v>8</v>
      </c>
    </row>
    <row r="275" spans="1:18">
      <c r="A275" s="151" t="s">
        <v>2075</v>
      </c>
      <c r="B275" s="67" t="s">
        <v>2243</v>
      </c>
      <c r="C275" s="152">
        <v>8</v>
      </c>
      <c r="D275" s="67" t="s">
        <v>2126</v>
      </c>
      <c r="E275" s="67" t="s">
        <v>2126</v>
      </c>
      <c r="F275" s="153" t="s">
        <v>1740</v>
      </c>
      <c r="G275" s="153" t="s">
        <v>2127</v>
      </c>
      <c r="H275" s="153" t="s">
        <v>2107</v>
      </c>
      <c r="I275" s="67" t="s">
        <v>1835</v>
      </c>
      <c r="J275" s="67" t="s">
        <v>270</v>
      </c>
      <c r="K275" s="67" t="s">
        <v>2219</v>
      </c>
      <c r="L275">
        <v>8</v>
      </c>
      <c r="M275" t="s">
        <v>8</v>
      </c>
      <c r="N275" t="s">
        <v>8</v>
      </c>
      <c r="O275" t="s">
        <v>8</v>
      </c>
      <c r="P275" t="s">
        <v>8</v>
      </c>
      <c r="Q275" t="s">
        <v>8</v>
      </c>
      <c r="R275" t="s">
        <v>8</v>
      </c>
    </row>
    <row r="276" spans="1:18">
      <c r="A276" s="151" t="s">
        <v>1978</v>
      </c>
      <c r="B276" s="67" t="s">
        <v>2105</v>
      </c>
      <c r="C276" s="152">
        <v>4</v>
      </c>
      <c r="D276" s="67" t="str">
        <f>"0"</f>
        <v>0</v>
      </c>
      <c r="E276" s="67" t="s">
        <v>2126</v>
      </c>
      <c r="F276" s="153">
        <v>2</v>
      </c>
      <c r="G276" s="153" t="s">
        <v>2126</v>
      </c>
      <c r="H276" s="153" t="s">
        <v>2151</v>
      </c>
      <c r="I276" s="67" t="s">
        <v>1835</v>
      </c>
      <c r="J276" s="67" t="s">
        <v>2120</v>
      </c>
      <c r="K276" s="67" t="s">
        <v>2181</v>
      </c>
      <c r="L276">
        <v>4</v>
      </c>
      <c r="M276" t="s">
        <v>8</v>
      </c>
      <c r="N276" t="s">
        <v>8</v>
      </c>
      <c r="O276" t="s">
        <v>8</v>
      </c>
      <c r="P276" t="s">
        <v>8</v>
      </c>
      <c r="Q276" t="s">
        <v>8</v>
      </c>
      <c r="R276" t="s">
        <v>8</v>
      </c>
    </row>
    <row r="277" spans="1:18">
      <c r="A277" s="151" t="s">
        <v>2014</v>
      </c>
      <c r="B277" s="67" t="s">
        <v>2105</v>
      </c>
      <c r="C277" s="152">
        <v>5</v>
      </c>
      <c r="D277" s="67" t="str">
        <f>"0"</f>
        <v>0</v>
      </c>
      <c r="E277" s="67" t="s">
        <v>2126</v>
      </c>
      <c r="F277" s="153">
        <v>4</v>
      </c>
      <c r="G277" s="153" t="s">
        <v>2126</v>
      </c>
      <c r="H277" s="153" t="s">
        <v>2151</v>
      </c>
      <c r="I277" s="67" t="s">
        <v>1835</v>
      </c>
      <c r="J277" s="67" t="s">
        <v>2120</v>
      </c>
      <c r="K277" s="67" t="s">
        <v>2192</v>
      </c>
      <c r="L277">
        <v>5</v>
      </c>
      <c r="M277" t="s">
        <v>8</v>
      </c>
      <c r="N277" t="s">
        <v>8</v>
      </c>
      <c r="O277" t="s">
        <v>8</v>
      </c>
      <c r="P277" t="s">
        <v>8</v>
      </c>
      <c r="Q277" t="s">
        <v>8</v>
      </c>
      <c r="R277" t="s">
        <v>8</v>
      </c>
    </row>
    <row r="278" spans="1:18">
      <c r="A278" s="151" t="s">
        <v>2013</v>
      </c>
      <c r="B278" s="67" t="s">
        <v>2105</v>
      </c>
      <c r="C278" s="152">
        <v>6</v>
      </c>
      <c r="D278" s="67" t="str">
        <f>"0"</f>
        <v>0</v>
      </c>
      <c r="E278" s="67" t="s">
        <v>2126</v>
      </c>
      <c r="F278" s="153">
        <v>6</v>
      </c>
      <c r="G278" s="153" t="s">
        <v>2126</v>
      </c>
      <c r="H278" s="153" t="s">
        <v>2151</v>
      </c>
      <c r="I278" s="67" t="s">
        <v>1835</v>
      </c>
      <c r="J278" s="67" t="s">
        <v>2120</v>
      </c>
      <c r="K278" s="67" t="s">
        <v>2202</v>
      </c>
      <c r="L278">
        <v>6</v>
      </c>
      <c r="M278" t="s">
        <v>8</v>
      </c>
      <c r="N278" t="s">
        <v>8</v>
      </c>
      <c r="O278" t="s">
        <v>8</v>
      </c>
      <c r="P278" t="s">
        <v>8</v>
      </c>
      <c r="Q278" t="s">
        <v>8</v>
      </c>
      <c r="R278" t="s">
        <v>8</v>
      </c>
    </row>
    <row r="279" spans="1:18">
      <c r="A279" s="151" t="s">
        <v>1979</v>
      </c>
      <c r="B279" s="67" t="s">
        <v>2254</v>
      </c>
      <c r="C279" s="152">
        <v>5</v>
      </c>
      <c r="D279" s="67" t="s">
        <v>2117</v>
      </c>
      <c r="E279" s="67" t="s">
        <v>2126</v>
      </c>
      <c r="F279" s="153" t="s">
        <v>270</v>
      </c>
      <c r="G279" s="153" t="s">
        <v>3691</v>
      </c>
      <c r="H279" s="153" t="s">
        <v>2107</v>
      </c>
      <c r="I279" s="67" t="s">
        <v>1835</v>
      </c>
      <c r="J279" s="67" t="s">
        <v>2120</v>
      </c>
      <c r="K279" s="67" t="s">
        <v>2192</v>
      </c>
      <c r="L279">
        <v>5</v>
      </c>
      <c r="M279" t="s">
        <v>8</v>
      </c>
      <c r="N279" t="s">
        <v>8</v>
      </c>
      <c r="O279" t="s">
        <v>8</v>
      </c>
      <c r="P279" t="s">
        <v>8</v>
      </c>
      <c r="Q279" t="s">
        <v>8</v>
      </c>
      <c r="R279" t="s">
        <v>8</v>
      </c>
    </row>
    <row r="280" spans="1:18">
      <c r="A280" s="151" t="s">
        <v>1980</v>
      </c>
      <c r="B280" s="67" t="s">
        <v>2105</v>
      </c>
      <c r="C280" s="152">
        <v>5</v>
      </c>
      <c r="D280" s="67" t="s">
        <v>2122</v>
      </c>
      <c r="E280" s="67" t="s">
        <v>2111</v>
      </c>
      <c r="F280" s="153" t="s">
        <v>2111</v>
      </c>
      <c r="G280" s="153" t="s">
        <v>3690</v>
      </c>
      <c r="H280" s="153" t="s">
        <v>2107</v>
      </c>
      <c r="I280" s="67" t="s">
        <v>1835</v>
      </c>
      <c r="J280" s="67" t="s">
        <v>2120</v>
      </c>
      <c r="K280" s="67" t="s">
        <v>2192</v>
      </c>
      <c r="L280">
        <v>5</v>
      </c>
      <c r="M280" t="s">
        <v>8</v>
      </c>
      <c r="N280" t="s">
        <v>8</v>
      </c>
      <c r="O280" t="s">
        <v>8</v>
      </c>
      <c r="P280" t="s">
        <v>8</v>
      </c>
      <c r="Q280" t="s">
        <v>8</v>
      </c>
      <c r="R280" t="s">
        <v>8</v>
      </c>
    </row>
    <row r="281" spans="1:18">
      <c r="A281" s="151" t="s">
        <v>1795</v>
      </c>
      <c r="B281" s="67" t="s">
        <v>2003</v>
      </c>
      <c r="C281" s="152">
        <v>1</v>
      </c>
      <c r="D281" s="67" t="s">
        <v>2140</v>
      </c>
      <c r="E281" s="67" t="s">
        <v>2126</v>
      </c>
      <c r="F281" s="67" t="s">
        <v>2278</v>
      </c>
      <c r="G281" s="67" t="s">
        <v>2144</v>
      </c>
      <c r="H281" s="67" t="s">
        <v>2107</v>
      </c>
      <c r="I281" s="67" t="s">
        <v>1835</v>
      </c>
      <c r="J281" s="67" t="s">
        <v>270</v>
      </c>
      <c r="K281" s="67" t="s">
        <v>2139</v>
      </c>
      <c r="L281">
        <v>1</v>
      </c>
      <c r="M281" t="s">
        <v>8</v>
      </c>
      <c r="N281" t="s">
        <v>8</v>
      </c>
      <c r="O281" t="s">
        <v>8</v>
      </c>
      <c r="P281" t="s">
        <v>8</v>
      </c>
      <c r="Q281" t="s">
        <v>8</v>
      </c>
      <c r="R281" t="s">
        <v>8</v>
      </c>
    </row>
    <row r="282" spans="1:18">
      <c r="A282" s="151" t="s">
        <v>1981</v>
      </c>
      <c r="B282" s="67" t="s">
        <v>2123</v>
      </c>
      <c r="C282" s="152">
        <v>5</v>
      </c>
      <c r="D282" s="67" t="s">
        <v>2118</v>
      </c>
      <c r="E282" s="67" t="s">
        <v>2323</v>
      </c>
      <c r="F282" s="153">
        <v>5</v>
      </c>
      <c r="G282" s="153" t="s">
        <v>2446</v>
      </c>
      <c r="H282" s="153" t="s">
        <v>2110</v>
      </c>
      <c r="I282" s="67" t="s">
        <v>1835</v>
      </c>
      <c r="J282" s="67" t="s">
        <v>2120</v>
      </c>
      <c r="K282" s="67" t="s">
        <v>2192</v>
      </c>
      <c r="L282">
        <v>5</v>
      </c>
      <c r="M282" t="s">
        <v>8</v>
      </c>
      <c r="N282" t="s">
        <v>8</v>
      </c>
      <c r="O282" t="s">
        <v>8</v>
      </c>
      <c r="P282" t="s">
        <v>8</v>
      </c>
      <c r="Q282" t="s">
        <v>8</v>
      </c>
      <c r="R282" t="s">
        <v>8</v>
      </c>
    </row>
    <row r="283" spans="1:18">
      <c r="A283" s="151" t="s">
        <v>1796</v>
      </c>
      <c r="B283" s="67" t="s">
        <v>2105</v>
      </c>
      <c r="C283" s="152">
        <v>1</v>
      </c>
      <c r="D283" s="67" t="s">
        <v>2146</v>
      </c>
      <c r="E283" s="67" t="s">
        <v>2148</v>
      </c>
      <c r="F283" s="67">
        <v>1</v>
      </c>
      <c r="G283" s="67" t="s">
        <v>3692</v>
      </c>
      <c r="H283" s="67" t="s">
        <v>2151</v>
      </c>
      <c r="I283" s="67" t="s">
        <v>1835</v>
      </c>
      <c r="J283" s="67" t="s">
        <v>2120</v>
      </c>
      <c r="K283" s="67" t="s">
        <v>2145</v>
      </c>
      <c r="L283">
        <v>1</v>
      </c>
      <c r="M283" t="s">
        <v>8</v>
      </c>
      <c r="N283" t="s">
        <v>8</v>
      </c>
      <c r="O283" t="s">
        <v>8</v>
      </c>
      <c r="P283" t="s">
        <v>8</v>
      </c>
      <c r="Q283" t="s">
        <v>8</v>
      </c>
      <c r="R283" t="s">
        <v>8</v>
      </c>
    </row>
    <row r="284" spans="1:18">
      <c r="A284" s="151" t="s">
        <v>1797</v>
      </c>
      <c r="B284" s="67" t="s">
        <v>2105</v>
      </c>
      <c r="C284" s="152">
        <v>1</v>
      </c>
      <c r="D284" s="67" t="s">
        <v>2147</v>
      </c>
      <c r="E284" s="67" t="s">
        <v>2148</v>
      </c>
      <c r="F284" s="67">
        <v>1</v>
      </c>
      <c r="G284" s="67" t="s">
        <v>2126</v>
      </c>
      <c r="H284" s="67" t="s">
        <v>2151</v>
      </c>
      <c r="I284" s="67" t="s">
        <v>1835</v>
      </c>
      <c r="J284" s="67" t="s">
        <v>2120</v>
      </c>
      <c r="K284" s="67" t="s">
        <v>2145</v>
      </c>
      <c r="L284">
        <v>1</v>
      </c>
      <c r="M284" t="s">
        <v>8</v>
      </c>
      <c r="N284" t="s">
        <v>8</v>
      </c>
      <c r="O284" t="s">
        <v>8</v>
      </c>
      <c r="P284" t="s">
        <v>8</v>
      </c>
      <c r="Q284" t="s">
        <v>8</v>
      </c>
      <c r="R284" t="s">
        <v>8</v>
      </c>
    </row>
    <row r="285" spans="1:18">
      <c r="A285" s="151" t="s">
        <v>1858</v>
      </c>
      <c r="B285" s="67" t="s">
        <v>2003</v>
      </c>
      <c r="C285" s="152">
        <v>2</v>
      </c>
      <c r="D285" s="67" t="s">
        <v>2281</v>
      </c>
      <c r="E285" s="67" t="s">
        <v>2126</v>
      </c>
      <c r="F285" s="153">
        <v>2</v>
      </c>
      <c r="G285" s="67" t="s">
        <v>2410</v>
      </c>
      <c r="H285" s="153" t="s">
        <v>2107</v>
      </c>
      <c r="I285" s="67" t="s">
        <v>1835</v>
      </c>
      <c r="J285" s="67" t="s">
        <v>270</v>
      </c>
      <c r="K285" s="67" t="s">
        <v>2160</v>
      </c>
      <c r="L285">
        <v>2</v>
      </c>
      <c r="M285" t="s">
        <v>8</v>
      </c>
      <c r="N285" t="s">
        <v>8</v>
      </c>
      <c r="O285" t="s">
        <v>8</v>
      </c>
      <c r="P285" t="s">
        <v>8</v>
      </c>
      <c r="Q285" t="s">
        <v>8</v>
      </c>
      <c r="R285" t="s">
        <v>8</v>
      </c>
    </row>
    <row r="286" spans="1:18">
      <c r="A286" s="151" t="s">
        <v>1896</v>
      </c>
      <c r="B286" s="67" t="s">
        <v>2003</v>
      </c>
      <c r="C286" s="152">
        <v>3</v>
      </c>
      <c r="D286" s="67" t="s">
        <v>2279</v>
      </c>
      <c r="E286" s="67" t="s">
        <v>2111</v>
      </c>
      <c r="F286" s="153">
        <v>3</v>
      </c>
      <c r="G286" s="153" t="s">
        <v>2126</v>
      </c>
      <c r="H286" s="153" t="s">
        <v>2107</v>
      </c>
      <c r="I286" s="67" t="s">
        <v>1835</v>
      </c>
      <c r="J286" s="67" t="s">
        <v>2120</v>
      </c>
      <c r="K286" s="67" t="s">
        <v>2170</v>
      </c>
      <c r="L286">
        <v>3</v>
      </c>
      <c r="M286" t="s">
        <v>8</v>
      </c>
      <c r="N286" t="s">
        <v>8</v>
      </c>
      <c r="O286" t="s">
        <v>8</v>
      </c>
      <c r="P286" t="s">
        <v>8</v>
      </c>
      <c r="Q286" t="s">
        <v>8</v>
      </c>
      <c r="R286" t="s">
        <v>8</v>
      </c>
    </row>
    <row r="287" spans="1:18">
      <c r="A287" s="151" t="s">
        <v>1859</v>
      </c>
      <c r="B287" s="67" t="s">
        <v>2123</v>
      </c>
      <c r="C287" s="152">
        <v>2</v>
      </c>
      <c r="D287" s="67" t="str">
        <f>"0"</f>
        <v>0</v>
      </c>
      <c r="E287" s="67" t="s">
        <v>2149</v>
      </c>
      <c r="F287" s="153">
        <v>2</v>
      </c>
      <c r="G287" s="67" t="s">
        <v>2131</v>
      </c>
      <c r="H287" s="153" t="s">
        <v>2110</v>
      </c>
      <c r="I287" s="67" t="s">
        <v>1835</v>
      </c>
      <c r="J287" s="67" t="s">
        <v>2120</v>
      </c>
      <c r="K287" s="67" t="s">
        <v>2160</v>
      </c>
      <c r="L287">
        <v>2</v>
      </c>
      <c r="M287" t="s">
        <v>8</v>
      </c>
      <c r="N287" t="s">
        <v>8</v>
      </c>
      <c r="O287" t="s">
        <v>8</v>
      </c>
      <c r="P287" t="s">
        <v>8</v>
      </c>
      <c r="Q287" t="s">
        <v>8</v>
      </c>
      <c r="R287" t="s">
        <v>8</v>
      </c>
    </row>
    <row r="288" spans="1:18">
      <c r="A288" s="151" t="s">
        <v>171</v>
      </c>
      <c r="B288" s="67" t="s">
        <v>2105</v>
      </c>
      <c r="C288" s="152">
        <v>2</v>
      </c>
      <c r="D288" s="67" t="s">
        <v>2122</v>
      </c>
      <c r="E288" s="67" t="s">
        <v>2304</v>
      </c>
      <c r="F288" s="153" t="s">
        <v>1740</v>
      </c>
      <c r="G288" s="67" t="s">
        <v>2411</v>
      </c>
      <c r="H288" s="153" t="s">
        <v>2107</v>
      </c>
      <c r="I288" s="67" t="s">
        <v>1835</v>
      </c>
      <c r="J288" s="67" t="s">
        <v>2120</v>
      </c>
      <c r="K288" s="67" t="s">
        <v>2160</v>
      </c>
      <c r="L288">
        <v>2</v>
      </c>
      <c r="M288" t="s">
        <v>8</v>
      </c>
      <c r="N288" t="s">
        <v>8</v>
      </c>
      <c r="O288" t="s">
        <v>8</v>
      </c>
      <c r="P288" t="s">
        <v>8</v>
      </c>
      <c r="Q288" t="s">
        <v>8</v>
      </c>
      <c r="R288" t="s">
        <v>8</v>
      </c>
    </row>
    <row r="289" spans="1:18">
      <c r="A289" s="151" t="s">
        <v>1798</v>
      </c>
      <c r="B289" s="67" t="s">
        <v>2123</v>
      </c>
      <c r="C289" s="152">
        <v>1</v>
      </c>
      <c r="D289" s="67" t="s">
        <v>2276</v>
      </c>
      <c r="E289" s="67" t="s">
        <v>2126</v>
      </c>
      <c r="F289" s="67">
        <v>1</v>
      </c>
      <c r="G289" s="67" t="s">
        <v>3693</v>
      </c>
      <c r="H289" s="67" t="s">
        <v>2107</v>
      </c>
      <c r="I289" s="67" t="s">
        <v>1835</v>
      </c>
      <c r="J289" s="67" t="s">
        <v>270</v>
      </c>
      <c r="K289" s="67" t="s">
        <v>2145</v>
      </c>
      <c r="L289">
        <v>1</v>
      </c>
      <c r="M289" t="s">
        <v>8</v>
      </c>
      <c r="N289" t="s">
        <v>8</v>
      </c>
      <c r="O289" t="s">
        <v>8</v>
      </c>
      <c r="P289" t="s">
        <v>8</v>
      </c>
      <c r="Q289" t="s">
        <v>8</v>
      </c>
      <c r="R289" t="s">
        <v>8</v>
      </c>
    </row>
    <row r="290" spans="1:18">
      <c r="A290" s="151" t="s">
        <v>1860</v>
      </c>
      <c r="B290" s="67" t="s">
        <v>2123</v>
      </c>
      <c r="C290" s="152">
        <v>2</v>
      </c>
      <c r="D290" s="67" t="s">
        <v>2276</v>
      </c>
      <c r="E290" s="67" t="s">
        <v>2126</v>
      </c>
      <c r="F290" s="153">
        <v>2</v>
      </c>
      <c r="G290" s="67" t="s">
        <v>3694</v>
      </c>
      <c r="H290" s="153" t="s">
        <v>2107</v>
      </c>
      <c r="I290" s="67" t="s">
        <v>1835</v>
      </c>
      <c r="J290" s="67" t="s">
        <v>270</v>
      </c>
      <c r="K290" s="67" t="s">
        <v>2161</v>
      </c>
      <c r="L290">
        <v>2</v>
      </c>
      <c r="M290" t="s">
        <v>8</v>
      </c>
      <c r="N290" t="s">
        <v>8</v>
      </c>
      <c r="O290" t="s">
        <v>8</v>
      </c>
      <c r="P290" t="s">
        <v>8</v>
      </c>
      <c r="Q290" t="s">
        <v>8</v>
      </c>
      <c r="R290" t="s">
        <v>8</v>
      </c>
    </row>
    <row r="291" spans="1:18">
      <c r="A291" s="151" t="s">
        <v>1897</v>
      </c>
      <c r="B291" s="67" t="s">
        <v>2123</v>
      </c>
      <c r="C291" s="152">
        <v>3</v>
      </c>
      <c r="D291" s="67" t="s">
        <v>2286</v>
      </c>
      <c r="E291" s="67" t="s">
        <v>2126</v>
      </c>
      <c r="F291" s="153">
        <v>3</v>
      </c>
      <c r="G291" s="153" t="s">
        <v>3695</v>
      </c>
      <c r="H291" s="153" t="s">
        <v>2110</v>
      </c>
      <c r="I291" s="67" t="s">
        <v>1835</v>
      </c>
      <c r="J291" s="67" t="s">
        <v>270</v>
      </c>
      <c r="K291" s="67" t="s">
        <v>2170</v>
      </c>
      <c r="L291">
        <v>3</v>
      </c>
      <c r="M291" t="s">
        <v>8</v>
      </c>
      <c r="N291" t="s">
        <v>8</v>
      </c>
      <c r="O291" t="s">
        <v>8</v>
      </c>
      <c r="P291" t="s">
        <v>8</v>
      </c>
      <c r="Q291" t="s">
        <v>8</v>
      </c>
      <c r="R291" t="s">
        <v>8</v>
      </c>
    </row>
    <row r="292" spans="1:18">
      <c r="A292" s="151" t="s">
        <v>1031</v>
      </c>
      <c r="B292" s="67" t="s">
        <v>2260</v>
      </c>
      <c r="C292" s="152">
        <v>3</v>
      </c>
      <c r="D292" s="67" t="str">
        <f>"0"</f>
        <v>0</v>
      </c>
      <c r="E292" s="67" t="s">
        <v>2116</v>
      </c>
      <c r="F292" s="153">
        <v>1</v>
      </c>
      <c r="G292" s="153" t="s">
        <v>2454</v>
      </c>
      <c r="H292" s="153" t="s">
        <v>2263</v>
      </c>
      <c r="I292" s="67" t="s">
        <v>1835</v>
      </c>
      <c r="J292" s="67" t="s">
        <v>2120</v>
      </c>
      <c r="K292" s="67" t="s">
        <v>2170</v>
      </c>
      <c r="L292">
        <v>3</v>
      </c>
      <c r="M292" t="s">
        <v>8</v>
      </c>
      <c r="N292" t="s">
        <v>8</v>
      </c>
      <c r="O292" t="s">
        <v>8</v>
      </c>
      <c r="P292" t="s">
        <v>8</v>
      </c>
      <c r="Q292" t="s">
        <v>8</v>
      </c>
      <c r="R292" t="s">
        <v>8</v>
      </c>
    </row>
    <row r="293" spans="1:18">
      <c r="A293" s="151" t="s">
        <v>1861</v>
      </c>
      <c r="B293" s="67" t="s">
        <v>2105</v>
      </c>
      <c r="C293" s="152">
        <v>2</v>
      </c>
      <c r="D293" s="67" t="s">
        <v>2279</v>
      </c>
      <c r="E293" s="67" t="s">
        <v>2297</v>
      </c>
      <c r="F293" s="153">
        <v>2</v>
      </c>
      <c r="G293" s="67" t="s">
        <v>2412</v>
      </c>
      <c r="H293" s="153" t="s">
        <v>2107</v>
      </c>
      <c r="I293" s="67" t="s">
        <v>1835</v>
      </c>
      <c r="J293" s="67" t="s">
        <v>2108</v>
      </c>
      <c r="K293" s="67" t="s">
        <v>2161</v>
      </c>
      <c r="L293">
        <v>2</v>
      </c>
      <c r="M293" t="s">
        <v>8</v>
      </c>
      <c r="N293" t="s">
        <v>8</v>
      </c>
      <c r="O293" t="s">
        <v>8</v>
      </c>
      <c r="P293" t="s">
        <v>8</v>
      </c>
      <c r="Q293" t="s">
        <v>8</v>
      </c>
      <c r="R293" t="s">
        <v>8</v>
      </c>
    </row>
    <row r="294" spans="1:18">
      <c r="A294" s="151" t="s">
        <v>2094</v>
      </c>
      <c r="B294" s="67" t="s">
        <v>2105</v>
      </c>
      <c r="C294" s="152">
        <v>9</v>
      </c>
      <c r="D294" s="67" t="s">
        <v>2122</v>
      </c>
      <c r="E294" s="67" t="s">
        <v>2142</v>
      </c>
      <c r="F294" s="153">
        <v>9</v>
      </c>
      <c r="G294" s="153" t="s">
        <v>3696</v>
      </c>
      <c r="H294" s="153" t="s">
        <v>2110</v>
      </c>
      <c r="I294" s="67" t="s">
        <v>1835</v>
      </c>
      <c r="J294" s="67" t="s">
        <v>270</v>
      </c>
      <c r="K294" s="67" t="s">
        <v>2225</v>
      </c>
      <c r="L294">
        <v>9</v>
      </c>
      <c r="M294" t="s">
        <v>8</v>
      </c>
      <c r="N294" t="s">
        <v>8</v>
      </c>
      <c r="O294" t="s">
        <v>8</v>
      </c>
      <c r="P294" t="s">
        <v>8</v>
      </c>
      <c r="Q294" t="s">
        <v>8</v>
      </c>
      <c r="R294" t="s">
        <v>8</v>
      </c>
    </row>
    <row r="295" spans="1:18">
      <c r="A295" s="151" t="s">
        <v>2015</v>
      </c>
      <c r="B295" s="67" t="s">
        <v>2252</v>
      </c>
      <c r="C295" s="152">
        <v>6</v>
      </c>
      <c r="D295" s="67" t="str">
        <f>"0"</f>
        <v>0</v>
      </c>
      <c r="E295" s="67" t="s">
        <v>2304</v>
      </c>
      <c r="F295" s="153" t="s">
        <v>2471</v>
      </c>
      <c r="G295" s="153" t="s">
        <v>2126</v>
      </c>
      <c r="H295" s="153" t="s">
        <v>2107</v>
      </c>
      <c r="I295" s="67" t="s">
        <v>1835</v>
      </c>
      <c r="J295" s="67" t="s">
        <v>2120</v>
      </c>
      <c r="K295" s="67" t="s">
        <v>2202</v>
      </c>
      <c r="L295">
        <v>6</v>
      </c>
      <c r="M295" t="s">
        <v>8</v>
      </c>
      <c r="N295" t="s">
        <v>8</v>
      </c>
      <c r="O295" t="s">
        <v>8</v>
      </c>
      <c r="P295" t="s">
        <v>8</v>
      </c>
      <c r="Q295" t="s">
        <v>8</v>
      </c>
      <c r="R295" t="s">
        <v>8</v>
      </c>
    </row>
    <row r="296" spans="1:18">
      <c r="A296" s="151" t="s">
        <v>1799</v>
      </c>
      <c r="B296" s="67" t="s">
        <v>2003</v>
      </c>
      <c r="C296" s="152">
        <v>1</v>
      </c>
      <c r="D296" s="67" t="s">
        <v>1109</v>
      </c>
      <c r="E296" s="67" t="s">
        <v>2149</v>
      </c>
      <c r="F296" s="67">
        <v>1</v>
      </c>
      <c r="G296" s="67" t="s">
        <v>3697</v>
      </c>
      <c r="H296" s="67" t="s">
        <v>2107</v>
      </c>
      <c r="I296" s="67" t="s">
        <v>1835</v>
      </c>
      <c r="J296" s="67" t="s">
        <v>270</v>
      </c>
      <c r="K296" s="67" t="s">
        <v>2145</v>
      </c>
      <c r="L296">
        <v>1</v>
      </c>
      <c r="M296" t="s">
        <v>8</v>
      </c>
      <c r="N296" t="s">
        <v>8</v>
      </c>
      <c r="O296" t="s">
        <v>8</v>
      </c>
      <c r="P296" t="s">
        <v>8</v>
      </c>
      <c r="Q296" t="s">
        <v>8</v>
      </c>
      <c r="R296" t="s">
        <v>8</v>
      </c>
    </row>
    <row r="297" spans="1:18">
      <c r="A297" s="151" t="s">
        <v>2016</v>
      </c>
      <c r="B297" s="67" t="s">
        <v>2105</v>
      </c>
      <c r="C297" s="152">
        <v>6</v>
      </c>
      <c r="D297" s="67" t="s">
        <v>2147</v>
      </c>
      <c r="E297" s="67" t="s">
        <v>2142</v>
      </c>
      <c r="F297" s="153" t="s">
        <v>270</v>
      </c>
      <c r="G297" s="153" t="s">
        <v>2126</v>
      </c>
      <c r="H297" s="153" t="s">
        <v>2107</v>
      </c>
      <c r="I297" s="67" t="s">
        <v>1835</v>
      </c>
      <c r="J297" s="67" t="s">
        <v>2120</v>
      </c>
      <c r="K297" s="67" t="s">
        <v>2203</v>
      </c>
      <c r="L297">
        <v>6</v>
      </c>
      <c r="M297" t="s">
        <v>8</v>
      </c>
      <c r="N297" t="s">
        <v>8</v>
      </c>
      <c r="O297" t="s">
        <v>8</v>
      </c>
      <c r="P297" t="s">
        <v>8</v>
      </c>
      <c r="Q297" t="s">
        <v>8</v>
      </c>
      <c r="R297" t="s">
        <v>8</v>
      </c>
    </row>
    <row r="298" spans="1:18">
      <c r="A298" s="151" t="s">
        <v>2017</v>
      </c>
      <c r="B298" s="67" t="s">
        <v>2229</v>
      </c>
      <c r="C298" s="152">
        <v>6</v>
      </c>
      <c r="D298" s="67" t="str">
        <f>"0"</f>
        <v>0</v>
      </c>
      <c r="E298" s="67" t="s">
        <v>2148</v>
      </c>
      <c r="F298" s="153" t="s">
        <v>2111</v>
      </c>
      <c r="G298" s="153" t="s">
        <v>2455</v>
      </c>
      <c r="H298" s="153" t="s">
        <v>2107</v>
      </c>
      <c r="I298" s="67" t="s">
        <v>1835</v>
      </c>
      <c r="J298" s="67" t="s">
        <v>2120</v>
      </c>
      <c r="K298" s="67" t="s">
        <v>2203</v>
      </c>
      <c r="L298">
        <v>6</v>
      </c>
      <c r="M298" t="s">
        <v>8</v>
      </c>
      <c r="N298" t="s">
        <v>8</v>
      </c>
      <c r="O298" t="s">
        <v>8</v>
      </c>
      <c r="P298" t="s">
        <v>8</v>
      </c>
      <c r="Q298" t="s">
        <v>8</v>
      </c>
      <c r="R298" t="s">
        <v>8</v>
      </c>
    </row>
    <row r="299" spans="1:18">
      <c r="A299" s="151" t="s">
        <v>1939</v>
      </c>
      <c r="B299" s="67" t="s">
        <v>2229</v>
      </c>
      <c r="C299" s="152">
        <v>4</v>
      </c>
      <c r="D299" s="67" t="str">
        <f>"0"</f>
        <v>0</v>
      </c>
      <c r="E299" s="67" t="s">
        <v>2148</v>
      </c>
      <c r="F299" s="153">
        <v>4</v>
      </c>
      <c r="G299" s="153" t="s">
        <v>2455</v>
      </c>
      <c r="H299" s="153" t="s">
        <v>2107</v>
      </c>
      <c r="I299" s="67" t="s">
        <v>1835</v>
      </c>
      <c r="J299" s="67" t="s">
        <v>2120</v>
      </c>
      <c r="K299" s="67" t="s">
        <v>2181</v>
      </c>
      <c r="L299">
        <v>4</v>
      </c>
      <c r="M299" t="s">
        <v>8</v>
      </c>
      <c r="N299" t="s">
        <v>8</v>
      </c>
      <c r="O299" t="s">
        <v>8</v>
      </c>
      <c r="P299" t="s">
        <v>8</v>
      </c>
      <c r="Q299" t="s">
        <v>8</v>
      </c>
      <c r="R299" t="s">
        <v>8</v>
      </c>
    </row>
    <row r="300" spans="1:18">
      <c r="A300" s="151" t="s">
        <v>2051</v>
      </c>
      <c r="B300" s="67" t="s">
        <v>2105</v>
      </c>
      <c r="C300" s="152">
        <v>7</v>
      </c>
      <c r="D300" s="67" t="s">
        <v>2117</v>
      </c>
      <c r="E300" s="67" t="s">
        <v>2148</v>
      </c>
      <c r="F300" s="153">
        <v>7</v>
      </c>
      <c r="G300" s="153" t="s">
        <v>3698</v>
      </c>
      <c r="H300" s="153" t="s">
        <v>2107</v>
      </c>
      <c r="I300" s="67" t="s">
        <v>1835</v>
      </c>
      <c r="J300" s="67" t="s">
        <v>2120</v>
      </c>
      <c r="K300" s="67" t="s">
        <v>2212</v>
      </c>
      <c r="L300">
        <v>7</v>
      </c>
      <c r="M300" t="s">
        <v>8</v>
      </c>
      <c r="N300" t="s">
        <v>8</v>
      </c>
      <c r="O300" t="s">
        <v>8</v>
      </c>
      <c r="P300" t="s">
        <v>8</v>
      </c>
      <c r="Q300" t="s">
        <v>8</v>
      </c>
      <c r="R300" t="s">
        <v>8</v>
      </c>
    </row>
    <row r="301" spans="1:18">
      <c r="A301" s="151" t="s">
        <v>1800</v>
      </c>
      <c r="B301" s="67" t="s">
        <v>2123</v>
      </c>
      <c r="C301" s="152">
        <v>1</v>
      </c>
      <c r="D301" s="67" t="str">
        <f>"0"</f>
        <v>0</v>
      </c>
      <c r="E301" s="67" t="s">
        <v>2126</v>
      </c>
      <c r="F301" s="67">
        <v>1</v>
      </c>
      <c r="G301" s="67" t="s">
        <v>2150</v>
      </c>
      <c r="H301" s="67" t="s">
        <v>2110</v>
      </c>
      <c r="I301" s="67" t="s">
        <v>1835</v>
      </c>
      <c r="J301" s="67" t="s">
        <v>2108</v>
      </c>
      <c r="K301" s="67" t="s">
        <v>2145</v>
      </c>
      <c r="L301">
        <v>1</v>
      </c>
      <c r="M301" t="s">
        <v>8</v>
      </c>
      <c r="N301" t="s">
        <v>8</v>
      </c>
      <c r="O301" t="s">
        <v>8</v>
      </c>
      <c r="P301" t="s">
        <v>8</v>
      </c>
      <c r="Q301" t="s">
        <v>8</v>
      </c>
      <c r="R301" t="s">
        <v>8</v>
      </c>
    </row>
    <row r="302" spans="1:18">
      <c r="A302" s="151" t="s">
        <v>1898</v>
      </c>
      <c r="B302" s="67" t="s">
        <v>2105</v>
      </c>
      <c r="C302" s="152">
        <v>3</v>
      </c>
      <c r="D302" s="67" t="s">
        <v>1113</v>
      </c>
      <c r="E302" s="67" t="s">
        <v>2149</v>
      </c>
      <c r="F302" s="153">
        <v>3</v>
      </c>
      <c r="G302" s="153" t="s">
        <v>3699</v>
      </c>
      <c r="H302" s="153" t="s">
        <v>2107</v>
      </c>
      <c r="I302" s="67" t="s">
        <v>1835</v>
      </c>
      <c r="J302" s="67" t="s">
        <v>2120</v>
      </c>
      <c r="K302" s="67" t="s">
        <v>2170</v>
      </c>
      <c r="L302">
        <v>3</v>
      </c>
      <c r="M302" t="s">
        <v>8</v>
      </c>
      <c r="N302" t="s">
        <v>8</v>
      </c>
      <c r="O302" t="s">
        <v>8</v>
      </c>
      <c r="P302" t="s">
        <v>8</v>
      </c>
      <c r="Q302" t="s">
        <v>8</v>
      </c>
      <c r="R302" t="s">
        <v>8</v>
      </c>
    </row>
    <row r="303" spans="1:18">
      <c r="A303" s="151" t="s">
        <v>1801</v>
      </c>
      <c r="B303" s="67" t="s">
        <v>2112</v>
      </c>
      <c r="C303" s="152">
        <v>1</v>
      </c>
      <c r="D303" s="67" t="s">
        <v>1402</v>
      </c>
      <c r="E303" s="67" t="s">
        <v>2270</v>
      </c>
      <c r="F303" s="67">
        <v>1</v>
      </c>
      <c r="G303" s="67" t="s">
        <v>3700</v>
      </c>
      <c r="H303" s="153" t="s">
        <v>2110</v>
      </c>
      <c r="I303" s="67" t="s">
        <v>1835</v>
      </c>
      <c r="J303" s="67" t="s">
        <v>2108</v>
      </c>
      <c r="K303" s="67" t="s">
        <v>2152</v>
      </c>
      <c r="L303">
        <v>1</v>
      </c>
      <c r="M303" t="s">
        <v>8</v>
      </c>
      <c r="N303" t="s">
        <v>8</v>
      </c>
      <c r="O303" t="s">
        <v>8</v>
      </c>
      <c r="P303" t="s">
        <v>8</v>
      </c>
      <c r="Q303" t="s">
        <v>8</v>
      </c>
      <c r="R303" t="s">
        <v>8</v>
      </c>
    </row>
    <row r="304" spans="1:18">
      <c r="A304" s="151" t="s">
        <v>1802</v>
      </c>
      <c r="B304" s="67" t="s">
        <v>2135</v>
      </c>
      <c r="C304" s="152">
        <v>1</v>
      </c>
      <c r="D304" s="67" t="str">
        <f>"0"</f>
        <v>0</v>
      </c>
      <c r="E304" s="67" t="s">
        <v>2148</v>
      </c>
      <c r="F304" s="153" t="s">
        <v>270</v>
      </c>
      <c r="G304" s="67" t="s">
        <v>2272</v>
      </c>
      <c r="H304" s="153" t="s">
        <v>2107</v>
      </c>
      <c r="I304" s="67" t="s">
        <v>1835</v>
      </c>
      <c r="J304" s="67" t="s">
        <v>2120</v>
      </c>
      <c r="K304" s="67" t="s">
        <v>2152</v>
      </c>
      <c r="L304">
        <v>1</v>
      </c>
      <c r="M304" t="s">
        <v>8</v>
      </c>
      <c r="N304" t="s">
        <v>8</v>
      </c>
      <c r="O304" t="s">
        <v>8</v>
      </c>
      <c r="P304" t="s">
        <v>8</v>
      </c>
      <c r="Q304" t="s">
        <v>8</v>
      </c>
      <c r="R304" t="s">
        <v>8</v>
      </c>
    </row>
    <row r="305" spans="1:18">
      <c r="A305" s="151" t="s">
        <v>1982</v>
      </c>
      <c r="B305" s="67" t="s">
        <v>2123</v>
      </c>
      <c r="C305" s="152">
        <v>5</v>
      </c>
      <c r="D305" s="67" t="s">
        <v>2276</v>
      </c>
      <c r="E305" s="67" t="s">
        <v>2148</v>
      </c>
      <c r="F305" s="153" t="s">
        <v>2111</v>
      </c>
      <c r="G305" s="153" t="s">
        <v>3695</v>
      </c>
      <c r="H305" s="153" t="s">
        <v>2107</v>
      </c>
      <c r="I305" s="67" t="s">
        <v>1835</v>
      </c>
      <c r="J305" s="67" t="s">
        <v>270</v>
      </c>
      <c r="K305" s="67" t="s">
        <v>2192</v>
      </c>
      <c r="L305">
        <v>5</v>
      </c>
      <c r="M305" t="s">
        <v>8</v>
      </c>
      <c r="N305" t="s">
        <v>8</v>
      </c>
      <c r="O305" t="s">
        <v>8</v>
      </c>
      <c r="P305" t="s">
        <v>8</v>
      </c>
      <c r="Q305" t="s">
        <v>8</v>
      </c>
      <c r="R305" t="s">
        <v>8</v>
      </c>
    </row>
    <row r="306" spans="1:18">
      <c r="A306" s="151" t="s">
        <v>2018</v>
      </c>
      <c r="B306" s="67" t="s">
        <v>2123</v>
      </c>
      <c r="C306" s="152">
        <v>6</v>
      </c>
      <c r="D306" s="67" t="s">
        <v>2147</v>
      </c>
      <c r="E306" s="67" t="s">
        <v>2142</v>
      </c>
      <c r="F306" s="153">
        <v>6</v>
      </c>
      <c r="G306" s="153" t="s">
        <v>3701</v>
      </c>
      <c r="H306" s="153" t="s">
        <v>2107</v>
      </c>
      <c r="I306" s="67" t="s">
        <v>1835</v>
      </c>
      <c r="J306" s="67" t="s">
        <v>270</v>
      </c>
      <c r="K306" s="67" t="s">
        <v>2203</v>
      </c>
      <c r="L306">
        <v>6</v>
      </c>
      <c r="M306" t="s">
        <v>8</v>
      </c>
      <c r="N306" t="s">
        <v>8</v>
      </c>
      <c r="O306" t="s">
        <v>8</v>
      </c>
      <c r="P306" t="s">
        <v>8</v>
      </c>
      <c r="Q306" t="s">
        <v>8</v>
      </c>
      <c r="R306" t="s">
        <v>8</v>
      </c>
    </row>
    <row r="307" spans="1:18">
      <c r="A307" s="151" t="s">
        <v>2019</v>
      </c>
      <c r="B307" s="67" t="s">
        <v>2123</v>
      </c>
      <c r="C307" s="152">
        <v>6</v>
      </c>
      <c r="D307" s="67" t="s">
        <v>2147</v>
      </c>
      <c r="E307" s="67" t="s">
        <v>2126</v>
      </c>
      <c r="F307" s="153">
        <v>6</v>
      </c>
      <c r="G307" s="153" t="s">
        <v>3701</v>
      </c>
      <c r="H307" s="153" t="s">
        <v>2107</v>
      </c>
      <c r="I307" s="67" t="s">
        <v>1835</v>
      </c>
      <c r="J307" s="67" t="s">
        <v>270</v>
      </c>
      <c r="K307" s="67" t="s">
        <v>2203</v>
      </c>
      <c r="L307">
        <v>6</v>
      </c>
      <c r="M307" t="s">
        <v>8</v>
      </c>
      <c r="N307" t="s">
        <v>8</v>
      </c>
      <c r="O307" t="s">
        <v>8</v>
      </c>
      <c r="P307" t="s">
        <v>8</v>
      </c>
      <c r="Q307" t="s">
        <v>8</v>
      </c>
      <c r="R307" t="s">
        <v>8</v>
      </c>
    </row>
    <row r="308" spans="1:18">
      <c r="A308" s="151" t="s">
        <v>1862</v>
      </c>
      <c r="B308" s="67" t="s">
        <v>2123</v>
      </c>
      <c r="C308" s="152">
        <v>2</v>
      </c>
      <c r="D308" s="67" t="str">
        <f>"0"</f>
        <v>0</v>
      </c>
      <c r="E308" s="67" t="s">
        <v>2301</v>
      </c>
      <c r="F308" s="153">
        <v>2</v>
      </c>
      <c r="G308" s="67" t="s">
        <v>2413</v>
      </c>
      <c r="H308" s="153" t="s">
        <v>2110</v>
      </c>
      <c r="I308" s="67" t="s">
        <v>1835</v>
      </c>
      <c r="J308" s="67" t="s">
        <v>2120</v>
      </c>
      <c r="K308" s="67" t="s">
        <v>2161</v>
      </c>
      <c r="L308">
        <v>2</v>
      </c>
      <c r="M308" t="s">
        <v>8</v>
      </c>
      <c r="N308" t="s">
        <v>8</v>
      </c>
      <c r="O308" t="s">
        <v>8</v>
      </c>
      <c r="P308" t="s">
        <v>8</v>
      </c>
      <c r="Q308" t="s">
        <v>8</v>
      </c>
      <c r="R308" t="s">
        <v>8</v>
      </c>
    </row>
    <row r="309" spans="1:18">
      <c r="A309" s="151" t="s">
        <v>1983</v>
      </c>
      <c r="B309" s="67" t="s">
        <v>2112</v>
      </c>
      <c r="C309" s="152">
        <v>5</v>
      </c>
      <c r="D309" s="67" t="s">
        <v>2117</v>
      </c>
      <c r="E309" s="67" t="s">
        <v>2148</v>
      </c>
      <c r="F309" s="153">
        <v>5</v>
      </c>
      <c r="G309" s="153" t="s">
        <v>3702</v>
      </c>
      <c r="H309" s="153" t="s">
        <v>2107</v>
      </c>
      <c r="I309" s="67" t="s">
        <v>1835</v>
      </c>
      <c r="J309" s="67" t="s">
        <v>2108</v>
      </c>
      <c r="K309" s="67" t="s">
        <v>2193</v>
      </c>
      <c r="L309">
        <v>5</v>
      </c>
      <c r="M309" t="s">
        <v>8</v>
      </c>
      <c r="N309" t="s">
        <v>8</v>
      </c>
      <c r="O309" t="s">
        <v>8</v>
      </c>
      <c r="P309" t="s">
        <v>8</v>
      </c>
      <c r="Q309" t="s">
        <v>8</v>
      </c>
      <c r="R309" t="s">
        <v>8</v>
      </c>
    </row>
    <row r="310" spans="1:18">
      <c r="A310" s="151" t="s">
        <v>2171</v>
      </c>
      <c r="B310" s="67" t="s">
        <v>2231</v>
      </c>
      <c r="C310" s="152">
        <v>3</v>
      </c>
      <c r="D310" s="67" t="s">
        <v>1112</v>
      </c>
      <c r="E310" s="67" t="s">
        <v>2114</v>
      </c>
      <c r="F310" s="153">
        <v>5</v>
      </c>
      <c r="G310" s="153" t="s">
        <v>2437</v>
      </c>
      <c r="H310" s="153" t="s">
        <v>2107</v>
      </c>
      <c r="I310" s="67" t="s">
        <v>1835</v>
      </c>
      <c r="J310" s="67" t="s">
        <v>2108</v>
      </c>
      <c r="K310" s="67" t="s">
        <v>2172</v>
      </c>
      <c r="L310">
        <v>3</v>
      </c>
      <c r="M310" t="s">
        <v>8</v>
      </c>
      <c r="N310" t="s">
        <v>8</v>
      </c>
      <c r="O310" t="s">
        <v>8</v>
      </c>
      <c r="P310" t="s">
        <v>8</v>
      </c>
      <c r="Q310" t="s">
        <v>8</v>
      </c>
      <c r="R310" t="s">
        <v>8</v>
      </c>
    </row>
    <row r="311" spans="1:18">
      <c r="A311" s="151" t="s">
        <v>1899</v>
      </c>
      <c r="B311" s="67" t="s">
        <v>2112</v>
      </c>
      <c r="C311" s="152">
        <v>3</v>
      </c>
      <c r="D311" s="67" t="s">
        <v>2128</v>
      </c>
      <c r="E311" s="67" t="s">
        <v>2116</v>
      </c>
      <c r="F311" s="153">
        <v>3</v>
      </c>
      <c r="G311" s="153" t="s">
        <v>3703</v>
      </c>
      <c r="H311" s="153" t="s">
        <v>2107</v>
      </c>
      <c r="I311" s="67" t="s">
        <v>1835</v>
      </c>
      <c r="J311" s="67" t="s">
        <v>2108</v>
      </c>
      <c r="K311" s="67" t="s">
        <v>2172</v>
      </c>
      <c r="L311">
        <v>3</v>
      </c>
      <c r="M311" t="s">
        <v>8</v>
      </c>
      <c r="N311" t="s">
        <v>8</v>
      </c>
      <c r="O311" t="s">
        <v>8</v>
      </c>
      <c r="P311" t="s">
        <v>8</v>
      </c>
      <c r="Q311" t="s">
        <v>8</v>
      </c>
      <c r="R311" t="s">
        <v>8</v>
      </c>
    </row>
    <row r="312" spans="1:18">
      <c r="A312" s="151" t="s">
        <v>2076</v>
      </c>
      <c r="B312" s="67" t="s">
        <v>2229</v>
      </c>
      <c r="C312" s="152">
        <v>8</v>
      </c>
      <c r="D312" s="67" t="s">
        <v>2122</v>
      </c>
      <c r="E312" s="67" t="s">
        <v>2271</v>
      </c>
      <c r="F312" s="153" t="s">
        <v>2430</v>
      </c>
      <c r="G312" s="153" t="s">
        <v>2467</v>
      </c>
      <c r="H312" s="153" t="s">
        <v>2107</v>
      </c>
      <c r="I312" s="67" t="s">
        <v>1835</v>
      </c>
      <c r="J312" s="67" t="s">
        <v>2120</v>
      </c>
      <c r="K312" s="67" t="s">
        <v>2219</v>
      </c>
      <c r="L312">
        <v>8</v>
      </c>
      <c r="M312" t="s">
        <v>8</v>
      </c>
      <c r="N312" t="s">
        <v>8</v>
      </c>
      <c r="O312" t="s">
        <v>8</v>
      </c>
      <c r="P312" t="s">
        <v>8</v>
      </c>
      <c r="Q312" t="s">
        <v>8</v>
      </c>
      <c r="R312" t="s">
        <v>8</v>
      </c>
    </row>
    <row r="313" spans="1:18">
      <c r="A313" s="151" t="s">
        <v>1900</v>
      </c>
      <c r="B313" s="67" t="s">
        <v>2105</v>
      </c>
      <c r="C313" s="152">
        <v>3</v>
      </c>
      <c r="D313" s="67" t="s">
        <v>2122</v>
      </c>
      <c r="E313" s="67" t="s">
        <v>2298</v>
      </c>
      <c r="F313" s="153" t="s">
        <v>2111</v>
      </c>
      <c r="G313" s="153" t="s">
        <v>2127</v>
      </c>
      <c r="H313" s="153" t="s">
        <v>2107</v>
      </c>
      <c r="I313" s="67" t="s">
        <v>1835</v>
      </c>
      <c r="J313" s="67" t="s">
        <v>2120</v>
      </c>
      <c r="K313" s="67" t="s">
        <v>2172</v>
      </c>
      <c r="L313">
        <v>3</v>
      </c>
      <c r="M313" t="s">
        <v>8</v>
      </c>
      <c r="N313" t="s">
        <v>8</v>
      </c>
      <c r="O313" t="s">
        <v>8</v>
      </c>
      <c r="P313" t="s">
        <v>8</v>
      </c>
      <c r="Q313" t="s">
        <v>8</v>
      </c>
      <c r="R313" t="s">
        <v>8</v>
      </c>
    </row>
    <row r="314" spans="1:18">
      <c r="A314" s="151" t="s">
        <v>1055</v>
      </c>
      <c r="B314" s="67" t="s">
        <v>2123</v>
      </c>
      <c r="C314" s="152">
        <v>2</v>
      </c>
      <c r="D314" s="67" t="s">
        <v>2122</v>
      </c>
      <c r="E314" s="67" t="s">
        <v>2126</v>
      </c>
      <c r="F314" s="153">
        <v>2</v>
      </c>
      <c r="G314" s="67" t="s">
        <v>2403</v>
      </c>
      <c r="H314" s="153" t="s">
        <v>2107</v>
      </c>
      <c r="I314" s="67" t="s">
        <v>1835</v>
      </c>
      <c r="J314" s="67" t="s">
        <v>2120</v>
      </c>
      <c r="K314" s="67" t="s">
        <v>2161</v>
      </c>
      <c r="L314">
        <v>2</v>
      </c>
      <c r="M314" t="s">
        <v>8</v>
      </c>
      <c r="N314" t="s">
        <v>8</v>
      </c>
      <c r="O314" t="s">
        <v>8</v>
      </c>
      <c r="P314" t="s">
        <v>8</v>
      </c>
      <c r="Q314" t="s">
        <v>8</v>
      </c>
      <c r="R314" t="s">
        <v>8</v>
      </c>
    </row>
    <row r="315" spans="1:18">
      <c r="A315" s="151" t="s">
        <v>2052</v>
      </c>
      <c r="B315" s="67" t="s">
        <v>2123</v>
      </c>
      <c r="C315" s="152">
        <v>7</v>
      </c>
      <c r="D315" s="67" t="s">
        <v>2147</v>
      </c>
      <c r="E315" s="67" t="s">
        <v>2126</v>
      </c>
      <c r="F315" s="153">
        <v>7</v>
      </c>
      <c r="G315" s="153" t="s">
        <v>2126</v>
      </c>
      <c r="H315" s="153" t="s">
        <v>2107</v>
      </c>
      <c r="I315" s="67" t="s">
        <v>1835</v>
      </c>
      <c r="J315" s="67" t="s">
        <v>2120</v>
      </c>
      <c r="K315" s="67" t="s">
        <v>2212</v>
      </c>
      <c r="L315">
        <v>7</v>
      </c>
      <c r="M315" t="s">
        <v>8</v>
      </c>
      <c r="N315" t="s">
        <v>8</v>
      </c>
      <c r="O315" t="s">
        <v>8</v>
      </c>
      <c r="P315" t="s">
        <v>8</v>
      </c>
      <c r="Q315" t="s">
        <v>8</v>
      </c>
      <c r="R315" t="s">
        <v>8</v>
      </c>
    </row>
    <row r="316" spans="1:18">
      <c r="A316" s="151" t="s">
        <v>1940</v>
      </c>
      <c r="B316" s="67" t="s">
        <v>2123</v>
      </c>
      <c r="C316" s="152">
        <v>4</v>
      </c>
      <c r="D316" s="67" t="s">
        <v>2122</v>
      </c>
      <c r="E316" s="67" t="s">
        <v>2305</v>
      </c>
      <c r="F316" s="153">
        <v>4</v>
      </c>
      <c r="G316" s="153" t="s">
        <v>2127</v>
      </c>
      <c r="H316" s="153" t="s">
        <v>2110</v>
      </c>
      <c r="I316" s="67" t="s">
        <v>1835</v>
      </c>
      <c r="J316" s="67" t="s">
        <v>2120</v>
      </c>
      <c r="K316" s="67" t="s">
        <v>2181</v>
      </c>
      <c r="L316">
        <v>4</v>
      </c>
      <c r="M316" t="s">
        <v>8</v>
      </c>
      <c r="N316" t="s">
        <v>8</v>
      </c>
      <c r="O316" t="s">
        <v>8</v>
      </c>
      <c r="P316" t="s">
        <v>8</v>
      </c>
      <c r="Q316" t="s">
        <v>8</v>
      </c>
      <c r="R316" t="s">
        <v>8</v>
      </c>
    </row>
    <row r="317" spans="1:18">
      <c r="A317" s="151" t="s">
        <v>1901</v>
      </c>
      <c r="B317" s="67" t="s">
        <v>2123</v>
      </c>
      <c r="C317" s="152">
        <v>3</v>
      </c>
      <c r="D317" s="67" t="s">
        <v>2122</v>
      </c>
      <c r="E317" s="67" t="s">
        <v>2126</v>
      </c>
      <c r="F317" s="153">
        <v>3</v>
      </c>
      <c r="G317" s="153" t="s">
        <v>2438</v>
      </c>
      <c r="H317" s="153" t="s">
        <v>2107</v>
      </c>
      <c r="I317" s="67" t="s">
        <v>1835</v>
      </c>
      <c r="J317" s="67" t="s">
        <v>2120</v>
      </c>
      <c r="K317" s="67" t="s">
        <v>2172</v>
      </c>
      <c r="L317">
        <v>3</v>
      </c>
      <c r="M317" t="s">
        <v>8</v>
      </c>
      <c r="N317" t="s">
        <v>8</v>
      </c>
      <c r="O317" t="s">
        <v>8</v>
      </c>
      <c r="P317" t="s">
        <v>8</v>
      </c>
      <c r="Q317" t="s">
        <v>8</v>
      </c>
      <c r="R317" t="s">
        <v>8</v>
      </c>
    </row>
    <row r="318" spans="1:18">
      <c r="A318" s="151" t="s">
        <v>1864</v>
      </c>
      <c r="B318" s="67" t="s">
        <v>2105</v>
      </c>
      <c r="C318" s="152">
        <v>2</v>
      </c>
      <c r="D318" s="67" t="s">
        <v>2147</v>
      </c>
      <c r="E318" s="67" t="s">
        <v>2126</v>
      </c>
      <c r="F318" s="153">
        <v>2</v>
      </c>
      <c r="G318" s="67" t="s">
        <v>2414</v>
      </c>
      <c r="H318" s="153" t="s">
        <v>2107</v>
      </c>
      <c r="I318" s="67" t="s">
        <v>1835</v>
      </c>
      <c r="J318" s="67" t="s">
        <v>2108</v>
      </c>
      <c r="K318" s="67" t="s">
        <v>2162</v>
      </c>
      <c r="L318">
        <v>2</v>
      </c>
      <c r="M318" t="s">
        <v>8</v>
      </c>
      <c r="N318" t="s">
        <v>8</v>
      </c>
      <c r="O318" t="s">
        <v>8</v>
      </c>
      <c r="P318" t="s">
        <v>8</v>
      </c>
      <c r="Q318" t="s">
        <v>8</v>
      </c>
      <c r="R318" t="s">
        <v>8</v>
      </c>
    </row>
    <row r="319" spans="1:18">
      <c r="A319" s="151" t="s">
        <v>2077</v>
      </c>
      <c r="B319" s="67" t="s">
        <v>2003</v>
      </c>
      <c r="C319" s="152">
        <v>8</v>
      </c>
      <c r="D319" s="67" t="s">
        <v>2117</v>
      </c>
      <c r="E319" s="67" t="s">
        <v>2126</v>
      </c>
      <c r="F319" s="153">
        <v>3</v>
      </c>
      <c r="G319" s="153" t="s">
        <v>2127</v>
      </c>
      <c r="H319" s="153" t="s">
        <v>2110</v>
      </c>
      <c r="I319" s="67" t="s">
        <v>1835</v>
      </c>
      <c r="J319" s="67" t="s">
        <v>2120</v>
      </c>
      <c r="K319" s="67" t="s">
        <v>2219</v>
      </c>
      <c r="L319">
        <v>8</v>
      </c>
      <c r="M319" t="s">
        <v>8</v>
      </c>
      <c r="N319" t="s">
        <v>8</v>
      </c>
      <c r="O319" t="s">
        <v>8</v>
      </c>
      <c r="P319" t="s">
        <v>8</v>
      </c>
      <c r="Q319" t="s">
        <v>8</v>
      </c>
      <c r="R319" t="s">
        <v>8</v>
      </c>
    </row>
    <row r="320" spans="1:18">
      <c r="A320" s="151" t="s">
        <v>1902</v>
      </c>
      <c r="B320" s="67" t="s">
        <v>2105</v>
      </c>
      <c r="C320" s="152">
        <v>3</v>
      </c>
      <c r="D320" s="67" t="str">
        <f>"0"</f>
        <v>0</v>
      </c>
      <c r="E320" s="67" t="s">
        <v>2148</v>
      </c>
      <c r="F320" s="153">
        <v>3</v>
      </c>
      <c r="G320" s="153" t="s">
        <v>2402</v>
      </c>
      <c r="H320" s="153" t="s">
        <v>2262</v>
      </c>
      <c r="I320" s="67" t="s">
        <v>1834</v>
      </c>
      <c r="J320" s="67" t="s">
        <v>2120</v>
      </c>
      <c r="K320" s="67" t="s">
        <v>2172</v>
      </c>
      <c r="L320">
        <v>3</v>
      </c>
      <c r="M320" t="s">
        <v>8</v>
      </c>
      <c r="N320" t="s">
        <v>8</v>
      </c>
      <c r="O320" t="s">
        <v>8</v>
      </c>
      <c r="P320" t="s">
        <v>8</v>
      </c>
      <c r="Q320" t="s">
        <v>8</v>
      </c>
      <c r="R320" t="s">
        <v>8</v>
      </c>
    </row>
    <row r="321" spans="1:18">
      <c r="A321" s="151" t="s">
        <v>1803</v>
      </c>
      <c r="B321" s="67" t="s">
        <v>2135</v>
      </c>
      <c r="C321" s="152">
        <v>1</v>
      </c>
      <c r="D321" s="67" t="str">
        <f>"0"</f>
        <v>0</v>
      </c>
      <c r="E321" s="67" t="s">
        <v>2116</v>
      </c>
      <c r="F321" s="153" t="s">
        <v>2111</v>
      </c>
      <c r="G321" s="67" t="s">
        <v>2126</v>
      </c>
      <c r="H321" s="153" t="s">
        <v>2107</v>
      </c>
      <c r="I321" s="67" t="s">
        <v>1835</v>
      </c>
      <c r="J321" s="67" t="s">
        <v>2120</v>
      </c>
      <c r="K321" s="67" t="s">
        <v>2152</v>
      </c>
      <c r="L321">
        <v>1</v>
      </c>
      <c r="M321" t="s">
        <v>8</v>
      </c>
      <c r="N321" t="s">
        <v>8</v>
      </c>
      <c r="O321" t="s">
        <v>8</v>
      </c>
      <c r="P321" t="s">
        <v>8</v>
      </c>
      <c r="Q321" t="s">
        <v>8</v>
      </c>
      <c r="R321" t="s">
        <v>8</v>
      </c>
    </row>
    <row r="322" spans="1:18">
      <c r="A322" s="151" t="s">
        <v>1903</v>
      </c>
      <c r="B322" s="67" t="s">
        <v>2105</v>
      </c>
      <c r="C322" s="152">
        <v>3</v>
      </c>
      <c r="D322" s="67" t="s">
        <v>2287</v>
      </c>
      <c r="E322" s="67" t="s">
        <v>2149</v>
      </c>
      <c r="F322" s="153">
        <v>3</v>
      </c>
      <c r="G322" s="153" t="s">
        <v>3699</v>
      </c>
      <c r="H322" s="153" t="s">
        <v>2107</v>
      </c>
      <c r="I322" s="67" t="s">
        <v>1835</v>
      </c>
      <c r="J322" s="67" t="s">
        <v>2108</v>
      </c>
      <c r="K322" s="67" t="s">
        <v>2172</v>
      </c>
      <c r="L322">
        <v>3</v>
      </c>
      <c r="M322" t="s">
        <v>8</v>
      </c>
      <c r="N322" t="s">
        <v>8</v>
      </c>
      <c r="O322" t="s">
        <v>8</v>
      </c>
      <c r="P322" t="s">
        <v>8</v>
      </c>
      <c r="Q322" t="s">
        <v>8</v>
      </c>
      <c r="R322" t="s">
        <v>8</v>
      </c>
    </row>
    <row r="323" spans="1:18">
      <c r="A323" s="151" t="s">
        <v>1391</v>
      </c>
      <c r="B323" s="67" t="s">
        <v>2105</v>
      </c>
      <c r="C323" s="152">
        <v>2</v>
      </c>
      <c r="D323" s="67" t="s">
        <v>1112</v>
      </c>
      <c r="E323" s="67" t="s">
        <v>2271</v>
      </c>
      <c r="F323" s="153">
        <v>2</v>
      </c>
      <c r="G323" s="67" t="s">
        <v>2106</v>
      </c>
      <c r="H323" s="153" t="s">
        <v>2107</v>
      </c>
      <c r="I323" s="67" t="s">
        <v>1835</v>
      </c>
      <c r="J323" s="67" t="s">
        <v>2108</v>
      </c>
      <c r="K323" s="67" t="s">
        <v>2162</v>
      </c>
      <c r="L323">
        <v>2</v>
      </c>
      <c r="M323" t="s">
        <v>8</v>
      </c>
      <c r="N323" t="s">
        <v>8</v>
      </c>
      <c r="O323" t="s">
        <v>8</v>
      </c>
      <c r="P323" t="s">
        <v>8</v>
      </c>
      <c r="Q323" t="s">
        <v>8</v>
      </c>
      <c r="R323" t="s">
        <v>8</v>
      </c>
    </row>
    <row r="324" spans="1:18">
      <c r="A324" s="151" t="s">
        <v>1865</v>
      </c>
      <c r="B324" s="67" t="s">
        <v>2228</v>
      </c>
      <c r="C324" s="152">
        <v>2</v>
      </c>
      <c r="D324" s="67" t="s">
        <v>1118</v>
      </c>
      <c r="E324" s="67" t="s">
        <v>2148</v>
      </c>
      <c r="F324" s="153">
        <v>2</v>
      </c>
      <c r="G324" s="67" t="s">
        <v>2126</v>
      </c>
      <c r="H324" s="153" t="s">
        <v>2107</v>
      </c>
      <c r="I324" s="67" t="s">
        <v>1835</v>
      </c>
      <c r="J324" s="67" t="s">
        <v>2120</v>
      </c>
      <c r="K324" s="67" t="s">
        <v>2162</v>
      </c>
      <c r="L324">
        <v>2</v>
      </c>
      <c r="M324" t="s">
        <v>8</v>
      </c>
      <c r="N324" t="s">
        <v>8</v>
      </c>
      <c r="O324" t="s">
        <v>8</v>
      </c>
      <c r="P324" t="s">
        <v>8</v>
      </c>
      <c r="Q324" t="s">
        <v>8</v>
      </c>
      <c r="R324" t="s">
        <v>8</v>
      </c>
    </row>
    <row r="325" spans="1:18">
      <c r="A325" s="151" t="s">
        <v>1863</v>
      </c>
      <c r="B325" s="67" t="s">
        <v>2112</v>
      </c>
      <c r="C325" s="152">
        <v>2</v>
      </c>
      <c r="D325" s="67" t="s">
        <v>1113</v>
      </c>
      <c r="E325" s="67" t="s">
        <v>2149</v>
      </c>
      <c r="F325" s="153">
        <v>2</v>
      </c>
      <c r="G325" s="67" t="s">
        <v>3704</v>
      </c>
      <c r="H325" s="153" t="s">
        <v>2107</v>
      </c>
      <c r="I325" s="67" t="s">
        <v>1835</v>
      </c>
      <c r="J325" s="67" t="s">
        <v>2108</v>
      </c>
      <c r="K325" s="67" t="s">
        <v>2161</v>
      </c>
      <c r="L325">
        <v>2</v>
      </c>
      <c r="M325" t="s">
        <v>8</v>
      </c>
      <c r="N325" t="s">
        <v>8</v>
      </c>
      <c r="O325" t="s">
        <v>8</v>
      </c>
      <c r="P325" t="s">
        <v>8</v>
      </c>
      <c r="Q325" t="s">
        <v>8</v>
      </c>
      <c r="R325" t="s">
        <v>8</v>
      </c>
    </row>
    <row r="326" spans="1:18">
      <c r="A326" s="151" t="s">
        <v>1866</v>
      </c>
      <c r="B326" s="67" t="s">
        <v>2135</v>
      </c>
      <c r="C326" s="152">
        <v>2</v>
      </c>
      <c r="D326" s="67" t="s">
        <v>2146</v>
      </c>
      <c r="E326" s="67" t="s">
        <v>2148</v>
      </c>
      <c r="F326" s="153">
        <v>2</v>
      </c>
      <c r="G326" s="67" t="s">
        <v>2126</v>
      </c>
      <c r="H326" s="153" t="s">
        <v>2107</v>
      </c>
      <c r="I326" s="67" t="s">
        <v>1834</v>
      </c>
      <c r="J326" s="67" t="s">
        <v>2120</v>
      </c>
      <c r="K326" s="67" t="s">
        <v>2162</v>
      </c>
      <c r="L326">
        <v>2</v>
      </c>
      <c r="M326" t="s">
        <v>8</v>
      </c>
      <c r="N326" t="s">
        <v>8</v>
      </c>
      <c r="O326" t="s">
        <v>8</v>
      </c>
      <c r="P326" t="s">
        <v>8</v>
      </c>
      <c r="Q326" t="s">
        <v>8</v>
      </c>
      <c r="R326" t="s">
        <v>8</v>
      </c>
    </row>
    <row r="327" spans="1:18">
      <c r="A327" s="151" t="s">
        <v>1804</v>
      </c>
      <c r="B327" s="67" t="s">
        <v>2105</v>
      </c>
      <c r="C327" s="152">
        <v>1</v>
      </c>
      <c r="D327" s="67" t="s">
        <v>1113</v>
      </c>
      <c r="E327" s="67" t="s">
        <v>2271</v>
      </c>
      <c r="F327" s="153">
        <v>1</v>
      </c>
      <c r="G327" s="67" t="s">
        <v>2273</v>
      </c>
      <c r="H327" s="153" t="s">
        <v>2262</v>
      </c>
      <c r="I327" s="67" t="s">
        <v>1835</v>
      </c>
      <c r="J327" s="67" t="s">
        <v>270</v>
      </c>
      <c r="K327" s="67" t="s">
        <v>2152</v>
      </c>
      <c r="L327">
        <v>1</v>
      </c>
      <c r="M327" t="s">
        <v>8</v>
      </c>
      <c r="N327" t="s">
        <v>8</v>
      </c>
      <c r="O327" t="s">
        <v>8</v>
      </c>
      <c r="P327" t="s">
        <v>8</v>
      </c>
      <c r="Q327" t="s">
        <v>8</v>
      </c>
      <c r="R327" t="s">
        <v>8</v>
      </c>
    </row>
    <row r="328" spans="1:18">
      <c r="A328" s="151" t="s">
        <v>1867</v>
      </c>
      <c r="B328" s="67" t="s">
        <v>2105</v>
      </c>
      <c r="C328" s="152">
        <v>2</v>
      </c>
      <c r="D328" s="67" t="s">
        <v>1113</v>
      </c>
      <c r="E328" s="67" t="s">
        <v>2142</v>
      </c>
      <c r="F328" s="153">
        <v>2</v>
      </c>
      <c r="G328" s="67" t="s">
        <v>2415</v>
      </c>
      <c r="H328" s="153" t="s">
        <v>2110</v>
      </c>
      <c r="I328" s="67" t="s">
        <v>1834</v>
      </c>
      <c r="J328" s="67" t="s">
        <v>270</v>
      </c>
      <c r="K328" s="67" t="s">
        <v>2163</v>
      </c>
      <c r="L328">
        <v>2</v>
      </c>
      <c r="M328" t="s">
        <v>8</v>
      </c>
      <c r="N328" t="s">
        <v>8</v>
      </c>
      <c r="O328" t="s">
        <v>8</v>
      </c>
      <c r="P328" t="s">
        <v>8</v>
      </c>
      <c r="Q328" t="s">
        <v>8</v>
      </c>
      <c r="R328" t="s">
        <v>8</v>
      </c>
    </row>
    <row r="329" spans="1:18">
      <c r="A329" s="151" t="s">
        <v>1805</v>
      </c>
      <c r="B329" s="67" t="s">
        <v>2105</v>
      </c>
      <c r="C329" s="152">
        <v>1</v>
      </c>
      <c r="D329" s="67" t="s">
        <v>2274</v>
      </c>
      <c r="E329" s="67" t="s">
        <v>2116</v>
      </c>
      <c r="F329" s="153">
        <v>1</v>
      </c>
      <c r="G329" s="67" t="s">
        <v>2126</v>
      </c>
      <c r="H329" s="153" t="s">
        <v>2107</v>
      </c>
      <c r="I329" s="67" t="s">
        <v>1835</v>
      </c>
      <c r="J329" s="67" t="s">
        <v>2120</v>
      </c>
      <c r="K329" s="67" t="s">
        <v>2153</v>
      </c>
      <c r="L329">
        <v>1</v>
      </c>
      <c r="M329" t="s">
        <v>8</v>
      </c>
      <c r="N329" t="s">
        <v>8</v>
      </c>
      <c r="O329" t="s">
        <v>8</v>
      </c>
      <c r="P329" t="s">
        <v>8</v>
      </c>
      <c r="Q329" t="s">
        <v>8</v>
      </c>
      <c r="R329" t="s">
        <v>8</v>
      </c>
    </row>
    <row r="330" spans="1:18">
      <c r="A330" s="151" t="s">
        <v>2020</v>
      </c>
      <c r="B330" s="67" t="s">
        <v>2123</v>
      </c>
      <c r="C330" s="152">
        <v>6</v>
      </c>
      <c r="D330" s="67" t="s">
        <v>2276</v>
      </c>
      <c r="E330" s="67" t="s">
        <v>2126</v>
      </c>
      <c r="F330" s="153">
        <v>6</v>
      </c>
      <c r="G330" s="153" t="s">
        <v>2126</v>
      </c>
      <c r="H330" s="153" t="s">
        <v>2110</v>
      </c>
      <c r="I330" s="67" t="s">
        <v>1835</v>
      </c>
      <c r="J330" s="67" t="s">
        <v>270</v>
      </c>
      <c r="K330" s="67" t="s">
        <v>2204</v>
      </c>
      <c r="L330">
        <v>6</v>
      </c>
      <c r="M330" t="s">
        <v>8</v>
      </c>
      <c r="N330" t="s">
        <v>8</v>
      </c>
      <c r="O330" t="s">
        <v>8</v>
      </c>
      <c r="P330" t="s">
        <v>8</v>
      </c>
      <c r="Q330" t="s">
        <v>8</v>
      </c>
      <c r="R330" t="s">
        <v>8</v>
      </c>
    </row>
    <row r="331" spans="1:18">
      <c r="A331" s="151" t="s">
        <v>2021</v>
      </c>
      <c r="B331" s="67" t="s">
        <v>2251</v>
      </c>
      <c r="C331" s="152">
        <v>6</v>
      </c>
      <c r="D331" s="67" t="s">
        <v>2147</v>
      </c>
      <c r="E331" s="67" t="s">
        <v>2126</v>
      </c>
      <c r="F331" s="153" t="s">
        <v>270</v>
      </c>
      <c r="G331" s="153" t="s">
        <v>2445</v>
      </c>
      <c r="H331" s="153" t="s">
        <v>2107</v>
      </c>
      <c r="I331" s="67" t="s">
        <v>1835</v>
      </c>
      <c r="J331" s="67" t="s">
        <v>2120</v>
      </c>
      <c r="K331" s="67" t="s">
        <v>2204</v>
      </c>
      <c r="L331">
        <v>6</v>
      </c>
      <c r="M331" t="s">
        <v>8</v>
      </c>
      <c r="N331" t="s">
        <v>8</v>
      </c>
      <c r="O331" t="s">
        <v>8</v>
      </c>
      <c r="P331" t="s">
        <v>8</v>
      </c>
      <c r="Q331" t="s">
        <v>8</v>
      </c>
      <c r="R331" t="s">
        <v>8</v>
      </c>
    </row>
    <row r="332" spans="1:18">
      <c r="A332" s="151" t="s">
        <v>1984</v>
      </c>
      <c r="B332" s="67" t="s">
        <v>2123</v>
      </c>
      <c r="C332" s="152">
        <v>5</v>
      </c>
      <c r="D332" s="67" t="s">
        <v>2289</v>
      </c>
      <c r="E332" s="67" t="s">
        <v>2126</v>
      </c>
      <c r="F332" s="153">
        <v>5</v>
      </c>
      <c r="G332" s="153" t="s">
        <v>2126</v>
      </c>
      <c r="H332" s="153" t="s">
        <v>2110</v>
      </c>
      <c r="I332" s="67" t="s">
        <v>1835</v>
      </c>
      <c r="J332" s="67" t="s">
        <v>270</v>
      </c>
      <c r="K332" s="67" t="s">
        <v>2193</v>
      </c>
      <c r="L332">
        <v>5</v>
      </c>
      <c r="M332" t="s">
        <v>8</v>
      </c>
      <c r="N332" t="s">
        <v>8</v>
      </c>
      <c r="O332" t="s">
        <v>8</v>
      </c>
      <c r="P332" t="s">
        <v>8</v>
      </c>
      <c r="Q332" t="s">
        <v>8</v>
      </c>
      <c r="R332" t="s">
        <v>8</v>
      </c>
    </row>
    <row r="333" spans="1:18">
      <c r="A333" s="151" t="s">
        <v>2095</v>
      </c>
      <c r="B333" s="67" t="s">
        <v>2124</v>
      </c>
      <c r="C333" s="152">
        <v>9</v>
      </c>
      <c r="D333" s="67" t="s">
        <v>2117</v>
      </c>
      <c r="E333" s="67" t="s">
        <v>2148</v>
      </c>
      <c r="F333" s="153">
        <v>9</v>
      </c>
      <c r="G333" s="153" t="s">
        <v>2126</v>
      </c>
      <c r="H333" s="153" t="s">
        <v>2107</v>
      </c>
      <c r="I333" s="67" t="s">
        <v>1835</v>
      </c>
      <c r="J333" s="67" t="s">
        <v>2120</v>
      </c>
      <c r="K333" s="67" t="s">
        <v>2225</v>
      </c>
      <c r="L333">
        <v>9</v>
      </c>
      <c r="M333" t="s">
        <v>8</v>
      </c>
      <c r="N333" t="s">
        <v>8</v>
      </c>
      <c r="O333" t="s">
        <v>8</v>
      </c>
      <c r="P333" t="s">
        <v>8</v>
      </c>
      <c r="Q333" t="s">
        <v>8</v>
      </c>
      <c r="R333" t="s">
        <v>8</v>
      </c>
    </row>
    <row r="334" spans="1:18">
      <c r="A334" s="151" t="s">
        <v>1985</v>
      </c>
      <c r="B334" s="67" t="s">
        <v>2124</v>
      </c>
      <c r="C334" s="152">
        <v>5</v>
      </c>
      <c r="D334" s="67" t="s">
        <v>2147</v>
      </c>
      <c r="E334" s="67" t="s">
        <v>2148</v>
      </c>
      <c r="F334" s="153">
        <v>5</v>
      </c>
      <c r="G334" s="153" t="s">
        <v>2126</v>
      </c>
      <c r="H334" s="153" t="s">
        <v>2107</v>
      </c>
      <c r="I334" s="67" t="s">
        <v>1835</v>
      </c>
      <c r="J334" s="67" t="s">
        <v>2120</v>
      </c>
      <c r="K334" s="67" t="s">
        <v>2193</v>
      </c>
      <c r="L334">
        <v>5</v>
      </c>
      <c r="M334" t="s">
        <v>8</v>
      </c>
      <c r="N334" t="s">
        <v>8</v>
      </c>
      <c r="O334" t="s">
        <v>8</v>
      </c>
      <c r="P334" t="s">
        <v>8</v>
      </c>
      <c r="Q334" t="s">
        <v>8</v>
      </c>
      <c r="R334" t="s">
        <v>8</v>
      </c>
    </row>
    <row r="335" spans="1:18">
      <c r="A335" s="151" t="s">
        <v>1868</v>
      </c>
      <c r="B335" s="67" t="s">
        <v>2231</v>
      </c>
      <c r="C335" s="152">
        <v>2</v>
      </c>
      <c r="D335" s="67" t="s">
        <v>2282</v>
      </c>
      <c r="E335" s="67" t="s">
        <v>2116</v>
      </c>
      <c r="F335" s="153">
        <v>2</v>
      </c>
      <c r="G335" s="67" t="s">
        <v>2416</v>
      </c>
      <c r="H335" s="153" t="s">
        <v>2110</v>
      </c>
      <c r="I335" s="67" t="s">
        <v>1835</v>
      </c>
      <c r="J335" s="67" t="s">
        <v>2120</v>
      </c>
      <c r="K335" s="67" t="s">
        <v>2163</v>
      </c>
      <c r="L335">
        <v>2</v>
      </c>
      <c r="M335" t="s">
        <v>8</v>
      </c>
      <c r="N335" t="s">
        <v>8</v>
      </c>
      <c r="O335" t="s">
        <v>8</v>
      </c>
      <c r="P335" t="s">
        <v>8</v>
      </c>
      <c r="Q335" t="s">
        <v>8</v>
      </c>
      <c r="R335" t="s">
        <v>8</v>
      </c>
    </row>
    <row r="336" spans="1:18">
      <c r="A336" s="151" t="s">
        <v>1806</v>
      </c>
      <c r="B336" s="67" t="s">
        <v>2105</v>
      </c>
      <c r="C336" s="152">
        <v>1</v>
      </c>
      <c r="D336" s="67" t="str">
        <f>"0"</f>
        <v>0</v>
      </c>
      <c r="E336" s="67" t="s">
        <v>2297</v>
      </c>
      <c r="F336" s="153">
        <v>1</v>
      </c>
      <c r="G336" s="67" t="s">
        <v>2131</v>
      </c>
      <c r="H336" s="153" t="s">
        <v>2110</v>
      </c>
      <c r="I336" s="67" t="s">
        <v>1835</v>
      </c>
      <c r="J336" s="67" t="s">
        <v>2267</v>
      </c>
      <c r="K336" s="67" t="s">
        <v>2153</v>
      </c>
      <c r="L336">
        <v>1</v>
      </c>
      <c r="M336" t="s">
        <v>8</v>
      </c>
      <c r="N336" t="s">
        <v>8</v>
      </c>
      <c r="O336" t="s">
        <v>8</v>
      </c>
      <c r="P336" t="s">
        <v>8</v>
      </c>
      <c r="Q336" t="s">
        <v>8</v>
      </c>
      <c r="R336" t="s">
        <v>8</v>
      </c>
    </row>
    <row r="337" spans="1:18">
      <c r="A337" s="151" t="s">
        <v>2022</v>
      </c>
      <c r="B337" s="67" t="s">
        <v>2124</v>
      </c>
      <c r="C337" s="152">
        <v>6</v>
      </c>
      <c r="D337" s="67" t="s">
        <v>2147</v>
      </c>
      <c r="E337" s="67" t="s">
        <v>2148</v>
      </c>
      <c r="F337" s="153">
        <v>6</v>
      </c>
      <c r="G337" s="153" t="s">
        <v>2126</v>
      </c>
      <c r="H337" s="153" t="s">
        <v>2107</v>
      </c>
      <c r="I337" s="67" t="s">
        <v>1835</v>
      </c>
      <c r="J337" s="67" t="s">
        <v>2120</v>
      </c>
      <c r="K337" s="67" t="s">
        <v>2204</v>
      </c>
      <c r="L337">
        <v>6</v>
      </c>
      <c r="M337" t="s">
        <v>8</v>
      </c>
      <c r="N337" t="s">
        <v>8</v>
      </c>
      <c r="O337" t="s">
        <v>8</v>
      </c>
      <c r="P337" t="s">
        <v>8</v>
      </c>
      <c r="Q337" t="s">
        <v>8</v>
      </c>
      <c r="R337" t="s">
        <v>8</v>
      </c>
    </row>
    <row r="338" spans="1:18">
      <c r="A338" s="151" t="s">
        <v>1941</v>
      </c>
      <c r="B338" s="67" t="s">
        <v>2112</v>
      </c>
      <c r="C338" s="152">
        <v>4</v>
      </c>
      <c r="D338" s="67" t="s">
        <v>2147</v>
      </c>
      <c r="E338" s="67" t="s">
        <v>2148</v>
      </c>
      <c r="F338" s="153">
        <v>4</v>
      </c>
      <c r="G338" s="153" t="s">
        <v>3700</v>
      </c>
      <c r="H338" s="153" t="s">
        <v>2107</v>
      </c>
      <c r="I338" s="67" t="s">
        <v>1835</v>
      </c>
      <c r="J338" s="67" t="s">
        <v>270</v>
      </c>
      <c r="K338" s="67" t="s">
        <v>2182</v>
      </c>
      <c r="L338">
        <v>4</v>
      </c>
      <c r="M338" t="s">
        <v>8</v>
      </c>
      <c r="N338" t="s">
        <v>8</v>
      </c>
      <c r="O338" t="s">
        <v>8</v>
      </c>
      <c r="P338" t="s">
        <v>8</v>
      </c>
      <c r="Q338" t="s">
        <v>8</v>
      </c>
      <c r="R338" t="s">
        <v>8</v>
      </c>
    </row>
    <row r="339" spans="1:18">
      <c r="A339" s="151" t="s">
        <v>2053</v>
      </c>
      <c r="B339" s="67" t="s">
        <v>2247</v>
      </c>
      <c r="C339" s="152">
        <v>7</v>
      </c>
      <c r="D339" s="67" t="s">
        <v>1109</v>
      </c>
      <c r="E339" s="67" t="s">
        <v>2304</v>
      </c>
      <c r="F339" s="153" t="s">
        <v>2428</v>
      </c>
      <c r="G339" s="153" t="s">
        <v>3733</v>
      </c>
      <c r="H339" s="153" t="s">
        <v>2107</v>
      </c>
      <c r="I339" s="67" t="s">
        <v>1835</v>
      </c>
      <c r="J339" s="67" t="s">
        <v>2120</v>
      </c>
      <c r="K339" s="67" t="s">
        <v>2212</v>
      </c>
      <c r="L339">
        <v>7</v>
      </c>
      <c r="M339" t="s">
        <v>8</v>
      </c>
      <c r="N339" t="s">
        <v>8</v>
      </c>
      <c r="O339" t="s">
        <v>8</v>
      </c>
      <c r="P339" t="s">
        <v>8</v>
      </c>
      <c r="Q339" t="s">
        <v>8</v>
      </c>
      <c r="R339" t="s">
        <v>8</v>
      </c>
    </row>
    <row r="340" spans="1:18">
      <c r="A340" s="151" t="s">
        <v>2023</v>
      </c>
      <c r="B340" s="67" t="s">
        <v>2250</v>
      </c>
      <c r="C340" s="152">
        <v>6</v>
      </c>
      <c r="D340" s="67" t="s">
        <v>1112</v>
      </c>
      <c r="E340" s="67" t="s">
        <v>2326</v>
      </c>
      <c r="F340" s="153">
        <v>6</v>
      </c>
      <c r="G340" s="153" t="s">
        <v>2126</v>
      </c>
      <c r="H340" s="153" t="s">
        <v>2110</v>
      </c>
      <c r="I340" s="67" t="s">
        <v>1835</v>
      </c>
      <c r="J340" s="67" t="s">
        <v>270</v>
      </c>
      <c r="K340" s="67" t="s">
        <v>2204</v>
      </c>
      <c r="L340">
        <v>6</v>
      </c>
      <c r="M340" t="s">
        <v>8</v>
      </c>
      <c r="N340" t="s">
        <v>8</v>
      </c>
      <c r="O340" t="s">
        <v>8</v>
      </c>
      <c r="P340" t="s">
        <v>8</v>
      </c>
      <c r="Q340" t="s">
        <v>8</v>
      </c>
      <c r="R340" t="s">
        <v>8</v>
      </c>
    </row>
    <row r="341" spans="1:18">
      <c r="A341" s="151" t="s">
        <v>1942</v>
      </c>
      <c r="B341" s="67" t="s">
        <v>2105</v>
      </c>
      <c r="C341" s="152">
        <v>4</v>
      </c>
      <c r="D341" s="67" t="str">
        <f>"0"</f>
        <v>0</v>
      </c>
      <c r="E341" s="67" t="s">
        <v>2321</v>
      </c>
      <c r="F341" s="153" t="s">
        <v>1740</v>
      </c>
      <c r="G341" s="153" t="s">
        <v>2441</v>
      </c>
      <c r="H341" s="153" t="s">
        <v>2107</v>
      </c>
      <c r="I341" s="67" t="s">
        <v>1835</v>
      </c>
      <c r="J341" s="67" t="s">
        <v>2120</v>
      </c>
      <c r="K341" s="67" t="s">
        <v>2182</v>
      </c>
      <c r="L341">
        <v>4</v>
      </c>
      <c r="M341" t="s">
        <v>8</v>
      </c>
      <c r="N341" t="s">
        <v>8</v>
      </c>
      <c r="O341" t="s">
        <v>8</v>
      </c>
      <c r="P341" t="s">
        <v>8</v>
      </c>
      <c r="Q341" t="s">
        <v>8</v>
      </c>
      <c r="R341" t="s">
        <v>8</v>
      </c>
    </row>
    <row r="342" spans="1:18">
      <c r="A342" s="151" t="s">
        <v>1807</v>
      </c>
      <c r="B342" s="67" t="s">
        <v>2105</v>
      </c>
      <c r="C342" s="152">
        <v>1</v>
      </c>
      <c r="D342" s="67" t="str">
        <f>"0"</f>
        <v>0</v>
      </c>
      <c r="E342" s="67" t="s">
        <v>2115</v>
      </c>
      <c r="F342" s="153">
        <v>1</v>
      </c>
      <c r="G342" s="67" t="s">
        <v>2126</v>
      </c>
      <c r="H342" s="153" t="s">
        <v>2107</v>
      </c>
      <c r="I342" s="67" t="s">
        <v>1835</v>
      </c>
      <c r="J342" s="67" t="s">
        <v>2120</v>
      </c>
      <c r="K342" s="67" t="s">
        <v>2153</v>
      </c>
      <c r="L342">
        <v>1</v>
      </c>
      <c r="M342" t="s">
        <v>8</v>
      </c>
      <c r="N342" t="s">
        <v>8</v>
      </c>
      <c r="O342" t="s">
        <v>8</v>
      </c>
      <c r="P342" t="s">
        <v>8</v>
      </c>
      <c r="Q342" t="s">
        <v>8</v>
      </c>
      <c r="R342" t="s">
        <v>8</v>
      </c>
    </row>
    <row r="343" spans="1:18">
      <c r="A343" s="151" t="s">
        <v>1943</v>
      </c>
      <c r="B343" s="67" t="s">
        <v>2105</v>
      </c>
      <c r="C343" s="152">
        <v>4</v>
      </c>
      <c r="D343" s="67" t="str">
        <f>"0"</f>
        <v>0</v>
      </c>
      <c r="E343" s="67" t="s">
        <v>2307</v>
      </c>
      <c r="F343" s="153">
        <v>4</v>
      </c>
      <c r="G343" s="153" t="s">
        <v>2441</v>
      </c>
      <c r="H343" s="153" t="s">
        <v>2151</v>
      </c>
      <c r="I343" s="67" t="s">
        <v>1835</v>
      </c>
      <c r="J343" s="67" t="s">
        <v>2120</v>
      </c>
      <c r="K343" s="67" t="s">
        <v>2182</v>
      </c>
      <c r="L343">
        <v>4</v>
      </c>
      <c r="M343" t="s">
        <v>8</v>
      </c>
      <c r="N343" t="s">
        <v>8</v>
      </c>
      <c r="O343" t="s">
        <v>8</v>
      </c>
      <c r="P343" t="s">
        <v>8</v>
      </c>
      <c r="Q343" t="s">
        <v>8</v>
      </c>
      <c r="R343" t="s">
        <v>8</v>
      </c>
    </row>
    <row r="344" spans="1:18">
      <c r="A344" s="151" t="s">
        <v>1944</v>
      </c>
      <c r="B344" s="67" t="s">
        <v>2105</v>
      </c>
      <c r="C344" s="152">
        <v>4</v>
      </c>
      <c r="D344" s="67" t="s">
        <v>2117</v>
      </c>
      <c r="E344" s="67" t="s">
        <v>2142</v>
      </c>
      <c r="F344" s="153">
        <v>4</v>
      </c>
      <c r="G344" s="153" t="s">
        <v>2127</v>
      </c>
      <c r="H344" s="153" t="s">
        <v>2107</v>
      </c>
      <c r="I344" s="67" t="s">
        <v>1835</v>
      </c>
      <c r="J344" s="67" t="s">
        <v>2108</v>
      </c>
      <c r="K344" s="67" t="s">
        <v>2182</v>
      </c>
      <c r="L344">
        <v>4</v>
      </c>
      <c r="M344" t="s">
        <v>8</v>
      </c>
      <c r="N344" t="s">
        <v>8</v>
      </c>
      <c r="O344" t="s">
        <v>8</v>
      </c>
      <c r="P344" t="s">
        <v>8</v>
      </c>
      <c r="Q344" t="s">
        <v>8</v>
      </c>
      <c r="R344" t="s">
        <v>8</v>
      </c>
    </row>
    <row r="345" spans="1:18">
      <c r="A345" s="151" t="s">
        <v>2078</v>
      </c>
      <c r="B345" s="67" t="s">
        <v>2105</v>
      </c>
      <c r="C345" s="152">
        <v>8</v>
      </c>
      <c r="D345" s="67" t="s">
        <v>2117</v>
      </c>
      <c r="E345" s="67" t="s">
        <v>2126</v>
      </c>
      <c r="F345" s="153" t="s">
        <v>2111</v>
      </c>
      <c r="G345" s="153" t="s">
        <v>2126</v>
      </c>
      <c r="H345" s="153" t="s">
        <v>2107</v>
      </c>
      <c r="I345" s="67" t="s">
        <v>1835</v>
      </c>
      <c r="J345" s="67" t="s">
        <v>270</v>
      </c>
      <c r="K345" s="67" t="s">
        <v>2219</v>
      </c>
      <c r="L345">
        <v>8</v>
      </c>
      <c r="M345" t="s">
        <v>8</v>
      </c>
      <c r="N345" t="s">
        <v>8</v>
      </c>
      <c r="O345" t="s">
        <v>8</v>
      </c>
      <c r="P345" t="s">
        <v>8</v>
      </c>
      <c r="Q345" t="s">
        <v>8</v>
      </c>
      <c r="R345" t="s">
        <v>8</v>
      </c>
    </row>
    <row r="346" spans="1:18">
      <c r="A346" s="151" t="s">
        <v>1904</v>
      </c>
      <c r="B346" s="67" t="s">
        <v>2241</v>
      </c>
      <c r="C346" s="152">
        <v>3</v>
      </c>
      <c r="D346" s="67" t="s">
        <v>2288</v>
      </c>
      <c r="E346" s="67" t="s">
        <v>2126</v>
      </c>
      <c r="F346" s="153">
        <v>3</v>
      </c>
      <c r="G346" s="153" t="s">
        <v>2449</v>
      </c>
      <c r="H346" s="153" t="s">
        <v>2107</v>
      </c>
      <c r="I346" s="67" t="s">
        <v>1835</v>
      </c>
      <c r="J346" s="67" t="s">
        <v>2120</v>
      </c>
      <c r="K346" s="67" t="s">
        <v>2173</v>
      </c>
      <c r="L346">
        <v>3</v>
      </c>
      <c r="M346" t="s">
        <v>8</v>
      </c>
      <c r="N346" t="s">
        <v>8</v>
      </c>
      <c r="O346" t="s">
        <v>8</v>
      </c>
      <c r="P346" t="s">
        <v>8</v>
      </c>
      <c r="Q346" t="s">
        <v>8</v>
      </c>
      <c r="R346" t="s">
        <v>8</v>
      </c>
    </row>
    <row r="347" spans="1:18">
      <c r="A347" s="151" t="s">
        <v>1945</v>
      </c>
      <c r="B347" s="67" t="s">
        <v>2234</v>
      </c>
      <c r="C347" s="152">
        <v>4</v>
      </c>
      <c r="D347" s="67" t="s">
        <v>2122</v>
      </c>
      <c r="E347" s="67" t="s">
        <v>2148</v>
      </c>
      <c r="F347" s="153" t="s">
        <v>2425</v>
      </c>
      <c r="G347" s="153" t="s">
        <v>2126</v>
      </c>
      <c r="H347" s="153" t="s">
        <v>2107</v>
      </c>
      <c r="I347" s="67" t="s">
        <v>1835</v>
      </c>
      <c r="J347" s="67" t="s">
        <v>2120</v>
      </c>
      <c r="K347" s="67" t="s">
        <v>2183</v>
      </c>
      <c r="L347">
        <v>4</v>
      </c>
      <c r="M347" t="s">
        <v>8</v>
      </c>
      <c r="N347" t="s">
        <v>8</v>
      </c>
      <c r="O347" t="s">
        <v>8</v>
      </c>
      <c r="P347" t="s">
        <v>8</v>
      </c>
      <c r="Q347" t="s">
        <v>8</v>
      </c>
      <c r="R347" t="s">
        <v>8</v>
      </c>
    </row>
    <row r="348" spans="1:18">
      <c r="A348" s="151" t="s">
        <v>1986</v>
      </c>
      <c r="B348" s="67" t="s">
        <v>2003</v>
      </c>
      <c r="C348" s="152">
        <v>5</v>
      </c>
      <c r="D348" s="67" t="s">
        <v>1109</v>
      </c>
      <c r="E348" s="67" t="s">
        <v>2126</v>
      </c>
      <c r="F348" s="153">
        <v>5</v>
      </c>
      <c r="G348" s="153" t="s">
        <v>2126</v>
      </c>
      <c r="H348" s="153" t="s">
        <v>2107</v>
      </c>
      <c r="I348" s="67" t="s">
        <v>1835</v>
      </c>
      <c r="J348" s="67" t="s">
        <v>2120</v>
      </c>
      <c r="K348" s="67" t="s">
        <v>2193</v>
      </c>
      <c r="L348">
        <v>5</v>
      </c>
      <c r="M348" t="s">
        <v>8</v>
      </c>
      <c r="N348" t="s">
        <v>8</v>
      </c>
      <c r="O348" t="s">
        <v>8</v>
      </c>
      <c r="P348" t="s">
        <v>8</v>
      </c>
      <c r="Q348" t="s">
        <v>8</v>
      </c>
      <c r="R348" t="s">
        <v>8</v>
      </c>
    </row>
    <row r="349" spans="1:18">
      <c r="A349" s="151" t="s">
        <v>1946</v>
      </c>
      <c r="B349" s="67" t="s">
        <v>2123</v>
      </c>
      <c r="C349" s="152">
        <v>4</v>
      </c>
      <c r="D349" s="67" t="s">
        <v>1118</v>
      </c>
      <c r="E349" s="67" t="s">
        <v>2148</v>
      </c>
      <c r="F349" s="153">
        <v>4</v>
      </c>
      <c r="G349" s="153" t="s">
        <v>3705</v>
      </c>
      <c r="H349" s="153" t="s">
        <v>2110</v>
      </c>
      <c r="I349" s="67" t="s">
        <v>1835</v>
      </c>
      <c r="J349" s="67" t="s">
        <v>270</v>
      </c>
      <c r="K349" s="67" t="s">
        <v>2183</v>
      </c>
      <c r="L349">
        <v>4</v>
      </c>
      <c r="M349" t="s">
        <v>8</v>
      </c>
      <c r="N349" t="s">
        <v>8</v>
      </c>
      <c r="O349" t="s">
        <v>8</v>
      </c>
      <c r="P349" t="s">
        <v>8</v>
      </c>
      <c r="Q349" t="s">
        <v>8</v>
      </c>
      <c r="R349" t="s">
        <v>8</v>
      </c>
    </row>
    <row r="350" spans="1:18">
      <c r="A350" s="151" t="s">
        <v>1987</v>
      </c>
      <c r="B350" s="67" t="s">
        <v>2123</v>
      </c>
      <c r="C350" s="152">
        <v>5</v>
      </c>
      <c r="D350" s="67" t="s">
        <v>1118</v>
      </c>
      <c r="E350" s="67" t="s">
        <v>2148</v>
      </c>
      <c r="F350" s="153">
        <v>5</v>
      </c>
      <c r="G350" s="153" t="s">
        <v>3705</v>
      </c>
      <c r="H350" s="153" t="s">
        <v>2110</v>
      </c>
      <c r="I350" s="67" t="s">
        <v>1835</v>
      </c>
      <c r="J350" s="67" t="s">
        <v>270</v>
      </c>
      <c r="K350" s="67" t="s">
        <v>2193</v>
      </c>
      <c r="L350">
        <v>5</v>
      </c>
      <c r="M350" t="s">
        <v>8</v>
      </c>
      <c r="N350" t="s">
        <v>8</v>
      </c>
      <c r="O350" t="s">
        <v>8</v>
      </c>
      <c r="P350" t="s">
        <v>8</v>
      </c>
      <c r="Q350" t="s">
        <v>8</v>
      </c>
      <c r="R350" t="s">
        <v>8</v>
      </c>
    </row>
    <row r="351" spans="1:18">
      <c r="A351" s="151" t="s">
        <v>1808</v>
      </c>
      <c r="B351" s="67" t="s">
        <v>2003</v>
      </c>
      <c r="C351" s="152">
        <v>1</v>
      </c>
      <c r="D351" s="67" t="s">
        <v>1109</v>
      </c>
      <c r="E351" s="67" t="s">
        <v>2298</v>
      </c>
      <c r="F351" s="153" t="s">
        <v>1740</v>
      </c>
      <c r="G351" s="67" t="s">
        <v>2401</v>
      </c>
      <c r="H351" s="153" t="s">
        <v>2107</v>
      </c>
      <c r="I351" s="67" t="s">
        <v>1835</v>
      </c>
      <c r="J351" s="67" t="s">
        <v>2120</v>
      </c>
      <c r="K351" s="67" t="s">
        <v>2153</v>
      </c>
      <c r="L351">
        <v>1</v>
      </c>
      <c r="M351" t="s">
        <v>8</v>
      </c>
      <c r="N351" t="s">
        <v>8</v>
      </c>
      <c r="O351" t="s">
        <v>8</v>
      </c>
      <c r="P351" t="s">
        <v>8</v>
      </c>
      <c r="Q351" t="s">
        <v>8</v>
      </c>
      <c r="R351" t="s">
        <v>8</v>
      </c>
    </row>
    <row r="352" spans="1:18">
      <c r="A352" s="151" t="s">
        <v>1905</v>
      </c>
      <c r="B352" s="67" t="s">
        <v>2259</v>
      </c>
      <c r="C352" s="152">
        <v>3</v>
      </c>
      <c r="D352" s="67" t="s">
        <v>2122</v>
      </c>
      <c r="E352" s="67" t="s">
        <v>2304</v>
      </c>
      <c r="F352" s="153" t="s">
        <v>1740</v>
      </c>
      <c r="G352" s="153" t="s">
        <v>2126</v>
      </c>
      <c r="H352" s="153" t="s">
        <v>2110</v>
      </c>
      <c r="I352" s="67" t="s">
        <v>1835</v>
      </c>
      <c r="J352" s="67" t="s">
        <v>2120</v>
      </c>
      <c r="K352" s="67" t="s">
        <v>2173</v>
      </c>
      <c r="L352">
        <v>3</v>
      </c>
      <c r="M352" t="s">
        <v>8</v>
      </c>
      <c r="N352" t="s">
        <v>8</v>
      </c>
      <c r="O352" t="s">
        <v>8</v>
      </c>
      <c r="P352" t="s">
        <v>8</v>
      </c>
      <c r="Q352" t="s">
        <v>8</v>
      </c>
      <c r="R352" t="s">
        <v>8</v>
      </c>
    </row>
    <row r="353" spans="1:18">
      <c r="A353" s="151" t="s">
        <v>1809</v>
      </c>
      <c r="B353" s="67" t="s">
        <v>2228</v>
      </c>
      <c r="C353" s="152">
        <v>1</v>
      </c>
      <c r="D353" s="67" t="s">
        <v>1113</v>
      </c>
      <c r="E353" s="67" t="s">
        <v>2111</v>
      </c>
      <c r="F353" s="153">
        <v>1</v>
      </c>
      <c r="G353" s="67" t="s">
        <v>2402</v>
      </c>
      <c r="H353" s="153" t="s">
        <v>2107</v>
      </c>
      <c r="I353" s="67" t="s">
        <v>1835</v>
      </c>
      <c r="J353" s="67" t="s">
        <v>2108</v>
      </c>
      <c r="K353" s="67" t="s">
        <v>2154</v>
      </c>
      <c r="L353">
        <v>1</v>
      </c>
      <c r="M353" t="s">
        <v>8</v>
      </c>
      <c r="N353" t="s">
        <v>8</v>
      </c>
      <c r="O353" t="s">
        <v>8</v>
      </c>
      <c r="P353" t="s">
        <v>8</v>
      </c>
      <c r="Q353" t="s">
        <v>8</v>
      </c>
      <c r="R353" t="s">
        <v>8</v>
      </c>
    </row>
    <row r="354" spans="1:18">
      <c r="A354" s="151" t="s">
        <v>1906</v>
      </c>
      <c r="B354" s="67" t="s">
        <v>2231</v>
      </c>
      <c r="C354" s="152">
        <v>3</v>
      </c>
      <c r="D354" s="67" t="s">
        <v>2122</v>
      </c>
      <c r="E354" s="67" t="s">
        <v>2303</v>
      </c>
      <c r="F354" s="153">
        <v>1</v>
      </c>
      <c r="G354" s="153" t="s">
        <v>2127</v>
      </c>
      <c r="H354" s="153" t="s">
        <v>2110</v>
      </c>
      <c r="I354" s="67" t="s">
        <v>1835</v>
      </c>
      <c r="J354" s="67" t="s">
        <v>2120</v>
      </c>
      <c r="K354" s="67" t="s">
        <v>2173</v>
      </c>
      <c r="L354">
        <v>3</v>
      </c>
      <c r="M354" t="s">
        <v>8</v>
      </c>
      <c r="N354" t="s">
        <v>8</v>
      </c>
      <c r="O354" t="s">
        <v>8</v>
      </c>
      <c r="P354" t="s">
        <v>8</v>
      </c>
      <c r="Q354" t="s">
        <v>8</v>
      </c>
      <c r="R354" t="s">
        <v>8</v>
      </c>
    </row>
    <row r="355" spans="1:18">
      <c r="A355" s="151" t="s">
        <v>2079</v>
      </c>
      <c r="B355" s="67" t="s">
        <v>2003</v>
      </c>
      <c r="C355" s="152">
        <v>8</v>
      </c>
      <c r="D355" s="67" t="s">
        <v>2117</v>
      </c>
      <c r="E355" s="67" t="s">
        <v>2126</v>
      </c>
      <c r="F355" s="153">
        <v>1</v>
      </c>
      <c r="G355" s="153" t="s">
        <v>2468</v>
      </c>
      <c r="H355" s="153" t="s">
        <v>2151</v>
      </c>
      <c r="I355" s="67" t="s">
        <v>1835</v>
      </c>
      <c r="J355" s="67" t="s">
        <v>2120</v>
      </c>
      <c r="K355" s="67" t="s">
        <v>2220</v>
      </c>
      <c r="L355">
        <v>8</v>
      </c>
      <c r="M355" t="s">
        <v>8</v>
      </c>
      <c r="N355" t="s">
        <v>8</v>
      </c>
      <c r="O355" t="s">
        <v>8</v>
      </c>
      <c r="P355" t="s">
        <v>8</v>
      </c>
      <c r="Q355" t="s">
        <v>8</v>
      </c>
      <c r="R355" t="s">
        <v>8</v>
      </c>
    </row>
    <row r="356" spans="1:18">
      <c r="A356" s="151" t="s">
        <v>2054</v>
      </c>
      <c r="B356" s="67" t="s">
        <v>2003</v>
      </c>
      <c r="C356" s="152">
        <v>7</v>
      </c>
      <c r="D356" s="67" t="s">
        <v>2117</v>
      </c>
      <c r="E356" s="67" t="s">
        <v>2126</v>
      </c>
      <c r="F356" s="153">
        <v>1</v>
      </c>
      <c r="G356" s="153" t="s">
        <v>2127</v>
      </c>
      <c r="H356" s="153" t="s">
        <v>2151</v>
      </c>
      <c r="I356" s="67" t="s">
        <v>1835</v>
      </c>
      <c r="J356" s="67" t="s">
        <v>2120</v>
      </c>
      <c r="K356" s="67" t="s">
        <v>2212</v>
      </c>
      <c r="L356">
        <v>7</v>
      </c>
      <c r="M356" t="s">
        <v>8</v>
      </c>
      <c r="N356" t="s">
        <v>8</v>
      </c>
      <c r="O356" t="s">
        <v>8</v>
      </c>
      <c r="P356" t="s">
        <v>8</v>
      </c>
      <c r="Q356" t="s">
        <v>8</v>
      </c>
      <c r="R356" t="s">
        <v>8</v>
      </c>
    </row>
    <row r="357" spans="1:18">
      <c r="A357" s="151" t="s">
        <v>2096</v>
      </c>
      <c r="B357" s="67" t="s">
        <v>2003</v>
      </c>
      <c r="C357" s="152">
        <v>9</v>
      </c>
      <c r="D357" s="67" t="s">
        <v>2296</v>
      </c>
      <c r="E357" s="67" t="s">
        <v>2142</v>
      </c>
      <c r="F357" s="153">
        <v>1</v>
      </c>
      <c r="G357" s="153" t="s">
        <v>2118</v>
      </c>
      <c r="H357" s="153" t="s">
        <v>2151</v>
      </c>
      <c r="I357" s="67" t="s">
        <v>1835</v>
      </c>
      <c r="J357" s="67" t="s">
        <v>2120</v>
      </c>
      <c r="K357" s="67" t="s">
        <v>2225</v>
      </c>
      <c r="L357">
        <v>9</v>
      </c>
      <c r="M357" t="s">
        <v>8</v>
      </c>
      <c r="N357" t="s">
        <v>8</v>
      </c>
      <c r="O357" t="s">
        <v>8</v>
      </c>
      <c r="P357" t="s">
        <v>8</v>
      </c>
      <c r="Q357" t="s">
        <v>8</v>
      </c>
      <c r="R357" t="s">
        <v>8</v>
      </c>
    </row>
    <row r="358" spans="1:18">
      <c r="A358" s="151" t="s">
        <v>1947</v>
      </c>
      <c r="B358" s="67" t="s">
        <v>2249</v>
      </c>
      <c r="C358" s="152">
        <v>4</v>
      </c>
      <c r="D358" s="67" t="s">
        <v>1109</v>
      </c>
      <c r="E358" s="67" t="s">
        <v>2126</v>
      </c>
      <c r="F358" s="153">
        <v>4</v>
      </c>
      <c r="G358" s="153" t="s">
        <v>3700</v>
      </c>
      <c r="H358" s="153" t="s">
        <v>2263</v>
      </c>
      <c r="I358" s="67" t="s">
        <v>1835</v>
      </c>
      <c r="J358" s="67" t="s">
        <v>2108</v>
      </c>
      <c r="K358" s="67" t="s">
        <v>2184</v>
      </c>
      <c r="L358">
        <v>4</v>
      </c>
      <c r="M358" t="s">
        <v>8</v>
      </c>
      <c r="N358" t="s">
        <v>8</v>
      </c>
      <c r="O358" t="s">
        <v>8</v>
      </c>
      <c r="P358" t="s">
        <v>8</v>
      </c>
      <c r="Q358" t="s">
        <v>8</v>
      </c>
      <c r="R358" t="s">
        <v>8</v>
      </c>
    </row>
    <row r="359" spans="1:18">
      <c r="A359" s="151" t="s">
        <v>1869</v>
      </c>
      <c r="B359" s="67" t="s">
        <v>2123</v>
      </c>
      <c r="C359" s="152">
        <v>2</v>
      </c>
      <c r="D359" s="67" t="s">
        <v>1118</v>
      </c>
      <c r="E359" s="67" t="s">
        <v>2126</v>
      </c>
      <c r="F359" s="153">
        <v>2</v>
      </c>
      <c r="G359" s="67" t="s">
        <v>3700</v>
      </c>
      <c r="H359" s="153" t="s">
        <v>2263</v>
      </c>
      <c r="I359" s="67" t="s">
        <v>1835</v>
      </c>
      <c r="J359" s="67" t="s">
        <v>2108</v>
      </c>
      <c r="K359" s="67" t="s">
        <v>2163</v>
      </c>
      <c r="L359">
        <v>2</v>
      </c>
      <c r="M359" t="s">
        <v>8</v>
      </c>
      <c r="N359" t="s">
        <v>8</v>
      </c>
      <c r="O359" t="s">
        <v>8</v>
      </c>
      <c r="P359" t="s">
        <v>8</v>
      </c>
      <c r="Q359" t="s">
        <v>8</v>
      </c>
      <c r="R359" t="s">
        <v>8</v>
      </c>
    </row>
    <row r="360" spans="1:18">
      <c r="A360" s="151" t="s">
        <v>1810</v>
      </c>
      <c r="B360" s="67" t="s">
        <v>2124</v>
      </c>
      <c r="C360" s="152">
        <v>1</v>
      </c>
      <c r="D360" s="67" t="s">
        <v>1118</v>
      </c>
      <c r="E360" s="67" t="s">
        <v>2299</v>
      </c>
      <c r="F360" s="153">
        <v>1</v>
      </c>
      <c r="G360" s="67" t="s">
        <v>3701</v>
      </c>
      <c r="H360" s="153" t="s">
        <v>2107</v>
      </c>
      <c r="I360" s="67" t="s">
        <v>1835</v>
      </c>
      <c r="J360" s="67" t="s">
        <v>2120</v>
      </c>
      <c r="K360" s="67" t="s">
        <v>2154</v>
      </c>
      <c r="L360">
        <v>1</v>
      </c>
      <c r="M360" t="s">
        <v>8</v>
      </c>
      <c r="N360" t="s">
        <v>8</v>
      </c>
      <c r="O360" t="s">
        <v>8</v>
      </c>
      <c r="P360" t="s">
        <v>8</v>
      </c>
      <c r="Q360" t="s">
        <v>8</v>
      </c>
      <c r="R360" t="s">
        <v>8</v>
      </c>
    </row>
    <row r="361" spans="1:18">
      <c r="A361" s="151" t="s">
        <v>1988</v>
      </c>
      <c r="B361" s="67" t="s">
        <v>2124</v>
      </c>
      <c r="C361" s="152">
        <v>5</v>
      </c>
      <c r="D361" s="67" t="s">
        <v>2117</v>
      </c>
      <c r="E361" s="67" t="s">
        <v>2142</v>
      </c>
      <c r="F361" s="153">
        <v>5</v>
      </c>
      <c r="G361" s="153" t="s">
        <v>3734</v>
      </c>
      <c r="H361" s="153" t="s">
        <v>2107</v>
      </c>
      <c r="I361" s="67" t="s">
        <v>1835</v>
      </c>
      <c r="J361" s="67" t="s">
        <v>2120</v>
      </c>
      <c r="K361" s="67" t="s">
        <v>2194</v>
      </c>
      <c r="L361">
        <v>5</v>
      </c>
      <c r="M361" t="s">
        <v>8</v>
      </c>
      <c r="N361" t="s">
        <v>8</v>
      </c>
      <c r="O361" t="s">
        <v>8</v>
      </c>
      <c r="P361" t="s">
        <v>8</v>
      </c>
      <c r="Q361" t="s">
        <v>8</v>
      </c>
      <c r="R361" t="s">
        <v>8</v>
      </c>
    </row>
    <row r="362" spans="1:18">
      <c r="A362" s="151" t="s">
        <v>1948</v>
      </c>
      <c r="B362" s="67" t="s">
        <v>2124</v>
      </c>
      <c r="C362" s="152">
        <v>4</v>
      </c>
      <c r="D362" s="67" t="s">
        <v>1113</v>
      </c>
      <c r="E362" s="67" t="s">
        <v>2126</v>
      </c>
      <c r="F362" s="153">
        <v>4</v>
      </c>
      <c r="G362" s="153" t="s">
        <v>2126</v>
      </c>
      <c r="H362" s="153" t="s">
        <v>2107</v>
      </c>
      <c r="I362" s="67" t="s">
        <v>1835</v>
      </c>
      <c r="J362" s="67" t="s">
        <v>2120</v>
      </c>
      <c r="K362" s="67" t="s">
        <v>2184</v>
      </c>
      <c r="L362">
        <v>4</v>
      </c>
      <c r="M362" t="s">
        <v>8</v>
      </c>
      <c r="N362" t="s">
        <v>8</v>
      </c>
      <c r="O362" t="s">
        <v>8</v>
      </c>
      <c r="P362" t="s">
        <v>8</v>
      </c>
      <c r="Q362" t="s">
        <v>8</v>
      </c>
      <c r="R362" t="s">
        <v>8</v>
      </c>
    </row>
    <row r="363" spans="1:18">
      <c r="A363" s="151" t="s">
        <v>1989</v>
      </c>
      <c r="B363" s="67" t="s">
        <v>2124</v>
      </c>
      <c r="C363" s="152">
        <v>5</v>
      </c>
      <c r="D363" s="67" t="s">
        <v>1118</v>
      </c>
      <c r="E363" s="67" t="s">
        <v>2311</v>
      </c>
      <c r="F363" s="153">
        <v>5</v>
      </c>
      <c r="G363" s="153" t="s">
        <v>3735</v>
      </c>
      <c r="H363" s="153" t="s">
        <v>2107</v>
      </c>
      <c r="I363" s="67" t="s">
        <v>1835</v>
      </c>
      <c r="J363" s="67" t="s">
        <v>2120</v>
      </c>
      <c r="K363" s="67" t="s">
        <v>2194</v>
      </c>
      <c r="L363">
        <v>5</v>
      </c>
      <c r="M363" t="s">
        <v>8</v>
      </c>
      <c r="N363" t="s">
        <v>8</v>
      </c>
      <c r="O363" t="s">
        <v>8</v>
      </c>
      <c r="P363" t="s">
        <v>8</v>
      </c>
      <c r="Q363" t="s">
        <v>8</v>
      </c>
      <c r="R363" t="s">
        <v>8</v>
      </c>
    </row>
    <row r="364" spans="1:18">
      <c r="A364" s="151" t="s">
        <v>1949</v>
      </c>
      <c r="B364" s="67" t="s">
        <v>2124</v>
      </c>
      <c r="C364" s="152">
        <v>4</v>
      </c>
      <c r="D364" s="67" t="s">
        <v>2147</v>
      </c>
      <c r="E364" s="67" t="s">
        <v>2271</v>
      </c>
      <c r="F364" s="153">
        <v>4</v>
      </c>
      <c r="G364" s="153" t="s">
        <v>2126</v>
      </c>
      <c r="H364" s="153" t="s">
        <v>2107</v>
      </c>
      <c r="I364" s="67" t="s">
        <v>1835</v>
      </c>
      <c r="J364" s="67" t="s">
        <v>2120</v>
      </c>
      <c r="K364" s="67" t="s">
        <v>2184</v>
      </c>
      <c r="L364">
        <v>4</v>
      </c>
      <c r="M364" t="s">
        <v>8</v>
      </c>
      <c r="N364" t="s">
        <v>8</v>
      </c>
      <c r="O364" t="s">
        <v>8</v>
      </c>
      <c r="P364" t="s">
        <v>8</v>
      </c>
      <c r="Q364" t="s">
        <v>8</v>
      </c>
      <c r="R364" t="s">
        <v>8</v>
      </c>
    </row>
    <row r="365" spans="1:18">
      <c r="A365" s="151" t="s">
        <v>1990</v>
      </c>
      <c r="B365" s="67" t="s">
        <v>2124</v>
      </c>
      <c r="C365" s="152">
        <v>5</v>
      </c>
      <c r="D365" s="67" t="s">
        <v>2117</v>
      </c>
      <c r="E365" s="67" t="s">
        <v>2142</v>
      </c>
      <c r="F365" s="153">
        <v>5</v>
      </c>
      <c r="G365" s="153" t="s">
        <v>2126</v>
      </c>
      <c r="H365" s="153" t="s">
        <v>2107</v>
      </c>
      <c r="I365" s="67" t="s">
        <v>1835</v>
      </c>
      <c r="J365" s="67" t="s">
        <v>2120</v>
      </c>
      <c r="K365" s="67" t="s">
        <v>2194</v>
      </c>
      <c r="L365">
        <v>5</v>
      </c>
      <c r="M365" t="s">
        <v>8</v>
      </c>
      <c r="N365" t="s">
        <v>8</v>
      </c>
      <c r="O365" t="s">
        <v>8</v>
      </c>
      <c r="P365" t="s">
        <v>8</v>
      </c>
      <c r="Q365" t="s">
        <v>8</v>
      </c>
      <c r="R365" t="s">
        <v>8</v>
      </c>
    </row>
    <row r="366" spans="1:18">
      <c r="A366" s="151" t="s">
        <v>1907</v>
      </c>
      <c r="B366" s="67" t="s">
        <v>2105</v>
      </c>
      <c r="C366" s="152">
        <v>3</v>
      </c>
      <c r="D366" s="67" t="s">
        <v>2147</v>
      </c>
      <c r="E366" s="67" t="s">
        <v>2148</v>
      </c>
      <c r="F366" s="153">
        <v>3</v>
      </c>
      <c r="G366" s="153" t="s">
        <v>3736</v>
      </c>
      <c r="H366" s="153" t="s">
        <v>2107</v>
      </c>
      <c r="I366" s="67" t="s">
        <v>1835</v>
      </c>
      <c r="J366" s="67" t="s">
        <v>270</v>
      </c>
      <c r="K366" s="67" t="s">
        <v>2174</v>
      </c>
      <c r="L366">
        <v>3</v>
      </c>
      <c r="M366" t="s">
        <v>8</v>
      </c>
      <c r="N366" t="s">
        <v>8</v>
      </c>
      <c r="O366" t="s">
        <v>8</v>
      </c>
      <c r="P366" t="s">
        <v>8</v>
      </c>
      <c r="Q366" t="s">
        <v>8</v>
      </c>
      <c r="R366" t="s">
        <v>8</v>
      </c>
    </row>
    <row r="367" spans="1:18">
      <c r="A367" s="151" t="s">
        <v>1950</v>
      </c>
      <c r="B367" s="67" t="s">
        <v>2123</v>
      </c>
      <c r="C367" s="152">
        <v>4</v>
      </c>
      <c r="D367" s="67" t="s">
        <v>1118</v>
      </c>
      <c r="E367" s="67" t="s">
        <v>2142</v>
      </c>
      <c r="F367" s="153">
        <v>4</v>
      </c>
      <c r="G367" s="153" t="s">
        <v>2444</v>
      </c>
      <c r="H367" s="153" t="s">
        <v>2110</v>
      </c>
      <c r="I367" s="67" t="s">
        <v>1835</v>
      </c>
      <c r="J367" s="67" t="s">
        <v>2120</v>
      </c>
      <c r="K367" s="67" t="s">
        <v>2184</v>
      </c>
      <c r="L367">
        <v>4</v>
      </c>
      <c r="M367" t="s">
        <v>8</v>
      </c>
      <c r="N367" t="s">
        <v>8</v>
      </c>
      <c r="O367" t="s">
        <v>8</v>
      </c>
      <c r="P367" t="s">
        <v>8</v>
      </c>
      <c r="Q367" t="s">
        <v>8</v>
      </c>
      <c r="R367" t="s">
        <v>8</v>
      </c>
    </row>
    <row r="368" spans="1:18">
      <c r="A368" s="151" t="s">
        <v>2080</v>
      </c>
      <c r="B368" s="67" t="s">
        <v>2003</v>
      </c>
      <c r="C368" s="152">
        <v>8</v>
      </c>
      <c r="D368" s="67" t="s">
        <v>2147</v>
      </c>
      <c r="E368" s="67" t="s">
        <v>2271</v>
      </c>
      <c r="F368" s="153">
        <v>7</v>
      </c>
      <c r="G368" s="153" t="s">
        <v>2126</v>
      </c>
      <c r="H368" s="153" t="s">
        <v>2110</v>
      </c>
      <c r="I368" s="67" t="s">
        <v>1835</v>
      </c>
      <c r="J368" s="67" t="s">
        <v>270</v>
      </c>
      <c r="K368" s="67" t="s">
        <v>2220</v>
      </c>
      <c r="L368">
        <v>8</v>
      </c>
      <c r="M368" t="s">
        <v>8</v>
      </c>
      <c r="N368" t="s">
        <v>8</v>
      </c>
      <c r="O368" t="s">
        <v>8</v>
      </c>
      <c r="P368" t="s">
        <v>8</v>
      </c>
      <c r="Q368" t="s">
        <v>8</v>
      </c>
      <c r="R368" t="s">
        <v>8</v>
      </c>
    </row>
    <row r="369" spans="1:18">
      <c r="A369" s="151" t="s">
        <v>1908</v>
      </c>
      <c r="B369" s="67" t="s">
        <v>2229</v>
      </c>
      <c r="C369" s="152">
        <v>3</v>
      </c>
      <c r="D369" s="67" t="s">
        <v>2122</v>
      </c>
      <c r="E369" s="67" t="s">
        <v>2304</v>
      </c>
      <c r="F369" s="153">
        <v>3</v>
      </c>
      <c r="G369" s="153" t="s">
        <v>2106</v>
      </c>
      <c r="H369" s="153" t="s">
        <v>2107</v>
      </c>
      <c r="I369" s="67" t="s">
        <v>1835</v>
      </c>
      <c r="J369" s="67" t="s">
        <v>2120</v>
      </c>
      <c r="K369" s="67" t="s">
        <v>2174</v>
      </c>
      <c r="L369">
        <v>3</v>
      </c>
      <c r="M369" t="s">
        <v>8</v>
      </c>
      <c r="N369" t="s">
        <v>8</v>
      </c>
      <c r="O369" t="s">
        <v>8</v>
      </c>
      <c r="P369" t="s">
        <v>8</v>
      </c>
      <c r="Q369" t="s">
        <v>8</v>
      </c>
      <c r="R369" t="s">
        <v>8</v>
      </c>
    </row>
    <row r="370" spans="1:18">
      <c r="A370" s="151" t="s">
        <v>1870</v>
      </c>
      <c r="B370" s="67" t="s">
        <v>2105</v>
      </c>
      <c r="C370" s="152">
        <v>2</v>
      </c>
      <c r="D370" s="67" t="s">
        <v>1109</v>
      </c>
      <c r="E370" s="67" t="s">
        <v>2305</v>
      </c>
      <c r="F370" s="153">
        <v>2</v>
      </c>
      <c r="G370" s="67" t="s">
        <v>2126</v>
      </c>
      <c r="H370" s="153" t="s">
        <v>2110</v>
      </c>
      <c r="I370" s="67" t="s">
        <v>1835</v>
      </c>
      <c r="J370" s="67" t="s">
        <v>2120</v>
      </c>
      <c r="K370" s="67" t="s">
        <v>2163</v>
      </c>
      <c r="L370">
        <v>2</v>
      </c>
      <c r="M370" t="s">
        <v>8</v>
      </c>
      <c r="N370" t="s">
        <v>8</v>
      </c>
      <c r="O370" t="s">
        <v>8</v>
      </c>
      <c r="P370" t="s">
        <v>8</v>
      </c>
      <c r="Q370" t="s">
        <v>8</v>
      </c>
      <c r="R370" t="s">
        <v>8</v>
      </c>
    </row>
    <row r="371" spans="1:18">
      <c r="A371" s="151" t="s">
        <v>2081</v>
      </c>
      <c r="B371" s="67" t="s">
        <v>2242</v>
      </c>
      <c r="C371" s="152">
        <v>8</v>
      </c>
      <c r="D371" s="67" t="s">
        <v>1118</v>
      </c>
      <c r="E371" s="67" t="s">
        <v>2339</v>
      </c>
      <c r="F371" s="153">
        <v>2</v>
      </c>
      <c r="G371" s="153" t="s">
        <v>2126</v>
      </c>
      <c r="H371" s="153" t="s">
        <v>2107</v>
      </c>
      <c r="I371" s="67" t="s">
        <v>1835</v>
      </c>
      <c r="J371" s="67" t="s">
        <v>2267</v>
      </c>
      <c r="K371" s="67" t="s">
        <v>2221</v>
      </c>
      <c r="L371">
        <v>8</v>
      </c>
      <c r="M371" t="s">
        <v>8</v>
      </c>
      <c r="N371" t="s">
        <v>8</v>
      </c>
      <c r="O371" t="s">
        <v>8</v>
      </c>
      <c r="P371" t="s">
        <v>8</v>
      </c>
      <c r="Q371" t="s">
        <v>8</v>
      </c>
      <c r="R371" t="s">
        <v>8</v>
      </c>
    </row>
    <row r="372" spans="1:18">
      <c r="A372" s="151" t="s">
        <v>1991</v>
      </c>
      <c r="B372" s="67" t="s">
        <v>2124</v>
      </c>
      <c r="C372" s="152">
        <v>5</v>
      </c>
      <c r="D372" s="67" t="s">
        <v>1109</v>
      </c>
      <c r="E372" s="67" t="s">
        <v>2148</v>
      </c>
      <c r="F372" s="153">
        <v>5</v>
      </c>
      <c r="G372" s="153" t="s">
        <v>2447</v>
      </c>
      <c r="H372" s="153" t="s">
        <v>2110</v>
      </c>
      <c r="I372" s="67" t="s">
        <v>1835</v>
      </c>
      <c r="J372" s="67" t="s">
        <v>2120</v>
      </c>
      <c r="K372" s="67" t="s">
        <v>2194</v>
      </c>
      <c r="L372">
        <v>5</v>
      </c>
      <c r="M372" t="s">
        <v>8</v>
      </c>
      <c r="N372" t="s">
        <v>8</v>
      </c>
      <c r="O372" t="s">
        <v>8</v>
      </c>
      <c r="P372" t="s">
        <v>8</v>
      </c>
      <c r="Q372" t="s">
        <v>8</v>
      </c>
      <c r="R372" t="s">
        <v>8</v>
      </c>
    </row>
    <row r="373" spans="1:18">
      <c r="A373" s="151" t="s">
        <v>1871</v>
      </c>
      <c r="B373" s="67" t="s">
        <v>2124</v>
      </c>
      <c r="C373" s="152">
        <v>2</v>
      </c>
      <c r="D373" s="67" t="s">
        <v>1118</v>
      </c>
      <c r="E373" s="67" t="s">
        <v>2148</v>
      </c>
      <c r="F373" s="153">
        <v>2</v>
      </c>
      <c r="G373" s="67" t="s">
        <v>3705</v>
      </c>
      <c r="H373" s="153" t="s">
        <v>2107</v>
      </c>
      <c r="I373" s="67" t="s">
        <v>1835</v>
      </c>
      <c r="J373" s="67" t="s">
        <v>270</v>
      </c>
      <c r="K373" s="67" t="s">
        <v>2164</v>
      </c>
      <c r="L373">
        <v>2</v>
      </c>
      <c r="M373" t="s">
        <v>8</v>
      </c>
      <c r="N373" t="s">
        <v>8</v>
      </c>
      <c r="O373" t="s">
        <v>8</v>
      </c>
      <c r="P373" t="s">
        <v>8</v>
      </c>
      <c r="Q373" t="s">
        <v>8</v>
      </c>
      <c r="R373" t="s">
        <v>8</v>
      </c>
    </row>
    <row r="374" spans="1:18">
      <c r="A374" s="151" t="s">
        <v>2097</v>
      </c>
      <c r="B374" s="67" t="s">
        <v>2124</v>
      </c>
      <c r="C374" s="152">
        <v>9</v>
      </c>
      <c r="D374" s="67" t="s">
        <v>2274</v>
      </c>
      <c r="E374" s="67" t="s">
        <v>2297</v>
      </c>
      <c r="F374" s="153">
        <v>9</v>
      </c>
      <c r="G374" s="153" t="s">
        <v>2126</v>
      </c>
      <c r="H374" s="153" t="s">
        <v>2110</v>
      </c>
      <c r="I374" s="67" t="s">
        <v>1835</v>
      </c>
      <c r="J374" s="67" t="s">
        <v>2267</v>
      </c>
      <c r="K374" s="67" t="s">
        <v>2225</v>
      </c>
      <c r="L374">
        <v>9</v>
      </c>
      <c r="M374" t="s">
        <v>8</v>
      </c>
      <c r="N374" t="s">
        <v>8</v>
      </c>
      <c r="O374" t="s">
        <v>8</v>
      </c>
      <c r="P374" t="s">
        <v>8</v>
      </c>
      <c r="Q374" t="s">
        <v>8</v>
      </c>
      <c r="R374" t="s">
        <v>8</v>
      </c>
    </row>
    <row r="375" spans="1:18">
      <c r="A375" s="151" t="s">
        <v>1909</v>
      </c>
      <c r="B375" s="67" t="s">
        <v>2105</v>
      </c>
      <c r="C375" s="152">
        <v>3</v>
      </c>
      <c r="D375" s="67" t="s">
        <v>2122</v>
      </c>
      <c r="E375" s="67" t="s">
        <v>2313</v>
      </c>
      <c r="F375" s="153">
        <v>3</v>
      </c>
      <c r="G375" s="153" t="s">
        <v>3696</v>
      </c>
      <c r="H375" s="153" t="s">
        <v>2107</v>
      </c>
      <c r="I375" s="67" t="s">
        <v>1835</v>
      </c>
      <c r="J375" s="67" t="s">
        <v>270</v>
      </c>
      <c r="K375" s="67" t="s">
        <v>2174</v>
      </c>
      <c r="L375">
        <v>3</v>
      </c>
      <c r="M375" t="s">
        <v>8</v>
      </c>
      <c r="N375" t="s">
        <v>8</v>
      </c>
      <c r="O375" t="s">
        <v>8</v>
      </c>
      <c r="P375" t="s">
        <v>8</v>
      </c>
      <c r="Q375" t="s">
        <v>8</v>
      </c>
      <c r="R375" t="s">
        <v>8</v>
      </c>
    </row>
    <row r="376" spans="1:18">
      <c r="A376" s="151" t="s">
        <v>1951</v>
      </c>
      <c r="B376" s="67" t="s">
        <v>2105</v>
      </c>
      <c r="C376" s="152">
        <v>4</v>
      </c>
      <c r="D376" s="67" t="str">
        <f>"0"</f>
        <v>0</v>
      </c>
      <c r="E376" s="67" t="s">
        <v>2148</v>
      </c>
      <c r="F376" s="153" t="s">
        <v>1740</v>
      </c>
      <c r="G376" s="153" t="s">
        <v>2126</v>
      </c>
      <c r="H376" s="153" t="s">
        <v>2107</v>
      </c>
      <c r="I376" s="67" t="s">
        <v>1835</v>
      </c>
      <c r="J376" s="67" t="s">
        <v>2120</v>
      </c>
      <c r="K376" s="67" t="s">
        <v>2184</v>
      </c>
      <c r="L376">
        <v>4</v>
      </c>
      <c r="M376" t="s">
        <v>8</v>
      </c>
      <c r="N376" t="s">
        <v>8</v>
      </c>
      <c r="O376" t="s">
        <v>8</v>
      </c>
      <c r="P376" t="s">
        <v>8</v>
      </c>
      <c r="Q376" t="s">
        <v>8</v>
      </c>
      <c r="R376" t="s">
        <v>8</v>
      </c>
    </row>
    <row r="377" spans="1:18">
      <c r="A377" s="151" t="s">
        <v>1872</v>
      </c>
      <c r="B377" s="67" t="s">
        <v>2260</v>
      </c>
      <c r="C377" s="152">
        <v>2</v>
      </c>
      <c r="D377" s="67" t="s">
        <v>1109</v>
      </c>
      <c r="E377" s="67" t="s">
        <v>2304</v>
      </c>
      <c r="F377" s="153" t="s">
        <v>2111</v>
      </c>
      <c r="G377" s="67" t="s">
        <v>3706</v>
      </c>
      <c r="H377" s="153" t="s">
        <v>2107</v>
      </c>
      <c r="I377" s="67" t="s">
        <v>1835</v>
      </c>
      <c r="J377" s="67" t="s">
        <v>270</v>
      </c>
      <c r="K377" s="67" t="s">
        <v>2164</v>
      </c>
      <c r="L377">
        <v>2</v>
      </c>
      <c r="M377" t="s">
        <v>8</v>
      </c>
      <c r="N377" t="s">
        <v>8</v>
      </c>
      <c r="O377" t="s">
        <v>8</v>
      </c>
      <c r="P377" t="s">
        <v>8</v>
      </c>
      <c r="Q377" t="s">
        <v>8</v>
      </c>
      <c r="R377" t="s">
        <v>8</v>
      </c>
    </row>
    <row r="378" spans="1:18">
      <c r="A378" s="151" t="s">
        <v>1873</v>
      </c>
      <c r="B378" s="67" t="s">
        <v>2112</v>
      </c>
      <c r="C378" s="152">
        <v>2</v>
      </c>
      <c r="D378" s="67" t="s">
        <v>1118</v>
      </c>
      <c r="E378" s="67" t="s">
        <v>2142</v>
      </c>
      <c r="F378" s="153">
        <v>2</v>
      </c>
      <c r="G378" s="67" t="s">
        <v>3705</v>
      </c>
      <c r="H378" s="153" t="s">
        <v>2110</v>
      </c>
      <c r="I378" s="67" t="s">
        <v>1835</v>
      </c>
      <c r="J378" s="67" t="s">
        <v>2108</v>
      </c>
      <c r="K378" s="67" t="s">
        <v>2164</v>
      </c>
      <c r="L378">
        <v>2</v>
      </c>
      <c r="M378" t="s">
        <v>8</v>
      </c>
      <c r="N378" t="s">
        <v>8</v>
      </c>
      <c r="O378" t="s">
        <v>8</v>
      </c>
      <c r="P378" t="s">
        <v>8</v>
      </c>
      <c r="Q378" t="s">
        <v>8</v>
      </c>
      <c r="R378" t="s">
        <v>8</v>
      </c>
    </row>
    <row r="379" spans="1:18">
      <c r="A379" s="151" t="s">
        <v>1910</v>
      </c>
      <c r="B379" s="67" t="s">
        <v>2105</v>
      </c>
      <c r="C379" s="152">
        <v>3</v>
      </c>
      <c r="D379" s="67" t="s">
        <v>2122</v>
      </c>
      <c r="E379" s="67" t="s">
        <v>2126</v>
      </c>
      <c r="F379" s="153" t="s">
        <v>1740</v>
      </c>
      <c r="G379" s="153" t="s">
        <v>2450</v>
      </c>
      <c r="H379" s="153" t="s">
        <v>2107</v>
      </c>
      <c r="I379" s="67" t="s">
        <v>1835</v>
      </c>
      <c r="J379" s="67" t="s">
        <v>2120</v>
      </c>
      <c r="K379" s="67" t="s">
        <v>2174</v>
      </c>
      <c r="L379">
        <v>3</v>
      </c>
      <c r="M379" t="s">
        <v>8</v>
      </c>
      <c r="N379" t="s">
        <v>8</v>
      </c>
      <c r="O379" t="s">
        <v>8</v>
      </c>
      <c r="P379" t="s">
        <v>8</v>
      </c>
      <c r="Q379" t="s">
        <v>8</v>
      </c>
      <c r="R379" t="s">
        <v>8</v>
      </c>
    </row>
    <row r="380" spans="1:18">
      <c r="A380" s="151" t="s">
        <v>2055</v>
      </c>
      <c r="B380" s="67" t="s">
        <v>2246</v>
      </c>
      <c r="C380" s="152">
        <v>7</v>
      </c>
      <c r="D380" s="67" t="s">
        <v>2122</v>
      </c>
      <c r="E380" s="67" t="s">
        <v>2333</v>
      </c>
      <c r="F380" s="153">
        <v>1</v>
      </c>
      <c r="G380" s="153" t="s">
        <v>2126</v>
      </c>
      <c r="H380" s="153" t="s">
        <v>2110</v>
      </c>
      <c r="I380" s="67" t="s">
        <v>1835</v>
      </c>
      <c r="J380" s="67" t="s">
        <v>2120</v>
      </c>
      <c r="K380" s="67" t="s">
        <v>2213</v>
      </c>
      <c r="L380">
        <v>7</v>
      </c>
      <c r="M380" t="s">
        <v>8</v>
      </c>
      <c r="N380" t="s">
        <v>8</v>
      </c>
      <c r="O380" t="s">
        <v>8</v>
      </c>
      <c r="P380" t="s">
        <v>8</v>
      </c>
      <c r="Q380" t="s">
        <v>8</v>
      </c>
      <c r="R380" t="s">
        <v>8</v>
      </c>
    </row>
    <row r="381" spans="1:18">
      <c r="A381" s="151" t="s">
        <v>1992</v>
      </c>
      <c r="B381" s="67" t="s">
        <v>2105</v>
      </c>
      <c r="C381" s="152">
        <v>5</v>
      </c>
      <c r="D381" s="67" t="s">
        <v>1118</v>
      </c>
      <c r="E381" s="67" t="s">
        <v>2303</v>
      </c>
      <c r="F381" s="153">
        <v>5</v>
      </c>
      <c r="G381" s="153" t="s">
        <v>2126</v>
      </c>
      <c r="H381" s="153" t="s">
        <v>2107</v>
      </c>
      <c r="I381" s="67" t="s">
        <v>1835</v>
      </c>
      <c r="J381" s="67" t="s">
        <v>2120</v>
      </c>
      <c r="K381" s="67" t="s">
        <v>2195</v>
      </c>
      <c r="L381">
        <v>5</v>
      </c>
      <c r="M381" t="s">
        <v>8</v>
      </c>
      <c r="N381" t="s">
        <v>8</v>
      </c>
      <c r="O381" t="s">
        <v>8</v>
      </c>
      <c r="P381" t="s">
        <v>8</v>
      </c>
      <c r="Q381" t="s">
        <v>8</v>
      </c>
      <c r="R381" t="s">
        <v>8</v>
      </c>
    </row>
    <row r="382" spans="1:18">
      <c r="A382" s="151" t="s">
        <v>1811</v>
      </c>
      <c r="B382" s="67" t="s">
        <v>2105</v>
      </c>
      <c r="C382" s="152">
        <v>1</v>
      </c>
      <c r="D382" s="67" t="s">
        <v>2122</v>
      </c>
      <c r="E382" s="67" t="s">
        <v>2149</v>
      </c>
      <c r="F382" s="153">
        <v>1</v>
      </c>
      <c r="G382" s="67" t="s">
        <v>2403</v>
      </c>
      <c r="H382" s="153" t="s">
        <v>2107</v>
      </c>
      <c r="I382" s="67" t="s">
        <v>1835</v>
      </c>
      <c r="J382" s="67" t="s">
        <v>2108</v>
      </c>
      <c r="K382" s="67" t="s">
        <v>2154</v>
      </c>
      <c r="L382">
        <v>1</v>
      </c>
      <c r="M382" t="s">
        <v>8</v>
      </c>
      <c r="N382" t="s">
        <v>8</v>
      </c>
      <c r="O382" t="s">
        <v>8</v>
      </c>
      <c r="P382" t="s">
        <v>8</v>
      </c>
      <c r="Q382" t="s">
        <v>8</v>
      </c>
      <c r="R382" t="s">
        <v>8</v>
      </c>
    </row>
    <row r="383" spans="1:18">
      <c r="A383" s="151" t="s">
        <v>1952</v>
      </c>
      <c r="B383" s="67" t="s">
        <v>2105</v>
      </c>
      <c r="C383" s="152">
        <v>4</v>
      </c>
      <c r="D383" s="67" t="s">
        <v>2122</v>
      </c>
      <c r="E383" s="67" t="s">
        <v>2126</v>
      </c>
      <c r="F383" s="153">
        <v>1</v>
      </c>
      <c r="G383" s="153" t="s">
        <v>2127</v>
      </c>
      <c r="H383" s="153" t="s">
        <v>2107</v>
      </c>
      <c r="I383" s="67" t="s">
        <v>1835</v>
      </c>
      <c r="J383" s="67" t="s">
        <v>2120</v>
      </c>
      <c r="K383" s="67" t="s">
        <v>2185</v>
      </c>
      <c r="L383">
        <v>4</v>
      </c>
      <c r="M383" t="s">
        <v>8</v>
      </c>
      <c r="N383" t="s">
        <v>8</v>
      </c>
      <c r="O383" t="s">
        <v>8</v>
      </c>
      <c r="P383" t="s">
        <v>8</v>
      </c>
      <c r="Q383" t="s">
        <v>8</v>
      </c>
      <c r="R383" t="s">
        <v>8</v>
      </c>
    </row>
    <row r="384" spans="1:18">
      <c r="A384" s="151" t="s">
        <v>2082</v>
      </c>
      <c r="B384" s="67" t="s">
        <v>2105</v>
      </c>
      <c r="C384" s="152">
        <v>8</v>
      </c>
      <c r="D384" s="67" t="s">
        <v>2126</v>
      </c>
      <c r="E384" s="67" t="s">
        <v>2142</v>
      </c>
      <c r="F384" s="153" t="s">
        <v>2431</v>
      </c>
      <c r="G384" s="153" t="s">
        <v>2126</v>
      </c>
      <c r="H384" s="153" t="s">
        <v>2110</v>
      </c>
      <c r="I384" s="67" t="s">
        <v>1835</v>
      </c>
      <c r="J384" s="67" t="s">
        <v>2120</v>
      </c>
      <c r="K384" s="67" t="s">
        <v>2221</v>
      </c>
      <c r="L384">
        <v>8</v>
      </c>
      <c r="M384" t="s">
        <v>8</v>
      </c>
      <c r="N384" t="s">
        <v>8</v>
      </c>
      <c r="O384" t="s">
        <v>8</v>
      </c>
      <c r="P384" t="s">
        <v>8</v>
      </c>
      <c r="Q384" t="s">
        <v>8</v>
      </c>
      <c r="R384" t="s">
        <v>8</v>
      </c>
    </row>
    <row r="385" spans="1:18">
      <c r="A385" s="151" t="s">
        <v>1874</v>
      </c>
      <c r="B385" s="67" t="s">
        <v>2112</v>
      </c>
      <c r="C385" s="152">
        <v>2</v>
      </c>
      <c r="D385" s="67" t="s">
        <v>2279</v>
      </c>
      <c r="E385" s="67" t="s">
        <v>2114</v>
      </c>
      <c r="F385" s="153">
        <v>2</v>
      </c>
      <c r="G385" s="67" t="s">
        <v>2417</v>
      </c>
      <c r="H385" s="153" t="s">
        <v>2107</v>
      </c>
      <c r="I385" s="67" t="s">
        <v>1835</v>
      </c>
      <c r="J385" s="67" t="s">
        <v>270</v>
      </c>
      <c r="K385" s="67" t="s">
        <v>2164</v>
      </c>
      <c r="L385">
        <v>2</v>
      </c>
      <c r="M385" t="s">
        <v>8</v>
      </c>
      <c r="N385" t="s">
        <v>8</v>
      </c>
      <c r="O385" t="s">
        <v>8</v>
      </c>
      <c r="P385" t="s">
        <v>8</v>
      </c>
      <c r="Q385" t="s">
        <v>8</v>
      </c>
      <c r="R385" t="s">
        <v>8</v>
      </c>
    </row>
    <row r="386" spans="1:18">
      <c r="A386" s="151" t="s">
        <v>1953</v>
      </c>
      <c r="B386" s="67" t="s">
        <v>2125</v>
      </c>
      <c r="C386" s="152">
        <v>4</v>
      </c>
      <c r="D386" s="67" t="s">
        <v>2122</v>
      </c>
      <c r="E386" s="67" t="s">
        <v>2126</v>
      </c>
      <c r="F386" s="153" t="s">
        <v>1740</v>
      </c>
      <c r="G386" s="153" t="s">
        <v>2418</v>
      </c>
      <c r="H386" s="153" t="s">
        <v>2107</v>
      </c>
      <c r="I386" s="67" t="s">
        <v>1835</v>
      </c>
      <c r="J386" s="67" t="s">
        <v>2267</v>
      </c>
      <c r="K386" s="67" t="s">
        <v>2185</v>
      </c>
      <c r="L386">
        <v>4</v>
      </c>
      <c r="M386" t="s">
        <v>8</v>
      </c>
      <c r="N386" t="s">
        <v>8</v>
      </c>
      <c r="O386" t="s">
        <v>8</v>
      </c>
      <c r="P386" t="s">
        <v>8</v>
      </c>
      <c r="Q386" t="s">
        <v>8</v>
      </c>
      <c r="R386" t="s">
        <v>8</v>
      </c>
    </row>
    <row r="387" spans="1:18">
      <c r="A387" s="151" t="s">
        <v>1875</v>
      </c>
      <c r="B387" s="67" t="s">
        <v>2123</v>
      </c>
      <c r="C387" s="152">
        <v>2</v>
      </c>
      <c r="D387" s="67" t="s">
        <v>2122</v>
      </c>
      <c r="E387" s="67" t="s">
        <v>2142</v>
      </c>
      <c r="F387" s="153" t="s">
        <v>2424</v>
      </c>
      <c r="G387" s="67" t="s">
        <v>2418</v>
      </c>
      <c r="H387" s="153" t="s">
        <v>2107</v>
      </c>
      <c r="I387" s="67" t="s">
        <v>1835</v>
      </c>
      <c r="J387" s="67" t="s">
        <v>2120</v>
      </c>
      <c r="K387" s="67" t="s">
        <v>2164</v>
      </c>
      <c r="L387">
        <v>2</v>
      </c>
      <c r="M387" t="s">
        <v>8</v>
      </c>
      <c r="N387" t="s">
        <v>8</v>
      </c>
      <c r="O387" t="s">
        <v>8</v>
      </c>
      <c r="P387" t="s">
        <v>8</v>
      </c>
      <c r="Q387" t="s">
        <v>8</v>
      </c>
      <c r="R387" t="s">
        <v>8</v>
      </c>
    </row>
    <row r="388" spans="1:18">
      <c r="A388" s="151" t="s">
        <v>1876</v>
      </c>
      <c r="B388" s="67" t="s">
        <v>2258</v>
      </c>
      <c r="C388" s="152">
        <v>2</v>
      </c>
      <c r="D388" s="67" t="s">
        <v>2122</v>
      </c>
      <c r="E388" s="67" t="s">
        <v>2309</v>
      </c>
      <c r="F388" s="153" t="s">
        <v>1740</v>
      </c>
      <c r="G388" s="67" t="s">
        <v>2419</v>
      </c>
      <c r="H388" s="153" t="s">
        <v>2107</v>
      </c>
      <c r="I388" s="67" t="s">
        <v>1835</v>
      </c>
      <c r="J388" s="67" t="s">
        <v>2120</v>
      </c>
      <c r="K388" s="67" t="s">
        <v>2164</v>
      </c>
      <c r="L388">
        <v>2</v>
      </c>
      <c r="M388" t="s">
        <v>8</v>
      </c>
      <c r="N388" t="s">
        <v>8</v>
      </c>
      <c r="O388" t="s">
        <v>8</v>
      </c>
      <c r="P388" t="s">
        <v>8</v>
      </c>
      <c r="Q388" t="s">
        <v>8</v>
      </c>
      <c r="R388" t="s">
        <v>8</v>
      </c>
    </row>
    <row r="389" spans="1:18">
      <c r="A389" s="151" t="s">
        <v>2056</v>
      </c>
      <c r="B389" s="67" t="s">
        <v>2124</v>
      </c>
      <c r="C389" s="152">
        <v>7</v>
      </c>
      <c r="D389" s="67" t="s">
        <v>2147</v>
      </c>
      <c r="E389" s="67" t="s">
        <v>2148</v>
      </c>
      <c r="F389" s="153">
        <v>7</v>
      </c>
      <c r="G389" s="153" t="s">
        <v>2126</v>
      </c>
      <c r="H389" s="153" t="s">
        <v>2107</v>
      </c>
      <c r="I389" s="67" t="s">
        <v>1835</v>
      </c>
      <c r="J389" s="67" t="s">
        <v>2120</v>
      </c>
      <c r="K389" s="67" t="s">
        <v>2213</v>
      </c>
      <c r="L389">
        <v>7</v>
      </c>
      <c r="M389" t="s">
        <v>8</v>
      </c>
      <c r="N389" t="s">
        <v>8</v>
      </c>
      <c r="O389" t="s">
        <v>8</v>
      </c>
      <c r="P389" t="s">
        <v>8</v>
      </c>
      <c r="Q389" t="s">
        <v>8</v>
      </c>
      <c r="R389" t="s">
        <v>8</v>
      </c>
    </row>
    <row r="390" spans="1:18">
      <c r="A390" s="151" t="s">
        <v>1812</v>
      </c>
      <c r="B390" s="67" t="s">
        <v>2105</v>
      </c>
      <c r="C390" s="152">
        <v>1</v>
      </c>
      <c r="D390" s="67" t="s">
        <v>2122</v>
      </c>
      <c r="E390" s="67" t="s">
        <v>2126</v>
      </c>
      <c r="F390" s="153">
        <v>1</v>
      </c>
      <c r="G390" s="156" t="s">
        <v>2403</v>
      </c>
      <c r="H390" s="153" t="s">
        <v>2107</v>
      </c>
      <c r="I390" s="67" t="s">
        <v>1835</v>
      </c>
      <c r="J390" s="67" t="s">
        <v>2120</v>
      </c>
      <c r="K390" s="67" t="s">
        <v>2154</v>
      </c>
      <c r="L390">
        <v>1</v>
      </c>
      <c r="M390" t="s">
        <v>8</v>
      </c>
      <c r="N390" t="s">
        <v>8</v>
      </c>
      <c r="O390" t="s">
        <v>8</v>
      </c>
      <c r="P390" t="s">
        <v>8</v>
      </c>
      <c r="Q390" t="s">
        <v>8</v>
      </c>
      <c r="R390" t="s">
        <v>8</v>
      </c>
    </row>
    <row r="391" spans="1:18">
      <c r="A391" s="151" t="s">
        <v>2083</v>
      </c>
      <c r="B391" s="67" t="s">
        <v>2124</v>
      </c>
      <c r="C391" s="152">
        <v>8</v>
      </c>
      <c r="D391" s="67" t="s">
        <v>2117</v>
      </c>
      <c r="E391" s="67" t="s">
        <v>2148</v>
      </c>
      <c r="F391" s="153">
        <v>8</v>
      </c>
      <c r="G391" s="153" t="s">
        <v>2126</v>
      </c>
      <c r="H391" s="153" t="s">
        <v>2107</v>
      </c>
      <c r="I391" s="67" t="s">
        <v>1835</v>
      </c>
      <c r="J391" s="67" t="s">
        <v>2120</v>
      </c>
      <c r="K391" s="67" t="s">
        <v>2221</v>
      </c>
      <c r="L391">
        <v>8</v>
      </c>
      <c r="M391" t="s">
        <v>8</v>
      </c>
      <c r="N391" t="s">
        <v>8</v>
      </c>
      <c r="O391" t="s">
        <v>8</v>
      </c>
      <c r="P391" t="s">
        <v>8</v>
      </c>
      <c r="Q391" t="s">
        <v>8</v>
      </c>
      <c r="R391" t="s">
        <v>8</v>
      </c>
    </row>
    <row r="392" spans="1:18">
      <c r="A392" s="151" t="s">
        <v>2057</v>
      </c>
      <c r="B392" s="67" t="s">
        <v>2105</v>
      </c>
      <c r="C392" s="152">
        <v>7</v>
      </c>
      <c r="D392" s="67" t="s">
        <v>2122</v>
      </c>
      <c r="E392" s="67" t="s">
        <v>2334</v>
      </c>
      <c r="F392" s="153">
        <v>7</v>
      </c>
      <c r="G392" s="153" t="s">
        <v>2126</v>
      </c>
      <c r="H392" s="153" t="s">
        <v>2151</v>
      </c>
      <c r="I392" s="67" t="s">
        <v>1835</v>
      </c>
      <c r="J392" s="67" t="s">
        <v>2120</v>
      </c>
      <c r="K392" s="67" t="s">
        <v>2213</v>
      </c>
      <c r="L392">
        <v>7</v>
      </c>
      <c r="M392" t="s">
        <v>8</v>
      </c>
      <c r="N392" t="s">
        <v>8</v>
      </c>
      <c r="O392" t="s">
        <v>8</v>
      </c>
      <c r="P392" t="s">
        <v>8</v>
      </c>
      <c r="Q392" t="s">
        <v>8</v>
      </c>
      <c r="R392" t="s">
        <v>8</v>
      </c>
    </row>
    <row r="393" spans="1:18">
      <c r="A393" s="151" t="s">
        <v>1954</v>
      </c>
      <c r="B393" s="67" t="s">
        <v>2105</v>
      </c>
      <c r="C393" s="152">
        <v>4</v>
      </c>
      <c r="D393" s="67" t="str">
        <f>"0"</f>
        <v>0</v>
      </c>
      <c r="E393" s="67" t="s">
        <v>2297</v>
      </c>
      <c r="F393" s="153">
        <v>1</v>
      </c>
      <c r="G393" s="153" t="s">
        <v>2441</v>
      </c>
      <c r="H393" s="153" t="s">
        <v>2151</v>
      </c>
      <c r="I393" s="67" t="s">
        <v>1835</v>
      </c>
      <c r="J393" s="67" t="s">
        <v>2120</v>
      </c>
      <c r="K393" s="67" t="s">
        <v>2185</v>
      </c>
      <c r="L393">
        <v>4</v>
      </c>
      <c r="M393" t="s">
        <v>8</v>
      </c>
      <c r="N393" t="s">
        <v>8</v>
      </c>
      <c r="O393" t="s">
        <v>8</v>
      </c>
      <c r="P393" t="s">
        <v>8</v>
      </c>
      <c r="Q393" t="s">
        <v>8</v>
      </c>
      <c r="R393" t="s">
        <v>8</v>
      </c>
    </row>
    <row r="394" spans="1:18">
      <c r="A394" s="151" t="s">
        <v>1993</v>
      </c>
      <c r="B394" s="67" t="s">
        <v>2123</v>
      </c>
      <c r="C394" s="152">
        <v>5</v>
      </c>
      <c r="D394" s="67" t="s">
        <v>1109</v>
      </c>
      <c r="E394" s="67" t="s">
        <v>2148</v>
      </c>
      <c r="F394" s="153">
        <v>2</v>
      </c>
      <c r="G394" s="153" t="s">
        <v>2126</v>
      </c>
      <c r="H394" s="153" t="s">
        <v>2264</v>
      </c>
      <c r="I394" s="67" t="s">
        <v>1835</v>
      </c>
      <c r="J394" s="67" t="s">
        <v>2120</v>
      </c>
      <c r="K394" s="67" t="s">
        <v>2195</v>
      </c>
      <c r="L394">
        <v>5</v>
      </c>
      <c r="M394" t="s">
        <v>8</v>
      </c>
      <c r="N394" t="s">
        <v>8</v>
      </c>
      <c r="O394" t="s">
        <v>8</v>
      </c>
      <c r="P394" t="s">
        <v>8</v>
      </c>
      <c r="Q394" t="s">
        <v>8</v>
      </c>
      <c r="R394" t="s">
        <v>8</v>
      </c>
    </row>
    <row r="395" spans="1:18">
      <c r="A395" s="151" t="s">
        <v>1877</v>
      </c>
      <c r="B395" s="67" t="s">
        <v>2003</v>
      </c>
      <c r="C395" s="152">
        <v>2</v>
      </c>
      <c r="D395" s="67" t="s">
        <v>2147</v>
      </c>
      <c r="E395" s="67" t="s">
        <v>2126</v>
      </c>
      <c r="F395" s="153">
        <v>2</v>
      </c>
      <c r="G395" s="153" t="s">
        <v>3705</v>
      </c>
      <c r="H395" s="153" t="s">
        <v>2107</v>
      </c>
      <c r="I395" s="67" t="s">
        <v>1835</v>
      </c>
      <c r="J395" s="67" t="s">
        <v>270</v>
      </c>
      <c r="K395" s="67" t="s">
        <v>2165</v>
      </c>
      <c r="L395">
        <v>2</v>
      </c>
      <c r="M395" t="s">
        <v>8</v>
      </c>
      <c r="N395" t="s">
        <v>8</v>
      </c>
      <c r="O395" t="s">
        <v>8</v>
      </c>
      <c r="P395" t="s">
        <v>8</v>
      </c>
      <c r="Q395" t="s">
        <v>8</v>
      </c>
      <c r="R395" t="s">
        <v>8</v>
      </c>
    </row>
    <row r="396" spans="1:18">
      <c r="A396" s="151" t="s">
        <v>2098</v>
      </c>
      <c r="B396" s="67" t="s">
        <v>2135</v>
      </c>
      <c r="C396" s="152">
        <v>9</v>
      </c>
      <c r="D396" s="67" t="str">
        <f>"0"</f>
        <v>0</v>
      </c>
      <c r="E396" s="67" t="s">
        <v>2299</v>
      </c>
      <c r="F396" s="153" t="s">
        <v>2111</v>
      </c>
      <c r="G396" s="153" t="s">
        <v>2126</v>
      </c>
      <c r="H396" s="153" t="s">
        <v>2107</v>
      </c>
      <c r="I396" s="67" t="s">
        <v>1835</v>
      </c>
      <c r="J396" s="67" t="s">
        <v>2120</v>
      </c>
      <c r="K396" s="67" t="s">
        <v>2226</v>
      </c>
      <c r="L396">
        <v>9</v>
      </c>
      <c r="M396" t="s">
        <v>8</v>
      </c>
      <c r="N396" t="s">
        <v>8</v>
      </c>
      <c r="O396" t="s">
        <v>8</v>
      </c>
      <c r="P396" t="s">
        <v>8</v>
      </c>
      <c r="Q396" t="s">
        <v>8</v>
      </c>
      <c r="R396" t="s">
        <v>8</v>
      </c>
    </row>
    <row r="397" spans="1:18">
      <c r="A397" s="151" t="s">
        <v>1813</v>
      </c>
      <c r="B397" s="67" t="s">
        <v>2124</v>
      </c>
      <c r="C397" s="152">
        <v>1</v>
      </c>
      <c r="D397" s="67" t="s">
        <v>2276</v>
      </c>
      <c r="E397" s="67" t="s">
        <v>2297</v>
      </c>
      <c r="F397" s="153">
        <v>1</v>
      </c>
      <c r="G397" s="67" t="s">
        <v>3707</v>
      </c>
      <c r="H397" s="153" t="s">
        <v>2110</v>
      </c>
      <c r="I397" s="67" t="s">
        <v>1835</v>
      </c>
      <c r="J397" s="67" t="s">
        <v>2120</v>
      </c>
      <c r="K397" s="67" t="s">
        <v>2154</v>
      </c>
      <c r="L397">
        <v>1</v>
      </c>
      <c r="M397" t="s">
        <v>8</v>
      </c>
      <c r="N397" t="s">
        <v>8</v>
      </c>
      <c r="O397" t="s">
        <v>8</v>
      </c>
      <c r="P397" t="s">
        <v>8</v>
      </c>
      <c r="Q397" t="s">
        <v>8</v>
      </c>
      <c r="R397" t="s">
        <v>8</v>
      </c>
    </row>
    <row r="398" spans="1:18">
      <c r="A398" s="151" t="s">
        <v>2024</v>
      </c>
      <c r="B398" s="67" t="s">
        <v>2249</v>
      </c>
      <c r="C398" s="152">
        <v>6</v>
      </c>
      <c r="D398" s="67" t="s">
        <v>2147</v>
      </c>
      <c r="E398" s="67" t="s">
        <v>2148</v>
      </c>
      <c r="F398" s="153">
        <v>6</v>
      </c>
      <c r="G398" s="153" t="s">
        <v>2126</v>
      </c>
      <c r="H398" s="153" t="s">
        <v>2107</v>
      </c>
      <c r="I398" s="67" t="s">
        <v>1835</v>
      </c>
      <c r="J398" s="67" t="s">
        <v>2120</v>
      </c>
      <c r="K398" s="67" t="s">
        <v>2205</v>
      </c>
      <c r="L398">
        <v>6</v>
      </c>
      <c r="M398" t="s">
        <v>8</v>
      </c>
      <c r="N398" t="s">
        <v>8</v>
      </c>
      <c r="O398" t="s">
        <v>8</v>
      </c>
      <c r="P398" t="s">
        <v>8</v>
      </c>
      <c r="Q398" t="s">
        <v>8</v>
      </c>
      <c r="R398" t="s">
        <v>8</v>
      </c>
    </row>
    <row r="399" spans="1:18">
      <c r="A399" s="151" t="s">
        <v>1814</v>
      </c>
      <c r="B399" s="67" t="s">
        <v>2229</v>
      </c>
      <c r="C399" s="152">
        <v>1</v>
      </c>
      <c r="D399" s="67" t="s">
        <v>2122</v>
      </c>
      <c r="E399" s="67" t="s">
        <v>2116</v>
      </c>
      <c r="F399" s="153">
        <v>1</v>
      </c>
      <c r="G399" s="67" t="s">
        <v>2403</v>
      </c>
      <c r="H399" s="153" t="s">
        <v>2107</v>
      </c>
      <c r="I399" s="67" t="s">
        <v>1834</v>
      </c>
      <c r="J399" s="67" t="s">
        <v>2120</v>
      </c>
      <c r="K399" s="67" t="s">
        <v>2155</v>
      </c>
      <c r="L399">
        <v>1</v>
      </c>
      <c r="M399" t="s">
        <v>8</v>
      </c>
      <c r="N399" t="s">
        <v>8</v>
      </c>
      <c r="O399" t="s">
        <v>8</v>
      </c>
      <c r="P399" t="s">
        <v>8</v>
      </c>
      <c r="Q399" t="s">
        <v>8</v>
      </c>
      <c r="R399" t="s">
        <v>8</v>
      </c>
    </row>
    <row r="400" spans="1:18">
      <c r="A400" s="151" t="s">
        <v>1911</v>
      </c>
      <c r="B400" s="67" t="s">
        <v>2229</v>
      </c>
      <c r="C400" s="152">
        <v>3</v>
      </c>
      <c r="D400" s="67" t="s">
        <v>2122</v>
      </c>
      <c r="E400" s="67" t="s">
        <v>2116</v>
      </c>
      <c r="F400" s="153">
        <v>3</v>
      </c>
      <c r="G400" s="153" t="s">
        <v>2451</v>
      </c>
      <c r="H400" s="153" t="s">
        <v>2107</v>
      </c>
      <c r="I400" s="67" t="s">
        <v>1834</v>
      </c>
      <c r="J400" s="67" t="s">
        <v>2120</v>
      </c>
      <c r="K400" s="67" t="s">
        <v>2174</v>
      </c>
      <c r="L400">
        <v>3</v>
      </c>
      <c r="M400" t="s">
        <v>8</v>
      </c>
      <c r="N400" t="s">
        <v>8</v>
      </c>
      <c r="O400" t="s">
        <v>8</v>
      </c>
      <c r="P400" t="s">
        <v>8</v>
      </c>
      <c r="Q400" t="s">
        <v>8</v>
      </c>
      <c r="R400" t="s">
        <v>8</v>
      </c>
    </row>
    <row r="401" spans="1:18">
      <c r="A401" s="151" t="s">
        <v>1878</v>
      </c>
      <c r="B401" s="67" t="s">
        <v>2229</v>
      </c>
      <c r="C401" s="152">
        <v>2</v>
      </c>
      <c r="D401" s="67" t="s">
        <v>2122</v>
      </c>
      <c r="E401" s="67" t="s">
        <v>2310</v>
      </c>
      <c r="F401" s="153" t="s">
        <v>2111</v>
      </c>
      <c r="G401" s="153" t="s">
        <v>2106</v>
      </c>
      <c r="H401" s="153" t="s">
        <v>2110</v>
      </c>
      <c r="I401" s="67" t="s">
        <v>1835</v>
      </c>
      <c r="J401" s="67" t="s">
        <v>2120</v>
      </c>
      <c r="K401" s="67" t="s">
        <v>2165</v>
      </c>
      <c r="L401">
        <v>2</v>
      </c>
      <c r="M401" t="s">
        <v>8</v>
      </c>
      <c r="N401" t="s">
        <v>8</v>
      </c>
      <c r="O401" t="s">
        <v>8</v>
      </c>
      <c r="P401" t="s">
        <v>8</v>
      </c>
      <c r="Q401" t="s">
        <v>8</v>
      </c>
      <c r="R401" t="s">
        <v>8</v>
      </c>
    </row>
    <row r="402" spans="1:18">
      <c r="A402" s="151" t="s">
        <v>1912</v>
      </c>
      <c r="B402" s="67" t="s">
        <v>2229</v>
      </c>
      <c r="C402" s="152">
        <v>3</v>
      </c>
      <c r="D402" s="67" t="s">
        <v>2122</v>
      </c>
      <c r="E402" s="67" t="s">
        <v>2271</v>
      </c>
      <c r="F402" s="153">
        <v>3</v>
      </c>
      <c r="G402" s="153" t="s">
        <v>2127</v>
      </c>
      <c r="H402" s="153" t="s">
        <v>2107</v>
      </c>
      <c r="I402" s="67" t="s">
        <v>1835</v>
      </c>
      <c r="J402" s="67" t="s">
        <v>2120</v>
      </c>
      <c r="K402" s="67" t="s">
        <v>2175</v>
      </c>
      <c r="L402">
        <v>3</v>
      </c>
      <c r="M402" t="s">
        <v>8</v>
      </c>
      <c r="N402" t="s">
        <v>8</v>
      </c>
      <c r="O402" t="s">
        <v>8</v>
      </c>
      <c r="P402" t="s">
        <v>8</v>
      </c>
      <c r="Q402" t="s">
        <v>8</v>
      </c>
      <c r="R402" t="s">
        <v>8</v>
      </c>
    </row>
    <row r="403" spans="1:18">
      <c r="A403" s="151" t="s">
        <v>1879</v>
      </c>
      <c r="B403" s="67" t="s">
        <v>2105</v>
      </c>
      <c r="C403" s="152">
        <v>2</v>
      </c>
      <c r="D403" s="67" t="s">
        <v>2128</v>
      </c>
      <c r="E403" s="67" t="s">
        <v>2126</v>
      </c>
      <c r="F403" s="153">
        <v>2</v>
      </c>
      <c r="G403" s="153" t="s">
        <v>2448</v>
      </c>
      <c r="H403" s="153" t="s">
        <v>2107</v>
      </c>
      <c r="I403" s="67" t="s">
        <v>1835</v>
      </c>
      <c r="J403" s="67" t="s">
        <v>2120</v>
      </c>
      <c r="K403" s="67" t="s">
        <v>2165</v>
      </c>
      <c r="L403">
        <v>2</v>
      </c>
      <c r="M403" t="s">
        <v>8</v>
      </c>
      <c r="N403" t="s">
        <v>8</v>
      </c>
      <c r="O403" t="s">
        <v>8</v>
      </c>
      <c r="P403" t="s">
        <v>8</v>
      </c>
      <c r="Q403" t="s">
        <v>8</v>
      </c>
      <c r="R403" t="s">
        <v>8</v>
      </c>
    </row>
    <row r="404" spans="1:18">
      <c r="A404" s="151" t="s">
        <v>2025</v>
      </c>
      <c r="B404" s="67" t="s">
        <v>2112</v>
      </c>
      <c r="C404" s="152">
        <v>6</v>
      </c>
      <c r="D404" s="67" t="s">
        <v>1109</v>
      </c>
      <c r="E404" s="67" t="s">
        <v>2126</v>
      </c>
      <c r="F404" s="153">
        <v>4</v>
      </c>
      <c r="G404" s="153" t="s">
        <v>2127</v>
      </c>
      <c r="H404" s="153" t="s">
        <v>2151</v>
      </c>
      <c r="I404" s="67" t="s">
        <v>1835</v>
      </c>
      <c r="J404" s="67" t="s">
        <v>2120</v>
      </c>
      <c r="K404" s="67" t="s">
        <v>2205</v>
      </c>
      <c r="L404">
        <v>6</v>
      </c>
      <c r="M404" t="s">
        <v>8</v>
      </c>
      <c r="N404" t="s">
        <v>8</v>
      </c>
      <c r="O404" t="s">
        <v>8</v>
      </c>
      <c r="P404" t="s">
        <v>8</v>
      </c>
      <c r="Q404" t="s">
        <v>8</v>
      </c>
      <c r="R404" t="s">
        <v>8</v>
      </c>
    </row>
    <row r="405" spans="1:18">
      <c r="A405" s="151" t="s">
        <v>1913</v>
      </c>
      <c r="B405" s="67" t="s">
        <v>2105</v>
      </c>
      <c r="C405" s="152">
        <v>3</v>
      </c>
      <c r="D405" s="67" t="str">
        <f>"0"</f>
        <v>0</v>
      </c>
      <c r="E405" s="67" t="s">
        <v>2111</v>
      </c>
      <c r="F405" s="153">
        <v>3</v>
      </c>
      <c r="G405" s="153" t="s">
        <v>2452</v>
      </c>
      <c r="H405" s="153" t="s">
        <v>2107</v>
      </c>
      <c r="I405" s="67" t="s">
        <v>1835</v>
      </c>
      <c r="J405" s="67" t="s">
        <v>2120</v>
      </c>
      <c r="K405" s="67" t="s">
        <v>2175</v>
      </c>
      <c r="L405">
        <v>3</v>
      </c>
      <c r="M405" t="s">
        <v>8</v>
      </c>
      <c r="N405" t="s">
        <v>8</v>
      </c>
      <c r="O405" t="s">
        <v>8</v>
      </c>
      <c r="P405" t="s">
        <v>8</v>
      </c>
      <c r="Q405" t="s">
        <v>8</v>
      </c>
      <c r="R405" t="s">
        <v>8</v>
      </c>
    </row>
    <row r="406" spans="1:18">
      <c r="A406" s="151" t="s">
        <v>1880</v>
      </c>
      <c r="B406" s="67" t="s">
        <v>2112</v>
      </c>
      <c r="C406" s="152">
        <v>2</v>
      </c>
      <c r="D406" s="67" t="s">
        <v>2283</v>
      </c>
      <c r="E406" s="67" t="s">
        <v>2148</v>
      </c>
      <c r="F406" s="153">
        <v>2</v>
      </c>
      <c r="G406" s="153" t="s">
        <v>2127</v>
      </c>
      <c r="H406" s="153" t="s">
        <v>2110</v>
      </c>
      <c r="I406" s="67" t="s">
        <v>1835</v>
      </c>
      <c r="J406" s="67" t="s">
        <v>2108</v>
      </c>
      <c r="K406" s="67" t="s">
        <v>2165</v>
      </c>
      <c r="L406">
        <v>2</v>
      </c>
      <c r="M406" t="s">
        <v>8</v>
      </c>
      <c r="N406" t="s">
        <v>8</v>
      </c>
      <c r="O406" t="s">
        <v>8</v>
      </c>
      <c r="P406" t="s">
        <v>8</v>
      </c>
      <c r="Q406" t="s">
        <v>8</v>
      </c>
      <c r="R406" t="s">
        <v>8</v>
      </c>
    </row>
    <row r="407" spans="1:18">
      <c r="A407" s="151" t="s">
        <v>1994</v>
      </c>
      <c r="B407" s="67" t="s">
        <v>2231</v>
      </c>
      <c r="C407" s="152">
        <v>5</v>
      </c>
      <c r="D407" s="67" t="s">
        <v>2147</v>
      </c>
      <c r="E407" s="67" t="s">
        <v>2126</v>
      </c>
      <c r="F407" s="153" t="s">
        <v>2111</v>
      </c>
      <c r="G407" s="153" t="s">
        <v>2127</v>
      </c>
      <c r="H407" s="153" t="s">
        <v>2107</v>
      </c>
      <c r="I407" s="67" t="s">
        <v>1835</v>
      </c>
      <c r="J407" s="67" t="s">
        <v>270</v>
      </c>
      <c r="K407" s="67" t="s">
        <v>2195</v>
      </c>
      <c r="L407">
        <v>5</v>
      </c>
      <c r="M407" t="s">
        <v>8</v>
      </c>
      <c r="N407" t="s">
        <v>8</v>
      </c>
      <c r="O407" t="s">
        <v>8</v>
      </c>
      <c r="P407" t="s">
        <v>8</v>
      </c>
      <c r="Q407" t="s">
        <v>8</v>
      </c>
      <c r="R407" t="s">
        <v>8</v>
      </c>
    </row>
    <row r="408" spans="1:18">
      <c r="A408" s="151" t="s">
        <v>2026</v>
      </c>
      <c r="B408" s="67" t="s">
        <v>2123</v>
      </c>
      <c r="C408" s="152">
        <v>6</v>
      </c>
      <c r="D408" s="67" t="s">
        <v>1118</v>
      </c>
      <c r="E408" s="67" t="s">
        <v>2148</v>
      </c>
      <c r="F408" s="153">
        <v>6</v>
      </c>
      <c r="G408" s="153" t="s">
        <v>3705</v>
      </c>
      <c r="H408" s="153" t="s">
        <v>2110</v>
      </c>
      <c r="I408" s="67" t="s">
        <v>1835</v>
      </c>
      <c r="J408" s="67" t="s">
        <v>270</v>
      </c>
      <c r="K408" s="67" t="s">
        <v>2205</v>
      </c>
      <c r="L408">
        <v>6</v>
      </c>
      <c r="M408" t="s">
        <v>8</v>
      </c>
      <c r="N408" t="s">
        <v>8</v>
      </c>
      <c r="O408" t="s">
        <v>8</v>
      </c>
      <c r="P408" t="s">
        <v>8</v>
      </c>
      <c r="Q408" t="s">
        <v>8</v>
      </c>
      <c r="R408" t="s">
        <v>8</v>
      </c>
    </row>
    <row r="409" spans="1:18">
      <c r="A409" s="151" t="s">
        <v>1816</v>
      </c>
      <c r="B409" s="67" t="s">
        <v>2105</v>
      </c>
      <c r="C409" s="152">
        <v>1</v>
      </c>
      <c r="D409" s="67" t="str">
        <f>"0"</f>
        <v>0</v>
      </c>
      <c r="E409" s="67" t="s">
        <v>2300</v>
      </c>
      <c r="F409" s="153">
        <v>1</v>
      </c>
      <c r="G409" s="67" t="s">
        <v>2126</v>
      </c>
      <c r="H409" s="153" t="s">
        <v>2110</v>
      </c>
      <c r="I409" s="67" t="s">
        <v>1835</v>
      </c>
      <c r="J409" s="67" t="s">
        <v>2120</v>
      </c>
      <c r="K409" s="67" t="s">
        <v>2155</v>
      </c>
      <c r="L409">
        <v>1</v>
      </c>
      <c r="M409" t="s">
        <v>8</v>
      </c>
      <c r="N409" t="s">
        <v>8</v>
      </c>
      <c r="O409" t="s">
        <v>8</v>
      </c>
      <c r="P409" t="s">
        <v>8</v>
      </c>
      <c r="Q409" t="s">
        <v>8</v>
      </c>
      <c r="R409" t="s">
        <v>8</v>
      </c>
    </row>
    <row r="410" spans="1:18">
      <c r="A410" s="151" t="s">
        <v>2027</v>
      </c>
      <c r="B410" s="67" t="s">
        <v>2231</v>
      </c>
      <c r="C410" s="152">
        <v>6</v>
      </c>
      <c r="D410" s="67" t="s">
        <v>2122</v>
      </c>
      <c r="E410" s="67" t="s">
        <v>2142</v>
      </c>
      <c r="F410" s="153" t="s">
        <v>1740</v>
      </c>
      <c r="G410" s="153" t="s">
        <v>2411</v>
      </c>
      <c r="H410" s="153" t="s">
        <v>2107</v>
      </c>
      <c r="I410" s="67" t="s">
        <v>1835</v>
      </c>
      <c r="J410" s="67" t="s">
        <v>2120</v>
      </c>
      <c r="K410" s="67" t="s">
        <v>2205</v>
      </c>
      <c r="L410">
        <v>6</v>
      </c>
      <c r="M410" t="s">
        <v>8</v>
      </c>
      <c r="N410" t="s">
        <v>8</v>
      </c>
      <c r="O410" t="s">
        <v>8</v>
      </c>
      <c r="P410" t="s">
        <v>8</v>
      </c>
      <c r="Q410" t="s">
        <v>8</v>
      </c>
      <c r="R410" t="s">
        <v>8</v>
      </c>
    </row>
    <row r="411" spans="1:18">
      <c r="A411" s="151" t="s">
        <v>1995</v>
      </c>
      <c r="B411" s="67" t="s">
        <v>2229</v>
      </c>
      <c r="C411" s="152">
        <v>5</v>
      </c>
      <c r="D411" s="67" t="s">
        <v>1109</v>
      </c>
      <c r="E411" s="67" t="s">
        <v>2142</v>
      </c>
      <c r="F411" s="153" t="s">
        <v>2111</v>
      </c>
      <c r="G411" s="153" t="s">
        <v>2127</v>
      </c>
      <c r="H411" s="153" t="s">
        <v>2107</v>
      </c>
      <c r="I411" s="67" t="s">
        <v>1835</v>
      </c>
      <c r="J411" s="67" t="s">
        <v>2108</v>
      </c>
      <c r="K411" s="67" t="s">
        <v>2196</v>
      </c>
      <c r="L411">
        <v>5</v>
      </c>
      <c r="M411" t="s">
        <v>8</v>
      </c>
      <c r="N411" t="s">
        <v>8</v>
      </c>
      <c r="O411" t="s">
        <v>8</v>
      </c>
      <c r="P411" t="s">
        <v>8</v>
      </c>
      <c r="Q411" t="s">
        <v>8</v>
      </c>
      <c r="R411" t="s">
        <v>8</v>
      </c>
    </row>
    <row r="412" spans="1:18">
      <c r="A412" s="151" t="s">
        <v>2058</v>
      </c>
      <c r="B412" s="67" t="s">
        <v>2229</v>
      </c>
      <c r="C412" s="152">
        <v>7</v>
      </c>
      <c r="D412" s="154" t="str">
        <f>"0"</f>
        <v>0</v>
      </c>
      <c r="E412" s="154" t="s">
        <v>2335</v>
      </c>
      <c r="F412" s="153">
        <v>7</v>
      </c>
      <c r="G412" s="153" t="s">
        <v>2454</v>
      </c>
      <c r="H412" s="153" t="s">
        <v>2107</v>
      </c>
      <c r="I412" s="67" t="s">
        <v>1835</v>
      </c>
      <c r="J412" s="67" t="s">
        <v>2120</v>
      </c>
      <c r="K412" s="67" t="s">
        <v>2213</v>
      </c>
      <c r="L412">
        <v>7</v>
      </c>
      <c r="M412" t="s">
        <v>8</v>
      </c>
      <c r="N412" t="s">
        <v>8</v>
      </c>
      <c r="O412" t="s">
        <v>8</v>
      </c>
      <c r="P412" t="s">
        <v>8</v>
      </c>
      <c r="Q412" t="s">
        <v>8</v>
      </c>
      <c r="R412" t="s">
        <v>8</v>
      </c>
    </row>
    <row r="413" spans="1:18">
      <c r="A413" s="151" t="s">
        <v>1815</v>
      </c>
      <c r="B413" s="67" t="s">
        <v>2105</v>
      </c>
      <c r="C413" s="152">
        <v>1</v>
      </c>
      <c r="D413" s="67" t="s">
        <v>1118</v>
      </c>
      <c r="E413" s="67" t="s">
        <v>2142</v>
      </c>
      <c r="F413" s="153">
        <v>1</v>
      </c>
      <c r="G413" s="67" t="s">
        <v>1117</v>
      </c>
      <c r="H413" s="153" t="s">
        <v>2107</v>
      </c>
      <c r="I413" s="67" t="s">
        <v>1835</v>
      </c>
      <c r="J413" s="67" t="s">
        <v>2120</v>
      </c>
      <c r="K413" s="67" t="s">
        <v>2155</v>
      </c>
      <c r="L413">
        <v>1</v>
      </c>
      <c r="M413" t="s">
        <v>8</v>
      </c>
      <c r="N413" t="s">
        <v>8</v>
      </c>
      <c r="O413" t="s">
        <v>8</v>
      </c>
      <c r="P413" t="s">
        <v>8</v>
      </c>
      <c r="Q413" t="s">
        <v>8</v>
      </c>
      <c r="R413" t="s">
        <v>8</v>
      </c>
    </row>
    <row r="414" spans="1:18">
      <c r="A414" s="151" t="s">
        <v>2028</v>
      </c>
      <c r="B414" s="67" t="s">
        <v>2229</v>
      </c>
      <c r="C414" s="152">
        <v>6</v>
      </c>
      <c r="D414" s="67" t="s">
        <v>2147</v>
      </c>
      <c r="E414" s="67" t="s">
        <v>2327</v>
      </c>
      <c r="F414" s="153">
        <v>6</v>
      </c>
      <c r="G414" s="153" t="s">
        <v>2460</v>
      </c>
      <c r="H414" s="153" t="s">
        <v>2107</v>
      </c>
      <c r="I414" s="67" t="s">
        <v>1835</v>
      </c>
      <c r="J414" s="67" t="s">
        <v>2120</v>
      </c>
      <c r="K414" s="67" t="s">
        <v>2206</v>
      </c>
      <c r="L414">
        <v>6</v>
      </c>
      <c r="M414" t="s">
        <v>8</v>
      </c>
      <c r="N414" t="s">
        <v>8</v>
      </c>
      <c r="O414" t="s">
        <v>8</v>
      </c>
      <c r="P414" t="s">
        <v>8</v>
      </c>
      <c r="Q414" t="s">
        <v>8</v>
      </c>
      <c r="R414" t="s">
        <v>8</v>
      </c>
    </row>
    <row r="415" spans="1:18">
      <c r="A415" s="151" t="s">
        <v>1914</v>
      </c>
      <c r="B415" s="67" t="s">
        <v>2105</v>
      </c>
      <c r="C415" s="152">
        <v>3</v>
      </c>
      <c r="D415" s="67" t="s">
        <v>2122</v>
      </c>
      <c r="E415" s="67" t="s">
        <v>2314</v>
      </c>
      <c r="F415" s="153">
        <v>3</v>
      </c>
      <c r="G415" s="153" t="s">
        <v>2127</v>
      </c>
      <c r="H415" s="153" t="s">
        <v>2107</v>
      </c>
      <c r="I415" s="67" t="s">
        <v>1834</v>
      </c>
      <c r="J415" s="67" t="s">
        <v>2120</v>
      </c>
      <c r="K415" s="67" t="s">
        <v>2175</v>
      </c>
      <c r="L415">
        <v>3</v>
      </c>
      <c r="M415" t="s">
        <v>8</v>
      </c>
      <c r="N415" t="s">
        <v>8</v>
      </c>
      <c r="O415" t="s">
        <v>8</v>
      </c>
      <c r="P415" t="s">
        <v>8</v>
      </c>
      <c r="Q415" t="s">
        <v>8</v>
      </c>
      <c r="R415" t="s">
        <v>8</v>
      </c>
    </row>
    <row r="416" spans="1:18">
      <c r="A416" s="151" t="s">
        <v>1996</v>
      </c>
      <c r="B416" s="67" t="s">
        <v>2253</v>
      </c>
      <c r="C416" s="152">
        <v>5</v>
      </c>
      <c r="D416" s="67" t="s">
        <v>2122</v>
      </c>
      <c r="E416" s="67" t="s">
        <v>2126</v>
      </c>
      <c r="F416" s="153" t="s">
        <v>1740</v>
      </c>
      <c r="G416" s="153" t="s">
        <v>2127</v>
      </c>
      <c r="H416" s="153" t="s">
        <v>2110</v>
      </c>
      <c r="I416" s="67" t="s">
        <v>1834</v>
      </c>
      <c r="J416" s="67" t="s">
        <v>2120</v>
      </c>
      <c r="K416" s="67" t="s">
        <v>2196</v>
      </c>
      <c r="L416">
        <v>5</v>
      </c>
      <c r="M416" t="s">
        <v>8</v>
      </c>
      <c r="N416" t="s">
        <v>8</v>
      </c>
      <c r="O416" t="s">
        <v>8</v>
      </c>
      <c r="P416" t="s">
        <v>8</v>
      </c>
      <c r="Q416" t="s">
        <v>8</v>
      </c>
      <c r="R416" t="s">
        <v>8</v>
      </c>
    </row>
    <row r="417" spans="1:18">
      <c r="A417" s="151" t="s">
        <v>2029</v>
      </c>
      <c r="B417" s="67" t="s">
        <v>2003</v>
      </c>
      <c r="C417" s="152">
        <v>6</v>
      </c>
      <c r="D417" s="67" t="s">
        <v>1109</v>
      </c>
      <c r="E417" s="67" t="s">
        <v>2126</v>
      </c>
      <c r="F417" s="153" t="s">
        <v>2111</v>
      </c>
      <c r="G417" s="153" t="s">
        <v>2126</v>
      </c>
      <c r="H417" s="153" t="s">
        <v>2107</v>
      </c>
      <c r="I417" s="67" t="s">
        <v>1835</v>
      </c>
      <c r="J417" s="67" t="s">
        <v>2120</v>
      </c>
      <c r="K417" s="67" t="s">
        <v>2206</v>
      </c>
      <c r="L417">
        <v>6</v>
      </c>
      <c r="M417" t="s">
        <v>8</v>
      </c>
      <c r="N417" t="s">
        <v>8</v>
      </c>
      <c r="O417" t="s">
        <v>8</v>
      </c>
      <c r="P417" t="s">
        <v>8</v>
      </c>
      <c r="Q417" t="s">
        <v>8</v>
      </c>
      <c r="R417" t="s">
        <v>8</v>
      </c>
    </row>
    <row r="418" spans="1:18">
      <c r="A418" s="151" t="s">
        <v>1817</v>
      </c>
      <c r="B418" s="67" t="s">
        <v>2123</v>
      </c>
      <c r="C418" s="152">
        <v>1</v>
      </c>
      <c r="D418" s="67" t="s">
        <v>2276</v>
      </c>
      <c r="E418" s="67" t="s">
        <v>2301</v>
      </c>
      <c r="F418" s="153">
        <v>1</v>
      </c>
      <c r="G418" s="67" t="s">
        <v>2404</v>
      </c>
      <c r="H418" s="153" t="s">
        <v>2107</v>
      </c>
      <c r="I418" s="67" t="s">
        <v>1835</v>
      </c>
      <c r="J418" s="67" t="s">
        <v>270</v>
      </c>
      <c r="K418" s="67" t="s">
        <v>2155</v>
      </c>
      <c r="L418">
        <v>1</v>
      </c>
      <c r="M418" t="s">
        <v>8</v>
      </c>
      <c r="N418" t="s">
        <v>8</v>
      </c>
      <c r="O418" t="s">
        <v>8</v>
      </c>
      <c r="P418" t="s">
        <v>8</v>
      </c>
      <c r="Q418" t="s">
        <v>8</v>
      </c>
      <c r="R418" t="s">
        <v>8</v>
      </c>
    </row>
    <row r="419" spans="1:18">
      <c r="A419" s="151" t="s">
        <v>1915</v>
      </c>
      <c r="B419" s="67" t="s">
        <v>2105</v>
      </c>
      <c r="C419" s="152">
        <v>3</v>
      </c>
      <c r="D419" s="67" t="s">
        <v>2122</v>
      </c>
      <c r="E419" s="67" t="s">
        <v>2126</v>
      </c>
      <c r="F419" s="153">
        <v>3</v>
      </c>
      <c r="G419" s="153" t="s">
        <v>2118</v>
      </c>
      <c r="H419" s="153" t="s">
        <v>2110</v>
      </c>
      <c r="I419" s="67" t="s">
        <v>1835</v>
      </c>
      <c r="J419" s="153" t="s">
        <v>2268</v>
      </c>
      <c r="K419" s="67" t="s">
        <v>2175</v>
      </c>
      <c r="L419">
        <v>3</v>
      </c>
      <c r="M419" t="s">
        <v>8</v>
      </c>
      <c r="N419" t="s">
        <v>8</v>
      </c>
      <c r="O419" t="s">
        <v>8</v>
      </c>
      <c r="P419" t="s">
        <v>8</v>
      </c>
      <c r="Q419" t="s">
        <v>8</v>
      </c>
      <c r="R419" t="s">
        <v>8</v>
      </c>
    </row>
    <row r="420" spans="1:18">
      <c r="A420" s="151" t="s">
        <v>146</v>
      </c>
      <c r="B420" s="67" t="s">
        <v>2105</v>
      </c>
      <c r="C420" s="152">
        <v>1</v>
      </c>
      <c r="D420" s="67" t="s">
        <v>2122</v>
      </c>
      <c r="E420" s="67" t="s">
        <v>2302</v>
      </c>
      <c r="F420" s="153">
        <v>1</v>
      </c>
      <c r="G420" s="67" t="s">
        <v>2403</v>
      </c>
      <c r="H420" s="153" t="s">
        <v>2107</v>
      </c>
      <c r="I420" s="67" t="s">
        <v>1835</v>
      </c>
      <c r="J420" s="67" t="s">
        <v>2120</v>
      </c>
      <c r="K420" s="67" t="s">
        <v>2156</v>
      </c>
      <c r="L420">
        <v>1</v>
      </c>
      <c r="M420" t="s">
        <v>8</v>
      </c>
      <c r="N420" t="s">
        <v>8</v>
      </c>
      <c r="O420" t="s">
        <v>8</v>
      </c>
      <c r="P420" t="s">
        <v>8</v>
      </c>
      <c r="Q420" t="s">
        <v>8</v>
      </c>
      <c r="R420" t="s">
        <v>8</v>
      </c>
    </row>
    <row r="421" spans="1:18">
      <c r="A421" s="151" t="s">
        <v>1916</v>
      </c>
      <c r="B421" s="67" t="s">
        <v>2003</v>
      </c>
      <c r="C421" s="152">
        <v>3</v>
      </c>
      <c r="D421" s="67" t="s">
        <v>1402</v>
      </c>
      <c r="E421" s="67" t="s">
        <v>2126</v>
      </c>
      <c r="F421" s="153">
        <v>3</v>
      </c>
      <c r="G421" s="153" t="s">
        <v>2439</v>
      </c>
      <c r="H421" s="153" t="s">
        <v>2107</v>
      </c>
      <c r="I421" s="67" t="s">
        <v>1835</v>
      </c>
      <c r="J421" s="67" t="s">
        <v>2120</v>
      </c>
      <c r="K421" s="67" t="s">
        <v>2175</v>
      </c>
      <c r="L421">
        <v>3</v>
      </c>
      <c r="M421" t="s">
        <v>8</v>
      </c>
      <c r="N421" t="s">
        <v>8</v>
      </c>
      <c r="O421" t="s">
        <v>8</v>
      </c>
      <c r="P421" t="s">
        <v>8</v>
      </c>
      <c r="Q421" t="s">
        <v>8</v>
      </c>
      <c r="R421" t="s">
        <v>8</v>
      </c>
    </row>
    <row r="422" spans="1:18">
      <c r="A422" s="151" t="s">
        <v>2030</v>
      </c>
      <c r="B422" s="67" t="s">
        <v>2105</v>
      </c>
      <c r="C422" s="152">
        <v>6</v>
      </c>
      <c r="D422" s="67" t="s">
        <v>2147</v>
      </c>
      <c r="E422" s="67" t="s">
        <v>2115</v>
      </c>
      <c r="F422" s="153" t="s">
        <v>1740</v>
      </c>
      <c r="G422" s="153" t="s">
        <v>2126</v>
      </c>
      <c r="H422" s="153" t="s">
        <v>2107</v>
      </c>
      <c r="I422" s="67" t="s">
        <v>1835</v>
      </c>
      <c r="J422" s="67" t="s">
        <v>2120</v>
      </c>
      <c r="K422" s="67" t="s">
        <v>2206</v>
      </c>
      <c r="L422">
        <v>6</v>
      </c>
      <c r="M422" t="s">
        <v>8</v>
      </c>
      <c r="N422" t="s">
        <v>8</v>
      </c>
      <c r="O422" t="s">
        <v>8</v>
      </c>
      <c r="P422" t="s">
        <v>8</v>
      </c>
      <c r="Q422" t="s">
        <v>8</v>
      </c>
      <c r="R422" t="s">
        <v>8</v>
      </c>
    </row>
    <row r="423" spans="1:18">
      <c r="A423" s="151" t="s">
        <v>1818</v>
      </c>
      <c r="B423" s="67" t="s">
        <v>2230</v>
      </c>
      <c r="C423" s="152">
        <v>1</v>
      </c>
      <c r="D423" s="67" t="str">
        <f>"0"</f>
        <v>0</v>
      </c>
      <c r="E423" s="67" t="s">
        <v>2303</v>
      </c>
      <c r="F423" s="153">
        <v>1</v>
      </c>
      <c r="G423" s="67" t="s">
        <v>2402</v>
      </c>
      <c r="H423" s="153" t="s">
        <v>2107</v>
      </c>
      <c r="I423" s="67" t="s">
        <v>1835</v>
      </c>
      <c r="J423" s="67" t="s">
        <v>2120</v>
      </c>
      <c r="K423" s="67" t="s">
        <v>2156</v>
      </c>
      <c r="L423">
        <v>1</v>
      </c>
      <c r="M423" t="s">
        <v>8</v>
      </c>
      <c r="N423" t="s">
        <v>8</v>
      </c>
      <c r="O423" t="s">
        <v>8</v>
      </c>
      <c r="P423" t="s">
        <v>8</v>
      </c>
      <c r="Q423" t="s">
        <v>8</v>
      </c>
      <c r="R423" t="s">
        <v>8</v>
      </c>
    </row>
    <row r="424" spans="1:18">
      <c r="A424" s="151" t="s">
        <v>2099</v>
      </c>
      <c r="B424" s="67" t="s">
        <v>2003</v>
      </c>
      <c r="C424" s="152">
        <v>9</v>
      </c>
      <c r="D424" s="67" t="s">
        <v>1118</v>
      </c>
      <c r="E424" s="67" t="s">
        <v>2126</v>
      </c>
      <c r="F424" s="153">
        <v>9</v>
      </c>
      <c r="G424" s="153" t="s">
        <v>2126</v>
      </c>
      <c r="H424" s="153" t="s">
        <v>2110</v>
      </c>
      <c r="I424" s="67" t="s">
        <v>1835</v>
      </c>
      <c r="J424" s="67" t="s">
        <v>2120</v>
      </c>
      <c r="K424" s="67" t="s">
        <v>2226</v>
      </c>
      <c r="L424">
        <v>9</v>
      </c>
      <c r="M424" t="s">
        <v>8</v>
      </c>
      <c r="N424" t="s">
        <v>8</v>
      </c>
      <c r="O424" t="s">
        <v>8</v>
      </c>
      <c r="P424" t="s">
        <v>8</v>
      </c>
      <c r="Q424" t="s">
        <v>8</v>
      </c>
      <c r="R424" t="s">
        <v>8</v>
      </c>
    </row>
    <row r="425" spans="1:18">
      <c r="A425" s="151" t="s">
        <v>1819</v>
      </c>
      <c r="B425" s="67" t="s">
        <v>2105</v>
      </c>
      <c r="C425" s="152">
        <v>1</v>
      </c>
      <c r="D425" s="67" t="s">
        <v>2122</v>
      </c>
      <c r="E425" s="67" t="s">
        <v>2142</v>
      </c>
      <c r="F425" s="153">
        <v>1</v>
      </c>
      <c r="G425" s="67" t="s">
        <v>3737</v>
      </c>
      <c r="H425" s="153" t="s">
        <v>2107</v>
      </c>
      <c r="I425" s="67" t="s">
        <v>1835</v>
      </c>
      <c r="J425" s="67" t="s">
        <v>2120</v>
      </c>
      <c r="K425" s="67" t="s">
        <v>2156</v>
      </c>
      <c r="L425">
        <v>1</v>
      </c>
      <c r="M425" t="s">
        <v>8</v>
      </c>
      <c r="N425" t="s">
        <v>8</v>
      </c>
      <c r="O425" t="s">
        <v>8</v>
      </c>
      <c r="P425" t="s">
        <v>8</v>
      </c>
      <c r="Q425" t="s">
        <v>8</v>
      </c>
      <c r="R425" t="s">
        <v>8</v>
      </c>
    </row>
    <row r="426" spans="1:18">
      <c r="A426" s="151" t="s">
        <v>2059</v>
      </c>
      <c r="B426" s="67" t="s">
        <v>2123</v>
      </c>
      <c r="C426" s="152">
        <v>7</v>
      </c>
      <c r="D426" s="154" t="s">
        <v>2122</v>
      </c>
      <c r="E426" s="154" t="s">
        <v>2142</v>
      </c>
      <c r="F426" s="153" t="s">
        <v>270</v>
      </c>
      <c r="G426" s="153" t="s">
        <v>2127</v>
      </c>
      <c r="H426" s="153" t="s">
        <v>2107</v>
      </c>
      <c r="I426" s="67" t="s">
        <v>1835</v>
      </c>
      <c r="J426" s="67" t="s">
        <v>2120</v>
      </c>
      <c r="K426" s="67" t="s">
        <v>2214</v>
      </c>
      <c r="L426">
        <v>7</v>
      </c>
      <c r="M426" t="s">
        <v>8</v>
      </c>
      <c r="N426" t="s">
        <v>8</v>
      </c>
      <c r="O426" t="s">
        <v>8</v>
      </c>
      <c r="P426" t="s">
        <v>8</v>
      </c>
      <c r="Q426" t="s">
        <v>8</v>
      </c>
      <c r="R426" t="s">
        <v>8</v>
      </c>
    </row>
    <row r="427" spans="1:18">
      <c r="A427" s="151" t="s">
        <v>1820</v>
      </c>
      <c r="B427" s="67" t="s">
        <v>2112</v>
      </c>
      <c r="C427" s="152">
        <v>1</v>
      </c>
      <c r="D427" s="67" t="s">
        <v>1118</v>
      </c>
      <c r="E427" s="67" t="s">
        <v>2115</v>
      </c>
      <c r="F427" s="153">
        <v>1</v>
      </c>
      <c r="G427" s="67" t="s">
        <v>2126</v>
      </c>
      <c r="H427" s="153" t="s">
        <v>2107</v>
      </c>
      <c r="I427" s="67" t="s">
        <v>1835</v>
      </c>
      <c r="J427" s="67" t="s">
        <v>2120</v>
      </c>
      <c r="K427" s="67" t="s">
        <v>2156</v>
      </c>
      <c r="L427">
        <v>1</v>
      </c>
      <c r="M427" t="s">
        <v>8</v>
      </c>
      <c r="N427" t="s">
        <v>8</v>
      </c>
      <c r="O427" t="s">
        <v>8</v>
      </c>
      <c r="P427" t="s">
        <v>8</v>
      </c>
      <c r="Q427" t="s">
        <v>8</v>
      </c>
      <c r="R427" t="s">
        <v>8</v>
      </c>
    </row>
    <row r="428" spans="1:18">
      <c r="A428" s="151" t="s">
        <v>2100</v>
      </c>
      <c r="B428" s="67" t="s">
        <v>2124</v>
      </c>
      <c r="C428" s="152">
        <v>9</v>
      </c>
      <c r="D428" s="67" t="s">
        <v>2122</v>
      </c>
      <c r="E428" s="67" t="s">
        <v>2126</v>
      </c>
      <c r="F428" s="153">
        <v>9</v>
      </c>
      <c r="G428" s="153" t="s">
        <v>2126</v>
      </c>
      <c r="H428" s="153" t="s">
        <v>2110</v>
      </c>
      <c r="I428" s="67" t="s">
        <v>1835</v>
      </c>
      <c r="J428" s="67" t="s">
        <v>2120</v>
      </c>
      <c r="K428" s="67" t="s">
        <v>2226</v>
      </c>
      <c r="L428">
        <v>9</v>
      </c>
      <c r="M428" t="s">
        <v>8</v>
      </c>
      <c r="N428" t="s">
        <v>8</v>
      </c>
      <c r="O428" t="s">
        <v>8</v>
      </c>
      <c r="P428" t="s">
        <v>8</v>
      </c>
      <c r="Q428" t="s">
        <v>8</v>
      </c>
      <c r="R428" t="s">
        <v>8</v>
      </c>
    </row>
    <row r="429" spans="1:18">
      <c r="A429" s="151" t="s">
        <v>2031</v>
      </c>
      <c r="B429" s="67" t="s">
        <v>2231</v>
      </c>
      <c r="C429" s="152">
        <v>6</v>
      </c>
      <c r="D429" s="67" t="s">
        <v>2147</v>
      </c>
      <c r="E429" s="67" t="s">
        <v>2297</v>
      </c>
      <c r="F429" s="153">
        <v>6</v>
      </c>
      <c r="G429" s="153" t="s">
        <v>3689</v>
      </c>
      <c r="H429" s="153" t="s">
        <v>2107</v>
      </c>
      <c r="I429" s="67" t="s">
        <v>1835</v>
      </c>
      <c r="J429" s="67" t="s">
        <v>2120</v>
      </c>
      <c r="K429" s="67" t="s">
        <v>2206</v>
      </c>
      <c r="L429">
        <v>6</v>
      </c>
      <c r="M429" t="s">
        <v>8</v>
      </c>
      <c r="N429" t="s">
        <v>8</v>
      </c>
      <c r="O429" t="s">
        <v>8</v>
      </c>
      <c r="P429" t="s">
        <v>8</v>
      </c>
      <c r="Q429" t="s">
        <v>8</v>
      </c>
      <c r="R429" t="s">
        <v>8</v>
      </c>
    </row>
    <row r="430" spans="1:18">
      <c r="A430" s="151" t="s">
        <v>2101</v>
      </c>
      <c r="B430" s="67" t="s">
        <v>2003</v>
      </c>
      <c r="C430" s="152">
        <v>9</v>
      </c>
      <c r="D430" s="67" t="s">
        <v>1100</v>
      </c>
      <c r="E430" s="67" t="s">
        <v>2126</v>
      </c>
      <c r="F430" s="153" t="s">
        <v>270</v>
      </c>
      <c r="G430" s="153" t="s">
        <v>2126</v>
      </c>
      <c r="H430" s="153" t="s">
        <v>2151</v>
      </c>
      <c r="I430" s="67" t="s">
        <v>1835</v>
      </c>
      <c r="J430" s="67" t="s">
        <v>270</v>
      </c>
      <c r="K430" s="67" t="s">
        <v>2227</v>
      </c>
      <c r="L430">
        <v>9</v>
      </c>
      <c r="M430" t="s">
        <v>8</v>
      </c>
      <c r="N430" t="s">
        <v>8</v>
      </c>
      <c r="O430" t="s">
        <v>8</v>
      </c>
      <c r="P430" t="s">
        <v>8</v>
      </c>
      <c r="Q430" t="s">
        <v>8</v>
      </c>
      <c r="R430" t="s">
        <v>8</v>
      </c>
    </row>
    <row r="431" spans="1:18">
      <c r="A431" s="151" t="s">
        <v>2060</v>
      </c>
      <c r="B431" s="67" t="s">
        <v>2245</v>
      </c>
      <c r="C431" s="152">
        <v>7</v>
      </c>
      <c r="D431" s="154" t="s">
        <v>1100</v>
      </c>
      <c r="E431" s="154" t="s">
        <v>2126</v>
      </c>
      <c r="F431" s="153" t="s">
        <v>270</v>
      </c>
      <c r="G431" s="153" t="s">
        <v>2126</v>
      </c>
      <c r="H431" s="153" t="s">
        <v>2151</v>
      </c>
      <c r="I431" s="67" t="s">
        <v>1835</v>
      </c>
      <c r="J431" s="67" t="s">
        <v>270</v>
      </c>
      <c r="K431" s="67" t="s">
        <v>2214</v>
      </c>
      <c r="L431">
        <v>7</v>
      </c>
      <c r="M431" t="s">
        <v>8</v>
      </c>
      <c r="N431" t="s">
        <v>8</v>
      </c>
      <c r="O431" t="s">
        <v>8</v>
      </c>
      <c r="P431" t="s">
        <v>8</v>
      </c>
      <c r="Q431" t="s">
        <v>8</v>
      </c>
      <c r="R431" t="s">
        <v>8</v>
      </c>
    </row>
    <row r="432" spans="1:18">
      <c r="A432" s="151" t="s">
        <v>1955</v>
      </c>
      <c r="B432" s="67" t="s">
        <v>2242</v>
      </c>
      <c r="C432" s="152">
        <v>4</v>
      </c>
      <c r="D432" s="67" t="s">
        <v>1112</v>
      </c>
      <c r="E432" s="67" t="s">
        <v>2148</v>
      </c>
      <c r="F432" s="153">
        <v>4</v>
      </c>
      <c r="G432" s="153" t="s">
        <v>2456</v>
      </c>
      <c r="H432" s="153" t="s">
        <v>2107</v>
      </c>
      <c r="I432" s="67" t="s">
        <v>1835</v>
      </c>
      <c r="J432" s="67" t="s">
        <v>2108</v>
      </c>
      <c r="K432" s="67" t="s">
        <v>2185</v>
      </c>
      <c r="L432">
        <v>4</v>
      </c>
      <c r="M432" t="s">
        <v>8</v>
      </c>
      <c r="N432" t="s">
        <v>8</v>
      </c>
      <c r="O432" t="s">
        <v>8</v>
      </c>
      <c r="P432" t="s">
        <v>8</v>
      </c>
      <c r="Q432" t="s">
        <v>8</v>
      </c>
      <c r="R432" t="s">
        <v>8</v>
      </c>
    </row>
    <row r="433" spans="1:18">
      <c r="A433" s="151" t="s">
        <v>1881</v>
      </c>
      <c r="B433" s="67" t="s">
        <v>2124</v>
      </c>
      <c r="C433" s="152">
        <v>2</v>
      </c>
      <c r="D433" s="67" t="s">
        <v>1109</v>
      </c>
      <c r="E433" s="67" t="s">
        <v>2148</v>
      </c>
      <c r="F433" s="153">
        <v>2</v>
      </c>
      <c r="G433" s="153" t="s">
        <v>2433</v>
      </c>
      <c r="H433" s="153" t="s">
        <v>2107</v>
      </c>
      <c r="I433" s="67" t="s">
        <v>1835</v>
      </c>
      <c r="J433" s="67" t="s">
        <v>2108</v>
      </c>
      <c r="K433" s="67" t="s">
        <v>2165</v>
      </c>
      <c r="L433">
        <v>2</v>
      </c>
      <c r="M433" t="s">
        <v>8</v>
      </c>
      <c r="N433" t="s">
        <v>8</v>
      </c>
      <c r="O433" t="s">
        <v>8</v>
      </c>
      <c r="P433" t="s">
        <v>8</v>
      </c>
      <c r="Q433" t="s">
        <v>8</v>
      </c>
      <c r="R433" t="s">
        <v>8</v>
      </c>
    </row>
    <row r="434" spans="1:18">
      <c r="A434" s="151" t="s">
        <v>2032</v>
      </c>
      <c r="B434" s="67" t="s">
        <v>2248</v>
      </c>
      <c r="C434" s="152">
        <v>6</v>
      </c>
      <c r="D434" s="67" t="s">
        <v>2126</v>
      </c>
      <c r="E434" s="67" t="s">
        <v>2126</v>
      </c>
      <c r="F434" s="153">
        <v>6</v>
      </c>
      <c r="G434" s="153" t="s">
        <v>2126</v>
      </c>
      <c r="H434" s="153" t="s">
        <v>2107</v>
      </c>
      <c r="I434" s="67" t="s">
        <v>1835</v>
      </c>
      <c r="J434" s="67" t="s">
        <v>270</v>
      </c>
      <c r="K434" s="67" t="s">
        <v>2207</v>
      </c>
      <c r="L434">
        <v>6</v>
      </c>
      <c r="M434" t="s">
        <v>8</v>
      </c>
      <c r="N434" t="s">
        <v>8</v>
      </c>
      <c r="O434" t="s">
        <v>8</v>
      </c>
      <c r="P434" t="s">
        <v>8</v>
      </c>
      <c r="Q434" t="s">
        <v>8</v>
      </c>
      <c r="R434" t="s">
        <v>8</v>
      </c>
    </row>
    <row r="435" spans="1:18">
      <c r="A435" s="151" t="s">
        <v>2102</v>
      </c>
      <c r="B435" s="67" t="s">
        <v>2238</v>
      </c>
      <c r="C435" s="152">
        <v>9</v>
      </c>
      <c r="D435" s="67" t="str">
        <f>"0"</f>
        <v>0</v>
      </c>
      <c r="E435" s="67" t="s">
        <v>2271</v>
      </c>
      <c r="F435" s="153">
        <v>7</v>
      </c>
      <c r="G435" s="153" t="s">
        <v>2451</v>
      </c>
      <c r="H435" s="153" t="s">
        <v>2151</v>
      </c>
      <c r="I435" s="67" t="s">
        <v>1835</v>
      </c>
      <c r="J435" s="67" t="s">
        <v>270</v>
      </c>
      <c r="K435" s="67" t="s">
        <v>2227</v>
      </c>
      <c r="L435">
        <v>9</v>
      </c>
      <c r="M435" t="s">
        <v>8</v>
      </c>
      <c r="N435" t="s">
        <v>8</v>
      </c>
      <c r="O435" t="s">
        <v>8</v>
      </c>
      <c r="P435" t="s">
        <v>8</v>
      </c>
      <c r="Q435" t="s">
        <v>8</v>
      </c>
      <c r="R435" t="s">
        <v>8</v>
      </c>
    </row>
    <row r="436" spans="1:18">
      <c r="A436" s="151" t="s">
        <v>2084</v>
      </c>
      <c r="B436" s="67" t="s">
        <v>2241</v>
      </c>
      <c r="C436" s="152">
        <v>8</v>
      </c>
      <c r="D436" s="67" t="s">
        <v>1112</v>
      </c>
      <c r="E436" s="67" t="s">
        <v>2116</v>
      </c>
      <c r="F436" s="153">
        <v>4</v>
      </c>
      <c r="G436" s="153" t="s">
        <v>2459</v>
      </c>
      <c r="H436" s="153" t="s">
        <v>2107</v>
      </c>
      <c r="I436" s="67" t="s">
        <v>1835</v>
      </c>
      <c r="J436" s="67" t="s">
        <v>2108</v>
      </c>
      <c r="K436" s="67" t="s">
        <v>2222</v>
      </c>
      <c r="L436">
        <v>8</v>
      </c>
      <c r="M436" t="s">
        <v>8</v>
      </c>
      <c r="N436" t="s">
        <v>8</v>
      </c>
      <c r="O436" t="s">
        <v>8</v>
      </c>
      <c r="P436" t="s">
        <v>8</v>
      </c>
      <c r="Q436" t="s">
        <v>8</v>
      </c>
      <c r="R436" t="s">
        <v>8</v>
      </c>
    </row>
    <row r="437" spans="1:18">
      <c r="A437" s="151" t="s">
        <v>2103</v>
      </c>
      <c r="B437" s="67" t="s">
        <v>2105</v>
      </c>
      <c r="C437" s="152">
        <v>9</v>
      </c>
      <c r="D437" s="67" t="s">
        <v>1109</v>
      </c>
      <c r="E437" s="67" t="s">
        <v>2142</v>
      </c>
      <c r="F437" s="153">
        <v>9</v>
      </c>
      <c r="G437" s="153" t="s">
        <v>2470</v>
      </c>
      <c r="H437" s="153" t="s">
        <v>2107</v>
      </c>
      <c r="I437" s="67" t="s">
        <v>1834</v>
      </c>
      <c r="J437" s="67" t="s">
        <v>2120</v>
      </c>
      <c r="K437" s="67" t="s">
        <v>2227</v>
      </c>
      <c r="L437">
        <v>9</v>
      </c>
      <c r="M437" t="s">
        <v>8</v>
      </c>
      <c r="N437" t="s">
        <v>8</v>
      </c>
      <c r="O437" t="s">
        <v>8</v>
      </c>
      <c r="P437" t="s">
        <v>8</v>
      </c>
      <c r="Q437" t="s">
        <v>8</v>
      </c>
      <c r="R437" t="s">
        <v>8</v>
      </c>
    </row>
    <row r="438" spans="1:18">
      <c r="A438" s="151" t="s">
        <v>2061</v>
      </c>
      <c r="B438" s="67" t="s">
        <v>2105</v>
      </c>
      <c r="C438" s="152">
        <v>7</v>
      </c>
      <c r="D438" s="154" t="s">
        <v>2122</v>
      </c>
      <c r="E438" s="154" t="s">
        <v>2304</v>
      </c>
      <c r="F438" s="153">
        <v>7</v>
      </c>
      <c r="G438" s="153" t="s">
        <v>2403</v>
      </c>
      <c r="H438" s="153" t="s">
        <v>2107</v>
      </c>
      <c r="I438" s="67" t="s">
        <v>1835</v>
      </c>
      <c r="J438" s="67" t="s">
        <v>270</v>
      </c>
      <c r="K438" s="67" t="s">
        <v>2214</v>
      </c>
      <c r="L438">
        <v>7</v>
      </c>
      <c r="M438" t="s">
        <v>8</v>
      </c>
      <c r="N438" t="s">
        <v>8</v>
      </c>
      <c r="O438" t="s">
        <v>8</v>
      </c>
      <c r="P438" t="s">
        <v>8</v>
      </c>
      <c r="Q438" t="s">
        <v>8</v>
      </c>
      <c r="R438" t="s">
        <v>8</v>
      </c>
    </row>
    <row r="439" spans="1:18">
      <c r="A439" s="151" t="s">
        <v>1917</v>
      </c>
      <c r="B439" s="67" t="s">
        <v>2112</v>
      </c>
      <c r="C439" s="152">
        <v>3</v>
      </c>
      <c r="D439" s="67" t="s">
        <v>1118</v>
      </c>
      <c r="E439" s="67" t="s">
        <v>2315</v>
      </c>
      <c r="F439" s="153">
        <v>3</v>
      </c>
      <c r="G439" s="153" t="s">
        <v>2127</v>
      </c>
      <c r="H439" s="153" t="s">
        <v>2262</v>
      </c>
      <c r="I439" s="67" t="s">
        <v>1835</v>
      </c>
      <c r="J439" s="67" t="s">
        <v>2108</v>
      </c>
      <c r="K439" s="67" t="s">
        <v>2175</v>
      </c>
      <c r="L439">
        <v>3</v>
      </c>
      <c r="M439" t="s">
        <v>8</v>
      </c>
      <c r="N439" t="s">
        <v>8</v>
      </c>
      <c r="O439" t="s">
        <v>8</v>
      </c>
      <c r="P439" t="s">
        <v>8</v>
      </c>
      <c r="Q439" t="s">
        <v>8</v>
      </c>
      <c r="R439" t="s">
        <v>8</v>
      </c>
    </row>
    <row r="440" spans="1:18">
      <c r="A440" s="151" t="s">
        <v>2033</v>
      </c>
      <c r="B440" s="67" t="s">
        <v>2112</v>
      </c>
      <c r="C440" s="152">
        <v>6</v>
      </c>
      <c r="D440" s="67" t="s">
        <v>1118</v>
      </c>
      <c r="E440" s="67" t="s">
        <v>2328</v>
      </c>
      <c r="F440" s="153">
        <v>6</v>
      </c>
      <c r="G440" s="153" t="s">
        <v>2461</v>
      </c>
      <c r="H440" s="153" t="s">
        <v>2262</v>
      </c>
      <c r="I440" s="67" t="s">
        <v>1835</v>
      </c>
      <c r="J440" s="67" t="s">
        <v>2108</v>
      </c>
      <c r="K440" s="67" t="s">
        <v>2207</v>
      </c>
      <c r="L440">
        <v>6</v>
      </c>
      <c r="M440" t="s">
        <v>8</v>
      </c>
      <c r="N440" t="s">
        <v>8</v>
      </c>
      <c r="O440" t="s">
        <v>8</v>
      </c>
      <c r="P440" t="s">
        <v>8</v>
      </c>
      <c r="Q440" t="s">
        <v>8</v>
      </c>
      <c r="R440" t="s">
        <v>8</v>
      </c>
    </row>
    <row r="441" spans="1:18">
      <c r="A441" s="151" t="s">
        <v>1882</v>
      </c>
      <c r="B441" s="67" t="s">
        <v>2123</v>
      </c>
      <c r="C441" s="152">
        <v>2</v>
      </c>
      <c r="D441" s="67" t="s">
        <v>1113</v>
      </c>
      <c r="E441" s="67" t="s">
        <v>2126</v>
      </c>
      <c r="F441" s="153">
        <v>2</v>
      </c>
      <c r="G441" s="153" t="s">
        <v>2127</v>
      </c>
      <c r="H441" s="153" t="s">
        <v>2107</v>
      </c>
      <c r="I441" s="67" t="s">
        <v>1835</v>
      </c>
      <c r="J441" s="67" t="s">
        <v>2108</v>
      </c>
      <c r="K441" s="67" t="s">
        <v>2166</v>
      </c>
      <c r="L441">
        <v>2</v>
      </c>
      <c r="M441" t="s">
        <v>8</v>
      </c>
      <c r="N441" t="s">
        <v>8</v>
      </c>
      <c r="O441" t="s">
        <v>8</v>
      </c>
      <c r="P441" t="s">
        <v>8</v>
      </c>
      <c r="Q441" t="s">
        <v>8</v>
      </c>
      <c r="R441" t="s">
        <v>8</v>
      </c>
    </row>
    <row r="442" spans="1:18">
      <c r="A442" s="151" t="s">
        <v>2085</v>
      </c>
      <c r="B442" s="67" t="s">
        <v>2003</v>
      </c>
      <c r="C442" s="152">
        <v>8</v>
      </c>
      <c r="D442" s="67" t="s">
        <v>2122</v>
      </c>
      <c r="E442" s="67" t="s">
        <v>2126</v>
      </c>
      <c r="F442" s="153">
        <v>8</v>
      </c>
      <c r="G442" s="153" t="s">
        <v>2126</v>
      </c>
      <c r="H442" s="153" t="s">
        <v>2107</v>
      </c>
      <c r="I442" s="67" t="s">
        <v>1835</v>
      </c>
      <c r="J442" s="67" t="s">
        <v>270</v>
      </c>
      <c r="K442" s="67" t="s">
        <v>2222</v>
      </c>
      <c r="L442">
        <v>8</v>
      </c>
      <c r="M442" t="s">
        <v>8</v>
      </c>
      <c r="N442" t="s">
        <v>8</v>
      </c>
      <c r="O442" t="s">
        <v>8</v>
      </c>
      <c r="P442" t="s">
        <v>8</v>
      </c>
      <c r="Q442" t="s">
        <v>8</v>
      </c>
      <c r="R442" t="s">
        <v>8</v>
      </c>
    </row>
    <row r="443" spans="1:18">
      <c r="A443" s="151" t="s">
        <v>1079</v>
      </c>
      <c r="B443" s="67" t="s">
        <v>2105</v>
      </c>
      <c r="C443" s="152">
        <v>5</v>
      </c>
      <c r="D443" s="67" t="s">
        <v>2147</v>
      </c>
      <c r="E443" s="67" t="s">
        <v>2126</v>
      </c>
      <c r="F443" s="153">
        <v>5</v>
      </c>
      <c r="G443" s="153" t="s">
        <v>2126</v>
      </c>
      <c r="H443" s="153" t="s">
        <v>2110</v>
      </c>
      <c r="I443" s="67" t="s">
        <v>1835</v>
      </c>
      <c r="J443" s="67" t="s">
        <v>2108</v>
      </c>
      <c r="K443" s="67" t="s">
        <v>2196</v>
      </c>
      <c r="L443">
        <v>5</v>
      </c>
      <c r="M443" t="s">
        <v>8</v>
      </c>
      <c r="N443" t="s">
        <v>8</v>
      </c>
      <c r="O443" t="s">
        <v>8</v>
      </c>
      <c r="P443" t="s">
        <v>8</v>
      </c>
      <c r="Q443" t="s">
        <v>8</v>
      </c>
      <c r="R443" t="s">
        <v>8</v>
      </c>
    </row>
    <row r="444" spans="1:18">
      <c r="A444" s="151" t="s">
        <v>1089</v>
      </c>
      <c r="B444" s="67" t="s">
        <v>2105</v>
      </c>
      <c r="C444" s="152">
        <v>5</v>
      </c>
      <c r="D444" s="67" t="s">
        <v>2122</v>
      </c>
      <c r="E444" s="67" t="s">
        <v>2297</v>
      </c>
      <c r="F444" s="153">
        <v>2</v>
      </c>
      <c r="G444" s="153" t="s">
        <v>2126</v>
      </c>
      <c r="H444" s="153" t="s">
        <v>2151</v>
      </c>
      <c r="I444" s="67" t="s">
        <v>1835</v>
      </c>
      <c r="J444" s="67" t="s">
        <v>2120</v>
      </c>
      <c r="K444" s="67" t="s">
        <v>2196</v>
      </c>
      <c r="L444">
        <v>5</v>
      </c>
      <c r="M444" t="s">
        <v>8</v>
      </c>
      <c r="N444" t="s">
        <v>8</v>
      </c>
      <c r="O444" t="s">
        <v>8</v>
      </c>
      <c r="P444" t="s">
        <v>8</v>
      </c>
      <c r="Q444" t="s">
        <v>8</v>
      </c>
      <c r="R444" t="s">
        <v>8</v>
      </c>
    </row>
    <row r="445" spans="1:18">
      <c r="A445" s="151" t="s">
        <v>2062</v>
      </c>
      <c r="B445" s="67" t="s">
        <v>2105</v>
      </c>
      <c r="C445" s="152">
        <v>7</v>
      </c>
      <c r="D445" s="154" t="s">
        <v>2122</v>
      </c>
      <c r="E445" s="154" t="s">
        <v>2297</v>
      </c>
      <c r="F445" s="153">
        <v>1</v>
      </c>
      <c r="G445" s="153" t="s">
        <v>2126</v>
      </c>
      <c r="H445" s="153" t="s">
        <v>2151</v>
      </c>
      <c r="I445" s="67" t="s">
        <v>1835</v>
      </c>
      <c r="J445" s="67" t="s">
        <v>2120</v>
      </c>
      <c r="K445" s="67" t="s">
        <v>2215</v>
      </c>
      <c r="L445">
        <v>7</v>
      </c>
      <c r="M445" t="s">
        <v>8</v>
      </c>
      <c r="N445" t="s">
        <v>8</v>
      </c>
      <c r="O445" t="s">
        <v>8</v>
      </c>
      <c r="P445" t="s">
        <v>8</v>
      </c>
      <c r="Q445" t="s">
        <v>8</v>
      </c>
      <c r="R445" t="s">
        <v>8</v>
      </c>
    </row>
    <row r="446" spans="1:18">
      <c r="A446" s="151" t="s">
        <v>1956</v>
      </c>
      <c r="B446" s="67" t="s">
        <v>2124</v>
      </c>
      <c r="C446" s="152">
        <v>4</v>
      </c>
      <c r="D446" s="67" t="s">
        <v>2147</v>
      </c>
      <c r="E446" s="67" t="s">
        <v>2126</v>
      </c>
      <c r="F446" s="153">
        <v>4</v>
      </c>
      <c r="G446" s="153" t="s">
        <v>2126</v>
      </c>
      <c r="H446" s="153" t="s">
        <v>2107</v>
      </c>
      <c r="I446" s="67" t="s">
        <v>1835</v>
      </c>
      <c r="J446" s="67" t="s">
        <v>2120</v>
      </c>
      <c r="K446" s="67" t="s">
        <v>2186</v>
      </c>
      <c r="L446">
        <v>4</v>
      </c>
      <c r="M446" t="s">
        <v>8</v>
      </c>
      <c r="N446" t="s">
        <v>8</v>
      </c>
      <c r="O446" t="s">
        <v>8</v>
      </c>
      <c r="P446" t="s">
        <v>8</v>
      </c>
      <c r="Q446" t="s">
        <v>8</v>
      </c>
      <c r="R446" t="s">
        <v>8</v>
      </c>
    </row>
    <row r="447" spans="1:18">
      <c r="A447" s="151" t="s">
        <v>1883</v>
      </c>
      <c r="B447" s="67" t="s">
        <v>2105</v>
      </c>
      <c r="C447" s="152">
        <v>2</v>
      </c>
      <c r="D447" s="67" t="s">
        <v>2147</v>
      </c>
      <c r="E447" s="67" t="s">
        <v>2311</v>
      </c>
      <c r="F447" s="153">
        <v>2</v>
      </c>
      <c r="G447" s="153" t="s">
        <v>2417</v>
      </c>
      <c r="H447" s="153" t="s">
        <v>2107</v>
      </c>
      <c r="I447" s="67" t="s">
        <v>1835</v>
      </c>
      <c r="J447" s="67" t="s">
        <v>2120</v>
      </c>
      <c r="K447" s="67" t="s">
        <v>2166</v>
      </c>
      <c r="L447">
        <v>2</v>
      </c>
      <c r="M447" t="s">
        <v>8</v>
      </c>
      <c r="N447" t="s">
        <v>8</v>
      </c>
      <c r="O447" t="s">
        <v>8</v>
      </c>
      <c r="P447" t="s">
        <v>8</v>
      </c>
      <c r="Q447" t="s">
        <v>8</v>
      </c>
      <c r="R447" t="s">
        <v>8</v>
      </c>
    </row>
    <row r="448" spans="1:18">
      <c r="A448" s="151" t="s">
        <v>1957</v>
      </c>
      <c r="B448" s="67" t="s">
        <v>2003</v>
      </c>
      <c r="C448" s="152">
        <v>4</v>
      </c>
      <c r="D448" s="67" t="s">
        <v>1118</v>
      </c>
      <c r="E448" s="67" t="s">
        <v>2304</v>
      </c>
      <c r="F448" s="153" t="s">
        <v>2111</v>
      </c>
      <c r="G448" s="153" t="s">
        <v>3730</v>
      </c>
      <c r="H448" s="153" t="s">
        <v>2107</v>
      </c>
      <c r="I448" s="67" t="s">
        <v>1835</v>
      </c>
      <c r="J448" s="67" t="s">
        <v>2120</v>
      </c>
      <c r="K448" s="67" t="s">
        <v>2186</v>
      </c>
      <c r="L448">
        <v>4</v>
      </c>
      <c r="M448" t="s">
        <v>8</v>
      </c>
      <c r="N448" t="s">
        <v>8</v>
      </c>
      <c r="O448" t="s">
        <v>8</v>
      </c>
      <c r="P448" t="s">
        <v>8</v>
      </c>
      <c r="Q448" t="s">
        <v>8</v>
      </c>
      <c r="R448" t="s">
        <v>8</v>
      </c>
    </row>
    <row r="449" spans="1:18">
      <c r="A449" s="151" t="s">
        <v>1958</v>
      </c>
      <c r="B449" s="67" t="s">
        <v>2123</v>
      </c>
      <c r="C449" s="152">
        <v>4</v>
      </c>
      <c r="D449" s="67" t="s">
        <v>2146</v>
      </c>
      <c r="E449" s="67" t="s">
        <v>2304</v>
      </c>
      <c r="F449" s="153" t="s">
        <v>1740</v>
      </c>
      <c r="G449" s="153" t="s">
        <v>3689</v>
      </c>
      <c r="H449" s="153" t="s">
        <v>2107</v>
      </c>
      <c r="I449" s="67" t="s">
        <v>1835</v>
      </c>
      <c r="J449" s="67" t="s">
        <v>2120</v>
      </c>
      <c r="K449" s="67" t="s">
        <v>2186</v>
      </c>
      <c r="L449">
        <v>4</v>
      </c>
      <c r="M449" t="s">
        <v>8</v>
      </c>
      <c r="N449" t="s">
        <v>8</v>
      </c>
      <c r="O449" t="s">
        <v>8</v>
      </c>
      <c r="P449" t="s">
        <v>8</v>
      </c>
      <c r="Q449" t="s">
        <v>8</v>
      </c>
      <c r="R449" t="s">
        <v>8</v>
      </c>
    </row>
    <row r="450" spans="1:18">
      <c r="A450" s="151" t="s">
        <v>1959</v>
      </c>
      <c r="B450" s="67" t="s">
        <v>2123</v>
      </c>
      <c r="C450" s="152">
        <v>4</v>
      </c>
      <c r="D450" s="67" t="str">
        <f>"0"</f>
        <v>0</v>
      </c>
      <c r="E450" s="67" t="s">
        <v>2126</v>
      </c>
      <c r="F450" s="153">
        <v>4</v>
      </c>
      <c r="G450" s="153" t="s">
        <v>2472</v>
      </c>
      <c r="H450" s="153" t="s">
        <v>2107</v>
      </c>
      <c r="I450" s="67" t="s">
        <v>1835</v>
      </c>
      <c r="J450" s="67" t="s">
        <v>2108</v>
      </c>
      <c r="K450" s="67" t="s">
        <v>2186</v>
      </c>
      <c r="L450">
        <v>4</v>
      </c>
      <c r="M450" t="s">
        <v>8</v>
      </c>
      <c r="N450" t="s">
        <v>8</v>
      </c>
      <c r="O450" t="s">
        <v>8</v>
      </c>
      <c r="P450" t="s">
        <v>8</v>
      </c>
      <c r="Q450" t="s">
        <v>8</v>
      </c>
      <c r="R450" t="s">
        <v>8</v>
      </c>
    </row>
    <row r="451" spans="1:18">
      <c r="A451" s="151" t="s">
        <v>1884</v>
      </c>
      <c r="B451" s="67" t="s">
        <v>2124</v>
      </c>
      <c r="C451" s="152">
        <v>2</v>
      </c>
      <c r="D451" s="67" t="s">
        <v>2117</v>
      </c>
      <c r="E451" s="67" t="s">
        <v>2307</v>
      </c>
      <c r="F451" s="153">
        <v>2</v>
      </c>
      <c r="G451" s="153" t="s">
        <v>2126</v>
      </c>
      <c r="H451" s="153" t="s">
        <v>2107</v>
      </c>
      <c r="I451" s="67" t="s">
        <v>1835</v>
      </c>
      <c r="J451" s="153" t="s">
        <v>2269</v>
      </c>
      <c r="K451" s="67" t="s">
        <v>2166</v>
      </c>
      <c r="L451">
        <v>2</v>
      </c>
      <c r="M451" t="s">
        <v>8</v>
      </c>
      <c r="N451" t="s">
        <v>8</v>
      </c>
      <c r="O451" t="s">
        <v>8</v>
      </c>
      <c r="P451" t="s">
        <v>8</v>
      </c>
      <c r="Q451" t="s">
        <v>8</v>
      </c>
      <c r="R451" t="s">
        <v>8</v>
      </c>
    </row>
    <row r="452" spans="1:18">
      <c r="A452" s="151" t="s">
        <v>1821</v>
      </c>
      <c r="B452" s="67" t="s">
        <v>2231</v>
      </c>
      <c r="C452" s="152">
        <v>1</v>
      </c>
      <c r="D452" s="67" t="str">
        <f>"0"</f>
        <v>0</v>
      </c>
      <c r="E452" s="67" t="s">
        <v>2149</v>
      </c>
      <c r="F452" s="153">
        <v>1</v>
      </c>
      <c r="G452" s="67" t="s">
        <v>2131</v>
      </c>
      <c r="H452" s="153" t="s">
        <v>2110</v>
      </c>
      <c r="I452" s="67" t="s">
        <v>1835</v>
      </c>
      <c r="J452" s="67" t="s">
        <v>2108</v>
      </c>
      <c r="K452" s="67" t="s">
        <v>2156</v>
      </c>
      <c r="L452">
        <v>1</v>
      </c>
      <c r="M452" t="s">
        <v>8</v>
      </c>
      <c r="N452" t="s">
        <v>8</v>
      </c>
      <c r="O452" t="s">
        <v>8</v>
      </c>
      <c r="P452" t="s">
        <v>8</v>
      </c>
      <c r="Q452" t="s">
        <v>8</v>
      </c>
      <c r="R452" t="s">
        <v>8</v>
      </c>
    </row>
    <row r="453" spans="1:18">
      <c r="A453" s="151" t="s">
        <v>1918</v>
      </c>
      <c r="B453" s="67" t="s">
        <v>2231</v>
      </c>
      <c r="C453" s="152">
        <v>3</v>
      </c>
      <c r="D453" s="67" t="str">
        <f>"0"</f>
        <v>0</v>
      </c>
      <c r="E453" s="67" t="s">
        <v>2316</v>
      </c>
      <c r="F453" s="153">
        <v>3</v>
      </c>
      <c r="G453" s="153" t="s">
        <v>2454</v>
      </c>
      <c r="H453" s="153" t="s">
        <v>2110</v>
      </c>
      <c r="I453" s="67" t="s">
        <v>1835</v>
      </c>
      <c r="J453" s="67" t="s">
        <v>2120</v>
      </c>
      <c r="K453" s="67" t="s">
        <v>2176</v>
      </c>
      <c r="L453">
        <v>3</v>
      </c>
      <c r="M453" t="s">
        <v>8</v>
      </c>
      <c r="N453" t="s">
        <v>8</v>
      </c>
      <c r="O453" t="s">
        <v>8</v>
      </c>
      <c r="P453" t="s">
        <v>8</v>
      </c>
      <c r="Q453" t="s">
        <v>8</v>
      </c>
      <c r="R453" t="s">
        <v>8</v>
      </c>
    </row>
    <row r="454" spans="1:18">
      <c r="A454" s="151" t="s">
        <v>1822</v>
      </c>
      <c r="B454" s="67" t="s">
        <v>2232</v>
      </c>
      <c r="C454" s="152">
        <v>1</v>
      </c>
      <c r="D454" s="67" t="s">
        <v>1406</v>
      </c>
      <c r="E454" s="67" t="s">
        <v>2304</v>
      </c>
      <c r="F454" s="153">
        <v>1</v>
      </c>
      <c r="G454" s="67" t="s">
        <v>2126</v>
      </c>
      <c r="H454" s="153" t="s">
        <v>2110</v>
      </c>
      <c r="I454" s="67" t="s">
        <v>1835</v>
      </c>
      <c r="J454" s="67" t="s">
        <v>2120</v>
      </c>
      <c r="K454" s="67" t="s">
        <v>2157</v>
      </c>
      <c r="L454">
        <v>1</v>
      </c>
      <c r="M454" t="s">
        <v>8</v>
      </c>
      <c r="N454" t="s">
        <v>8</v>
      </c>
      <c r="O454" t="s">
        <v>8</v>
      </c>
      <c r="P454" t="s">
        <v>8</v>
      </c>
      <c r="Q454" t="s">
        <v>8</v>
      </c>
      <c r="R454" t="s">
        <v>8</v>
      </c>
    </row>
    <row r="455" spans="1:18">
      <c r="A455" s="151" t="s">
        <v>2034</v>
      </c>
      <c r="B455" s="67" t="s">
        <v>2105</v>
      </c>
      <c r="C455" s="152">
        <v>6</v>
      </c>
      <c r="D455" s="67" t="s">
        <v>2147</v>
      </c>
      <c r="E455" s="67" t="s">
        <v>2142</v>
      </c>
      <c r="F455" s="153">
        <v>6</v>
      </c>
      <c r="G455" s="153" t="s">
        <v>2127</v>
      </c>
      <c r="H455" s="153" t="s">
        <v>2107</v>
      </c>
      <c r="I455" s="67" t="s">
        <v>1834</v>
      </c>
      <c r="J455" s="67" t="s">
        <v>270</v>
      </c>
      <c r="K455" s="67" t="s">
        <v>2207</v>
      </c>
      <c r="L455">
        <v>6</v>
      </c>
      <c r="M455" t="s">
        <v>8</v>
      </c>
      <c r="N455" t="s">
        <v>8</v>
      </c>
      <c r="O455" t="s">
        <v>8</v>
      </c>
      <c r="P455" t="s">
        <v>8</v>
      </c>
      <c r="Q455" t="s">
        <v>8</v>
      </c>
      <c r="R455" t="s">
        <v>8</v>
      </c>
    </row>
    <row r="456" spans="1:18">
      <c r="A456" s="151" t="s">
        <v>1960</v>
      </c>
      <c r="B456" s="67" t="s">
        <v>2105</v>
      </c>
      <c r="C456" s="152">
        <v>4</v>
      </c>
      <c r="D456" s="67" t="s">
        <v>2147</v>
      </c>
      <c r="E456" s="67" t="s">
        <v>2126</v>
      </c>
      <c r="F456" s="153">
        <v>4</v>
      </c>
      <c r="G456" s="153" t="s">
        <v>3708</v>
      </c>
      <c r="H456" s="153" t="s">
        <v>2107</v>
      </c>
      <c r="I456" s="67" t="s">
        <v>1835</v>
      </c>
      <c r="J456" s="67" t="s">
        <v>2120</v>
      </c>
      <c r="K456" s="67" t="s">
        <v>2186</v>
      </c>
      <c r="L456">
        <v>4</v>
      </c>
      <c r="M456" t="s">
        <v>8</v>
      </c>
      <c r="N456" t="s">
        <v>8</v>
      </c>
      <c r="O456" t="s">
        <v>8</v>
      </c>
      <c r="P456" t="s">
        <v>8</v>
      </c>
      <c r="Q456" t="s">
        <v>8</v>
      </c>
      <c r="R456" t="s">
        <v>8</v>
      </c>
    </row>
    <row r="457" spans="1:18">
      <c r="A457" s="151" t="s">
        <v>2035</v>
      </c>
      <c r="B457" s="67" t="s">
        <v>2248</v>
      </c>
      <c r="C457" s="152">
        <v>6</v>
      </c>
      <c r="D457" s="67" t="str">
        <f>"0"</f>
        <v>0</v>
      </c>
      <c r="E457" s="67" t="s">
        <v>2148</v>
      </c>
      <c r="F457" s="153">
        <v>6</v>
      </c>
      <c r="G457" s="153" t="s">
        <v>2454</v>
      </c>
      <c r="H457" s="153" t="s">
        <v>2107</v>
      </c>
      <c r="I457" s="67" t="s">
        <v>1835</v>
      </c>
      <c r="J457" s="67" t="s">
        <v>2120</v>
      </c>
      <c r="K457" s="67" t="s">
        <v>2208</v>
      </c>
      <c r="L457">
        <v>6</v>
      </c>
      <c r="M457" t="s">
        <v>8</v>
      </c>
      <c r="N457" t="s">
        <v>8</v>
      </c>
      <c r="O457" t="s">
        <v>8</v>
      </c>
      <c r="P457" t="s">
        <v>8</v>
      </c>
      <c r="Q457" t="s">
        <v>8</v>
      </c>
      <c r="R457" t="s">
        <v>8</v>
      </c>
    </row>
    <row r="458" spans="1:18">
      <c r="A458" s="151" t="s">
        <v>2036</v>
      </c>
      <c r="B458" s="67" t="s">
        <v>2105</v>
      </c>
      <c r="C458" s="152">
        <v>6</v>
      </c>
      <c r="D458" s="67" t="s">
        <v>1113</v>
      </c>
      <c r="E458" s="67" t="s">
        <v>2142</v>
      </c>
      <c r="F458" s="153">
        <v>5</v>
      </c>
      <c r="G458" s="153" t="s">
        <v>3708</v>
      </c>
      <c r="H458" s="153" t="s">
        <v>2107</v>
      </c>
      <c r="I458" s="67" t="s">
        <v>1834</v>
      </c>
      <c r="J458" s="153" t="s">
        <v>2266</v>
      </c>
      <c r="K458" s="67" t="s">
        <v>2208</v>
      </c>
      <c r="L458">
        <v>6</v>
      </c>
      <c r="M458" t="s">
        <v>8</v>
      </c>
      <c r="N458" t="s">
        <v>8</v>
      </c>
      <c r="O458" t="s">
        <v>8</v>
      </c>
      <c r="P458" t="s">
        <v>8</v>
      </c>
      <c r="Q458" t="s">
        <v>8</v>
      </c>
      <c r="R458" t="s">
        <v>8</v>
      </c>
    </row>
    <row r="459" spans="1:18">
      <c r="A459" s="151" t="s">
        <v>1997</v>
      </c>
      <c r="B459" s="67" t="s">
        <v>2105</v>
      </c>
      <c r="C459" s="152">
        <v>5</v>
      </c>
      <c r="D459" s="67" t="s">
        <v>2147</v>
      </c>
      <c r="E459" s="67" t="s">
        <v>2126</v>
      </c>
      <c r="F459" s="153">
        <v>5</v>
      </c>
      <c r="G459" s="153" t="s">
        <v>3709</v>
      </c>
      <c r="H459" s="153" t="s">
        <v>2107</v>
      </c>
      <c r="I459" s="67" t="s">
        <v>1834</v>
      </c>
      <c r="J459" s="67" t="s">
        <v>2120</v>
      </c>
      <c r="K459" s="67" t="s">
        <v>2197</v>
      </c>
      <c r="L459">
        <v>5</v>
      </c>
      <c r="M459" t="s">
        <v>8</v>
      </c>
      <c r="N459" t="s">
        <v>8</v>
      </c>
      <c r="O459" t="s">
        <v>8</v>
      </c>
      <c r="P459" t="s">
        <v>8</v>
      </c>
      <c r="Q459" t="s">
        <v>8</v>
      </c>
      <c r="R459" t="s">
        <v>8</v>
      </c>
    </row>
    <row r="460" spans="1:18">
      <c r="A460" s="151" t="s">
        <v>2037</v>
      </c>
      <c r="B460" s="67" t="s">
        <v>2105</v>
      </c>
      <c r="C460" s="152">
        <v>6</v>
      </c>
      <c r="D460" s="67" t="s">
        <v>2122</v>
      </c>
      <c r="E460" s="67" t="s">
        <v>2148</v>
      </c>
      <c r="F460" s="153" t="s">
        <v>2111</v>
      </c>
      <c r="G460" s="153" t="s">
        <v>2126</v>
      </c>
      <c r="H460" s="153" t="s">
        <v>2107</v>
      </c>
      <c r="I460" s="67" t="s">
        <v>1835</v>
      </c>
      <c r="J460" s="67" t="s">
        <v>2120</v>
      </c>
      <c r="K460" s="67" t="s">
        <v>2208</v>
      </c>
      <c r="L460">
        <v>6</v>
      </c>
      <c r="M460" t="s">
        <v>8</v>
      </c>
      <c r="N460" t="s">
        <v>8</v>
      </c>
      <c r="O460" t="s">
        <v>8</v>
      </c>
      <c r="P460" t="s">
        <v>8</v>
      </c>
      <c r="Q460" t="s">
        <v>8</v>
      </c>
      <c r="R460" t="s">
        <v>8</v>
      </c>
    </row>
    <row r="461" spans="1:18">
      <c r="A461" s="151" t="s">
        <v>1919</v>
      </c>
      <c r="B461" s="67" t="s">
        <v>2105</v>
      </c>
      <c r="C461" s="152">
        <v>3</v>
      </c>
      <c r="D461" s="67" t="str">
        <f>"0"</f>
        <v>0</v>
      </c>
      <c r="E461" s="67" t="s">
        <v>2271</v>
      </c>
      <c r="F461" s="153">
        <v>3</v>
      </c>
      <c r="G461" s="153" t="s">
        <v>2454</v>
      </c>
      <c r="H461" s="153" t="s">
        <v>2110</v>
      </c>
      <c r="I461" s="67" t="s">
        <v>1835</v>
      </c>
      <c r="J461" s="67" t="s">
        <v>2108</v>
      </c>
      <c r="K461" s="67" t="s">
        <v>2176</v>
      </c>
      <c r="L461">
        <v>3</v>
      </c>
      <c r="M461" t="s">
        <v>8</v>
      </c>
      <c r="N461" t="s">
        <v>8</v>
      </c>
      <c r="O461" t="s">
        <v>8</v>
      </c>
      <c r="P461" t="s">
        <v>8</v>
      </c>
      <c r="Q461" t="s">
        <v>8</v>
      </c>
      <c r="R461" t="s">
        <v>8</v>
      </c>
    </row>
    <row r="462" spans="1:18">
      <c r="A462" s="151" t="s">
        <v>1961</v>
      </c>
      <c r="B462" s="67" t="s">
        <v>2249</v>
      </c>
      <c r="C462" s="152">
        <v>4</v>
      </c>
      <c r="D462" s="67" t="s">
        <v>2147</v>
      </c>
      <c r="E462" s="67" t="s">
        <v>2304</v>
      </c>
      <c r="F462" s="153">
        <v>4</v>
      </c>
      <c r="G462" s="153" t="s">
        <v>2445</v>
      </c>
      <c r="H462" s="153" t="s">
        <v>2107</v>
      </c>
      <c r="I462" s="67" t="s">
        <v>1835</v>
      </c>
      <c r="J462" s="67" t="s">
        <v>2120</v>
      </c>
      <c r="K462" s="67" t="s">
        <v>2187</v>
      </c>
      <c r="L462">
        <v>4</v>
      </c>
      <c r="M462" t="s">
        <v>8</v>
      </c>
      <c r="N462" t="s">
        <v>8</v>
      </c>
      <c r="O462" t="s">
        <v>8</v>
      </c>
      <c r="P462" t="s">
        <v>8</v>
      </c>
      <c r="Q462" t="s">
        <v>8</v>
      </c>
      <c r="R462" t="s">
        <v>8</v>
      </c>
    </row>
    <row r="463" spans="1:18">
      <c r="A463" s="151" t="s">
        <v>1823</v>
      </c>
      <c r="B463" s="67" t="s">
        <v>2105</v>
      </c>
      <c r="C463" s="152">
        <v>1</v>
      </c>
      <c r="D463" s="67" t="str">
        <f>"0"</f>
        <v>0</v>
      </c>
      <c r="E463" s="67" t="s">
        <v>2297</v>
      </c>
      <c r="F463" s="153">
        <v>1</v>
      </c>
      <c r="G463" s="67" t="s">
        <v>2405</v>
      </c>
      <c r="H463" s="153" t="s">
        <v>2107</v>
      </c>
      <c r="I463" s="67" t="s">
        <v>1835</v>
      </c>
      <c r="J463" s="67" t="s">
        <v>270</v>
      </c>
      <c r="K463" s="67" t="s">
        <v>2157</v>
      </c>
      <c r="L463">
        <v>1</v>
      </c>
      <c r="M463" t="s">
        <v>8</v>
      </c>
      <c r="N463" t="s">
        <v>8</v>
      </c>
      <c r="O463" t="s">
        <v>8</v>
      </c>
      <c r="P463" t="s">
        <v>8</v>
      </c>
      <c r="Q463" t="s">
        <v>8</v>
      </c>
      <c r="R463" t="s">
        <v>8</v>
      </c>
    </row>
    <row r="464" spans="1:18">
      <c r="A464" s="151" t="s">
        <v>2063</v>
      </c>
      <c r="B464" s="67" t="s">
        <v>2003</v>
      </c>
      <c r="C464" s="152">
        <v>7</v>
      </c>
      <c r="D464" s="67" t="str">
        <f>"0"</f>
        <v>0</v>
      </c>
      <c r="E464" s="154" t="s">
        <v>2297</v>
      </c>
      <c r="F464" s="153">
        <v>7</v>
      </c>
      <c r="G464" s="153" t="s">
        <v>2473</v>
      </c>
      <c r="H464" s="153" t="s">
        <v>2110</v>
      </c>
      <c r="I464" s="67" t="s">
        <v>1835</v>
      </c>
      <c r="J464" s="67" t="s">
        <v>270</v>
      </c>
      <c r="K464" s="67" t="s">
        <v>2215</v>
      </c>
      <c r="L464">
        <v>7</v>
      </c>
      <c r="M464" t="s">
        <v>8</v>
      </c>
      <c r="N464" t="s">
        <v>8</v>
      </c>
      <c r="O464" t="s">
        <v>8</v>
      </c>
      <c r="P464" t="s">
        <v>8</v>
      </c>
      <c r="Q464" t="s">
        <v>8</v>
      </c>
      <c r="R464" t="s">
        <v>8</v>
      </c>
    </row>
    <row r="465" spans="1:18">
      <c r="A465" s="151" t="s">
        <v>1885</v>
      </c>
      <c r="B465" s="67" t="s">
        <v>2261</v>
      </c>
      <c r="C465" s="152">
        <v>2</v>
      </c>
      <c r="D465" s="67" t="s">
        <v>2284</v>
      </c>
      <c r="E465" s="67" t="s">
        <v>2126</v>
      </c>
      <c r="F465" s="153">
        <v>1</v>
      </c>
      <c r="G465" s="153" t="s">
        <v>2434</v>
      </c>
      <c r="H465" s="153" t="s">
        <v>2110</v>
      </c>
      <c r="I465" s="67" t="s">
        <v>1835</v>
      </c>
      <c r="J465" s="67" t="s">
        <v>2120</v>
      </c>
      <c r="K465" s="67" t="s">
        <v>2166</v>
      </c>
      <c r="L465">
        <v>2</v>
      </c>
      <c r="M465" t="s">
        <v>8</v>
      </c>
      <c r="N465" t="s">
        <v>8</v>
      </c>
      <c r="O465" t="s">
        <v>8</v>
      </c>
      <c r="P465" t="s">
        <v>8</v>
      </c>
      <c r="Q465" t="s">
        <v>8</v>
      </c>
      <c r="R465" t="s">
        <v>8</v>
      </c>
    </row>
    <row r="466" spans="1:18">
      <c r="A466" s="151" t="s">
        <v>147</v>
      </c>
      <c r="B466" s="67" t="s">
        <v>2123</v>
      </c>
      <c r="C466" s="152">
        <v>1</v>
      </c>
      <c r="D466" s="67" t="s">
        <v>2277</v>
      </c>
      <c r="E466" s="67" t="s">
        <v>2305</v>
      </c>
      <c r="F466" s="153">
        <v>1</v>
      </c>
      <c r="G466" s="67" t="s">
        <v>2106</v>
      </c>
      <c r="H466" s="153" t="s">
        <v>2262</v>
      </c>
      <c r="I466" s="67" t="s">
        <v>1835</v>
      </c>
      <c r="J466" s="67" t="s">
        <v>270</v>
      </c>
      <c r="K466" s="67" t="s">
        <v>2157</v>
      </c>
      <c r="L466">
        <v>1</v>
      </c>
      <c r="M466" t="s">
        <v>8</v>
      </c>
      <c r="N466" t="s">
        <v>8</v>
      </c>
      <c r="O466" t="s">
        <v>8</v>
      </c>
      <c r="P466" t="s">
        <v>8</v>
      </c>
      <c r="Q466" t="s">
        <v>8</v>
      </c>
      <c r="R466" t="s">
        <v>8</v>
      </c>
    </row>
    <row r="467" spans="1:18">
      <c r="A467" s="151" t="s">
        <v>2086</v>
      </c>
      <c r="B467" s="67" t="s">
        <v>2105</v>
      </c>
      <c r="C467" s="152">
        <v>8</v>
      </c>
      <c r="D467" s="67" t="s">
        <v>2122</v>
      </c>
      <c r="E467" s="67" t="s">
        <v>2142</v>
      </c>
      <c r="F467" s="153">
        <v>8</v>
      </c>
      <c r="G467" s="153" t="s">
        <v>2418</v>
      </c>
      <c r="H467" s="153" t="s">
        <v>2107</v>
      </c>
      <c r="I467" s="67" t="s">
        <v>1835</v>
      </c>
      <c r="J467" s="67" t="s">
        <v>2120</v>
      </c>
      <c r="K467" s="67" t="s">
        <v>2222</v>
      </c>
      <c r="L467">
        <v>8</v>
      </c>
      <c r="M467" t="s">
        <v>8</v>
      </c>
      <c r="N467" t="s">
        <v>8</v>
      </c>
      <c r="O467" t="s">
        <v>8</v>
      </c>
      <c r="P467" t="s">
        <v>8</v>
      </c>
      <c r="Q467" t="s">
        <v>8</v>
      </c>
      <c r="R467" t="s">
        <v>8</v>
      </c>
    </row>
    <row r="468" spans="1:18">
      <c r="A468" s="151" t="s">
        <v>1886</v>
      </c>
      <c r="B468" s="67" t="s">
        <v>2105</v>
      </c>
      <c r="C468" s="152">
        <v>2</v>
      </c>
      <c r="D468" s="67" t="s">
        <v>2122</v>
      </c>
      <c r="E468" s="67" t="s">
        <v>2142</v>
      </c>
      <c r="F468" s="153">
        <v>2</v>
      </c>
      <c r="G468" s="153" t="s">
        <v>3730</v>
      </c>
      <c r="H468" s="153" t="s">
        <v>2110</v>
      </c>
      <c r="I468" s="67" t="s">
        <v>1835</v>
      </c>
      <c r="J468" s="67" t="s">
        <v>2120</v>
      </c>
      <c r="K468" s="67" t="s">
        <v>2167</v>
      </c>
      <c r="L468">
        <v>2</v>
      </c>
      <c r="M468" t="s">
        <v>8</v>
      </c>
      <c r="N468" t="s">
        <v>8</v>
      </c>
      <c r="O468" t="s">
        <v>8</v>
      </c>
      <c r="P468" t="s">
        <v>8</v>
      </c>
      <c r="Q468" t="s">
        <v>8</v>
      </c>
      <c r="R468" t="s">
        <v>8</v>
      </c>
    </row>
    <row r="469" spans="1:18">
      <c r="A469" s="151" t="s">
        <v>2064</v>
      </c>
      <c r="B469" s="67" t="s">
        <v>2135</v>
      </c>
      <c r="C469" s="152">
        <v>7</v>
      </c>
      <c r="D469" s="67" t="str">
        <f>"0"</f>
        <v>0</v>
      </c>
      <c r="E469" s="154" t="s">
        <v>2126</v>
      </c>
      <c r="F469" s="153">
        <v>7</v>
      </c>
      <c r="G469" s="153" t="s">
        <v>2454</v>
      </c>
      <c r="H469" s="153" t="s">
        <v>2107</v>
      </c>
      <c r="I469" s="67" t="s">
        <v>1835</v>
      </c>
      <c r="J469" s="67" t="s">
        <v>2120</v>
      </c>
      <c r="K469" s="67" t="s">
        <v>2215</v>
      </c>
      <c r="L469">
        <v>7</v>
      </c>
      <c r="M469" t="s">
        <v>8</v>
      </c>
      <c r="N469" t="s">
        <v>8</v>
      </c>
      <c r="O469" t="s">
        <v>8</v>
      </c>
      <c r="P469" t="s">
        <v>8</v>
      </c>
      <c r="Q469" t="s">
        <v>8</v>
      </c>
      <c r="R469" t="s">
        <v>8</v>
      </c>
    </row>
    <row r="470" spans="1:18">
      <c r="A470" s="151" t="s">
        <v>1998</v>
      </c>
      <c r="B470" s="67" t="s">
        <v>2135</v>
      </c>
      <c r="C470" s="152">
        <v>5</v>
      </c>
      <c r="D470" s="67" t="str">
        <f>"0"</f>
        <v>0</v>
      </c>
      <c r="E470" s="67" t="s">
        <v>2114</v>
      </c>
      <c r="F470" s="153">
        <v>5</v>
      </c>
      <c r="G470" s="153" t="s">
        <v>2402</v>
      </c>
      <c r="H470" s="153" t="s">
        <v>2107</v>
      </c>
      <c r="I470" s="67" t="s">
        <v>1835</v>
      </c>
      <c r="J470" s="67" t="s">
        <v>2120</v>
      </c>
      <c r="K470" s="67" t="s">
        <v>2197</v>
      </c>
      <c r="L470">
        <v>5</v>
      </c>
      <c r="M470" t="s">
        <v>8</v>
      </c>
      <c r="N470" t="s">
        <v>8</v>
      </c>
      <c r="O470" t="s">
        <v>8</v>
      </c>
      <c r="P470" t="s">
        <v>8</v>
      </c>
      <c r="Q470" t="s">
        <v>8</v>
      </c>
      <c r="R470" t="s">
        <v>8</v>
      </c>
    </row>
    <row r="471" spans="1:18">
      <c r="A471" s="151" t="s">
        <v>2038</v>
      </c>
      <c r="B471" s="67" t="s">
        <v>2135</v>
      </c>
      <c r="C471" s="152">
        <v>6</v>
      </c>
      <c r="D471" s="67" t="s">
        <v>2122</v>
      </c>
      <c r="E471" s="67" t="s">
        <v>2148</v>
      </c>
      <c r="F471" s="153" t="s">
        <v>2111</v>
      </c>
      <c r="G471" s="153" t="s">
        <v>2462</v>
      </c>
      <c r="H471" s="153" t="s">
        <v>2107</v>
      </c>
      <c r="I471" s="67" t="s">
        <v>1835</v>
      </c>
      <c r="J471" s="67" t="s">
        <v>2120</v>
      </c>
      <c r="K471" s="67" t="s">
        <v>2208</v>
      </c>
      <c r="L471">
        <v>6</v>
      </c>
      <c r="M471" t="s">
        <v>8</v>
      </c>
      <c r="N471" t="s">
        <v>8</v>
      </c>
      <c r="O471" t="s">
        <v>8</v>
      </c>
      <c r="P471" t="s">
        <v>8</v>
      </c>
      <c r="Q471" t="s">
        <v>8</v>
      </c>
      <c r="R471" t="s">
        <v>8</v>
      </c>
    </row>
    <row r="472" spans="1:18">
      <c r="A472" s="151" t="s">
        <v>2039</v>
      </c>
      <c r="B472" s="67" t="s">
        <v>2123</v>
      </c>
      <c r="C472" s="152">
        <v>6</v>
      </c>
      <c r="D472" s="67" t="s">
        <v>2147</v>
      </c>
      <c r="E472" s="67" t="s">
        <v>2271</v>
      </c>
      <c r="F472" s="153">
        <v>6</v>
      </c>
      <c r="G472" s="153" t="s">
        <v>3709</v>
      </c>
      <c r="H472" s="153" t="s">
        <v>2110</v>
      </c>
      <c r="I472" s="67" t="s">
        <v>1835</v>
      </c>
      <c r="J472" s="67" t="s">
        <v>2120</v>
      </c>
      <c r="K472" s="67" t="s">
        <v>2209</v>
      </c>
      <c r="L472">
        <v>6</v>
      </c>
      <c r="M472" t="s">
        <v>8</v>
      </c>
      <c r="N472" t="s">
        <v>8</v>
      </c>
      <c r="O472" t="s">
        <v>8</v>
      </c>
      <c r="P472" t="s">
        <v>8</v>
      </c>
      <c r="Q472" t="s">
        <v>8</v>
      </c>
      <c r="R472" t="s">
        <v>8</v>
      </c>
    </row>
    <row r="473" spans="1:18">
      <c r="A473" s="151" t="s">
        <v>1920</v>
      </c>
      <c r="B473" s="67" t="s">
        <v>2105</v>
      </c>
      <c r="C473" s="152">
        <v>3</v>
      </c>
      <c r="D473" s="67" t="s">
        <v>2122</v>
      </c>
      <c r="E473" s="67" t="s">
        <v>2317</v>
      </c>
      <c r="F473" s="153">
        <v>3</v>
      </c>
      <c r="G473" s="153" t="s">
        <v>2127</v>
      </c>
      <c r="H473" s="153" t="s">
        <v>2107</v>
      </c>
      <c r="I473" s="67" t="s">
        <v>1835</v>
      </c>
      <c r="J473" s="67" t="s">
        <v>2120</v>
      </c>
      <c r="K473" s="67" t="s">
        <v>2176</v>
      </c>
      <c r="L473">
        <v>3</v>
      </c>
      <c r="M473" t="s">
        <v>8</v>
      </c>
      <c r="N473" t="s">
        <v>8</v>
      </c>
      <c r="O473" t="s">
        <v>8</v>
      </c>
      <c r="P473" t="s">
        <v>8</v>
      </c>
      <c r="Q473" t="s">
        <v>8</v>
      </c>
      <c r="R473" t="s">
        <v>8</v>
      </c>
    </row>
    <row r="474" spans="1:18">
      <c r="A474" s="151" t="s">
        <v>2729</v>
      </c>
      <c r="B474" s="164"/>
      <c r="C474" s="152">
        <v>1</v>
      </c>
      <c r="D474" s="164"/>
      <c r="E474" s="164"/>
      <c r="F474" s="164"/>
      <c r="G474" s="164"/>
      <c r="H474" s="164"/>
      <c r="I474" s="164"/>
      <c r="J474" s="164"/>
      <c r="K474" s="67" t="s">
        <v>2810</v>
      </c>
      <c r="L474">
        <v>1</v>
      </c>
      <c r="M474" t="s">
        <v>8</v>
      </c>
      <c r="N474" t="s">
        <v>8</v>
      </c>
      <c r="O474" t="s">
        <v>8</v>
      </c>
      <c r="P474" t="s">
        <v>8</v>
      </c>
      <c r="Q474" t="s">
        <v>8</v>
      </c>
      <c r="R474" t="s">
        <v>8</v>
      </c>
    </row>
    <row r="475" spans="1:18">
      <c r="A475" s="151" t="s">
        <v>2734</v>
      </c>
      <c r="B475" s="164"/>
      <c r="C475" s="152">
        <v>1</v>
      </c>
      <c r="D475" s="164"/>
      <c r="E475" s="164"/>
      <c r="F475" s="164"/>
      <c r="G475" s="164"/>
      <c r="H475" s="164"/>
      <c r="I475" s="164"/>
      <c r="J475" s="164"/>
      <c r="K475" s="67" t="s">
        <v>2810</v>
      </c>
      <c r="L475">
        <v>1</v>
      </c>
      <c r="M475" t="s">
        <v>8</v>
      </c>
      <c r="N475" t="s">
        <v>8</v>
      </c>
      <c r="O475" t="s">
        <v>8</v>
      </c>
      <c r="P475" t="s">
        <v>8</v>
      </c>
      <c r="Q475" t="s">
        <v>8</v>
      </c>
      <c r="R475" t="s">
        <v>8</v>
      </c>
    </row>
    <row r="476" spans="1:18">
      <c r="A476" s="151" t="s">
        <v>2730</v>
      </c>
      <c r="B476" s="164"/>
      <c r="C476" s="152">
        <v>1</v>
      </c>
      <c r="D476" s="164"/>
      <c r="E476" s="164"/>
      <c r="F476" s="164"/>
      <c r="G476" s="164"/>
      <c r="H476" s="164"/>
      <c r="I476" s="164"/>
      <c r="J476" s="164"/>
      <c r="K476" s="67" t="s">
        <v>2810</v>
      </c>
      <c r="L476">
        <v>1</v>
      </c>
      <c r="M476" t="s">
        <v>8</v>
      </c>
      <c r="N476" t="s">
        <v>8</v>
      </c>
      <c r="O476" t="s">
        <v>8</v>
      </c>
      <c r="P476" t="s">
        <v>8</v>
      </c>
      <c r="Q476" t="s">
        <v>8</v>
      </c>
      <c r="R476" t="s">
        <v>8</v>
      </c>
    </row>
    <row r="477" spans="1:18">
      <c r="A477" s="151" t="s">
        <v>2733</v>
      </c>
      <c r="B477" s="164"/>
      <c r="C477" s="152">
        <v>1</v>
      </c>
      <c r="D477" s="164"/>
      <c r="E477" s="164"/>
      <c r="F477" s="164"/>
      <c r="G477" s="164"/>
      <c r="H477" s="164"/>
      <c r="I477" s="164"/>
      <c r="J477" s="164"/>
      <c r="K477" s="67" t="s">
        <v>2811</v>
      </c>
      <c r="L477">
        <v>1</v>
      </c>
      <c r="M477" t="s">
        <v>8</v>
      </c>
      <c r="N477" t="s">
        <v>8</v>
      </c>
      <c r="O477" t="s">
        <v>8</v>
      </c>
      <c r="P477" t="s">
        <v>8</v>
      </c>
      <c r="Q477" t="s">
        <v>8</v>
      </c>
      <c r="R477" t="s">
        <v>8</v>
      </c>
    </row>
    <row r="478" spans="1:18">
      <c r="A478" s="151" t="s">
        <v>2731</v>
      </c>
      <c r="B478" s="164"/>
      <c r="C478" s="152">
        <v>1</v>
      </c>
      <c r="D478" s="164"/>
      <c r="E478" s="164"/>
      <c r="F478" s="164"/>
      <c r="G478" s="164"/>
      <c r="H478" s="164"/>
      <c r="I478" s="164"/>
      <c r="J478" s="164"/>
      <c r="K478" s="67" t="s">
        <v>2811</v>
      </c>
      <c r="L478">
        <v>1</v>
      </c>
      <c r="M478" t="s">
        <v>8</v>
      </c>
      <c r="N478" t="s">
        <v>8</v>
      </c>
      <c r="O478" t="s">
        <v>8</v>
      </c>
      <c r="P478" t="s">
        <v>8</v>
      </c>
      <c r="Q478" t="s">
        <v>8</v>
      </c>
      <c r="R478" t="s">
        <v>8</v>
      </c>
    </row>
    <row r="479" spans="1:18">
      <c r="A479" s="151" t="s">
        <v>2735</v>
      </c>
      <c r="B479" s="164"/>
      <c r="C479" s="152">
        <v>1</v>
      </c>
      <c r="D479" s="164"/>
      <c r="E479" s="164"/>
      <c r="F479" s="164"/>
      <c r="G479" s="164"/>
      <c r="H479" s="164"/>
      <c r="I479" s="164"/>
      <c r="J479" s="164"/>
      <c r="K479" s="67" t="s">
        <v>2811</v>
      </c>
      <c r="L479">
        <v>1</v>
      </c>
      <c r="M479" t="s">
        <v>8</v>
      </c>
      <c r="N479" t="s">
        <v>8</v>
      </c>
      <c r="O479" t="s">
        <v>8</v>
      </c>
      <c r="P479" t="s">
        <v>8</v>
      </c>
      <c r="Q479" t="s">
        <v>8</v>
      </c>
      <c r="R479" t="s">
        <v>8</v>
      </c>
    </row>
    <row r="480" spans="1:18">
      <c r="A480" s="151" t="s">
        <v>2732</v>
      </c>
      <c r="B480" s="164"/>
      <c r="C480" s="152">
        <v>1</v>
      </c>
      <c r="D480" s="164"/>
      <c r="E480" s="164"/>
      <c r="F480" s="164"/>
      <c r="G480" s="164"/>
      <c r="H480" s="164"/>
      <c r="I480" s="164"/>
      <c r="J480" s="164"/>
      <c r="K480" s="67" t="s">
        <v>2812</v>
      </c>
      <c r="L480">
        <v>1</v>
      </c>
      <c r="M480" t="s">
        <v>8</v>
      </c>
      <c r="N480" t="s">
        <v>8</v>
      </c>
      <c r="O480" t="s">
        <v>8</v>
      </c>
      <c r="P480" t="s">
        <v>8</v>
      </c>
      <c r="Q480" t="s">
        <v>8</v>
      </c>
      <c r="R480" t="s">
        <v>8</v>
      </c>
    </row>
    <row r="481" spans="1:18">
      <c r="A481" s="151" t="s">
        <v>2736</v>
      </c>
      <c r="B481" s="164"/>
      <c r="C481" s="152">
        <v>1</v>
      </c>
      <c r="D481" s="164"/>
      <c r="E481" s="164"/>
      <c r="F481" s="164"/>
      <c r="G481" s="164"/>
      <c r="H481" s="164"/>
      <c r="I481" s="164"/>
      <c r="J481" s="164"/>
      <c r="K481" s="67" t="s">
        <v>2812</v>
      </c>
      <c r="L481">
        <v>1</v>
      </c>
      <c r="M481" t="s">
        <v>8</v>
      </c>
      <c r="N481" t="s">
        <v>8</v>
      </c>
      <c r="O481" t="s">
        <v>8</v>
      </c>
      <c r="P481" t="s">
        <v>8</v>
      </c>
      <c r="Q481" t="s">
        <v>8</v>
      </c>
      <c r="R481" t="s">
        <v>8</v>
      </c>
    </row>
    <row r="482" spans="1:18">
      <c r="A482" s="151" t="s">
        <v>2737</v>
      </c>
      <c r="B482" s="164"/>
      <c r="C482" s="152">
        <v>1</v>
      </c>
      <c r="D482" s="164"/>
      <c r="E482" s="164"/>
      <c r="F482" s="164"/>
      <c r="G482" s="164"/>
      <c r="H482" s="164"/>
      <c r="I482" s="164"/>
      <c r="J482" s="164"/>
      <c r="K482" s="67" t="s">
        <v>2812</v>
      </c>
      <c r="L482">
        <v>1</v>
      </c>
      <c r="M482" t="s">
        <v>8</v>
      </c>
      <c r="N482" t="s">
        <v>8</v>
      </c>
      <c r="O482" t="s">
        <v>8</v>
      </c>
      <c r="P482" t="s">
        <v>8</v>
      </c>
      <c r="Q482" t="s">
        <v>8</v>
      </c>
      <c r="R482" t="s">
        <v>8</v>
      </c>
    </row>
    <row r="483" spans="1:18">
      <c r="A483" s="161" t="s">
        <v>2745</v>
      </c>
      <c r="B483" s="164"/>
      <c r="C483" s="152">
        <v>2</v>
      </c>
      <c r="D483" s="164"/>
      <c r="E483" s="164"/>
      <c r="F483" s="164"/>
      <c r="G483" s="164"/>
      <c r="H483" s="164"/>
      <c r="I483" s="164"/>
      <c r="J483" s="164"/>
      <c r="K483" s="67" t="s">
        <v>2813</v>
      </c>
      <c r="L483">
        <v>2</v>
      </c>
      <c r="M483" t="s">
        <v>8</v>
      </c>
      <c r="N483" t="s">
        <v>8</v>
      </c>
      <c r="O483" t="s">
        <v>8</v>
      </c>
      <c r="P483" t="s">
        <v>8</v>
      </c>
      <c r="Q483" t="s">
        <v>8</v>
      </c>
      <c r="R483" t="s">
        <v>8</v>
      </c>
    </row>
    <row r="484" spans="1:18">
      <c r="A484" s="161" t="s">
        <v>2746</v>
      </c>
      <c r="B484" s="164"/>
      <c r="C484" s="152">
        <v>2</v>
      </c>
      <c r="D484" s="164"/>
      <c r="E484" s="164"/>
      <c r="F484" s="164"/>
      <c r="G484" s="164"/>
      <c r="H484" s="164"/>
      <c r="I484" s="164"/>
      <c r="J484" s="164"/>
      <c r="K484" s="67" t="s">
        <v>2813</v>
      </c>
      <c r="L484">
        <v>2</v>
      </c>
      <c r="M484" t="s">
        <v>8</v>
      </c>
      <c r="N484" t="s">
        <v>8</v>
      </c>
      <c r="O484" t="s">
        <v>8</v>
      </c>
      <c r="P484" t="s">
        <v>8</v>
      </c>
      <c r="Q484" t="s">
        <v>8</v>
      </c>
      <c r="R484" t="s">
        <v>8</v>
      </c>
    </row>
    <row r="485" spans="1:18">
      <c r="A485" s="151" t="s">
        <v>2747</v>
      </c>
      <c r="B485" s="164"/>
      <c r="C485" s="152">
        <v>2</v>
      </c>
      <c r="D485" s="164"/>
      <c r="E485" s="164"/>
      <c r="F485" s="164"/>
      <c r="G485" s="164"/>
      <c r="H485" s="164"/>
      <c r="I485" s="164"/>
      <c r="J485" s="164"/>
      <c r="K485" s="67" t="s">
        <v>2813</v>
      </c>
      <c r="L485">
        <v>2</v>
      </c>
      <c r="M485" t="s">
        <v>8</v>
      </c>
      <c r="N485" t="s">
        <v>8</v>
      </c>
      <c r="O485" t="s">
        <v>8</v>
      </c>
      <c r="P485" t="s">
        <v>8</v>
      </c>
      <c r="Q485" t="s">
        <v>8</v>
      </c>
      <c r="R485" t="s">
        <v>8</v>
      </c>
    </row>
    <row r="486" spans="1:18">
      <c r="A486" s="151" t="s">
        <v>2748</v>
      </c>
      <c r="B486" s="164"/>
      <c r="C486" s="152">
        <v>2</v>
      </c>
      <c r="D486" s="164"/>
      <c r="E486" s="164"/>
      <c r="F486" s="164"/>
      <c r="G486" s="164"/>
      <c r="H486" s="164"/>
      <c r="I486" s="164"/>
      <c r="J486" s="164"/>
      <c r="K486" s="67" t="s">
        <v>2814</v>
      </c>
      <c r="L486">
        <v>2</v>
      </c>
      <c r="M486" t="s">
        <v>8</v>
      </c>
      <c r="N486" t="s">
        <v>8</v>
      </c>
      <c r="O486" t="s">
        <v>8</v>
      </c>
      <c r="P486" t="s">
        <v>8</v>
      </c>
      <c r="Q486" t="s">
        <v>8</v>
      </c>
      <c r="R486" t="s">
        <v>8</v>
      </c>
    </row>
    <row r="487" spans="1:18">
      <c r="A487" s="151" t="s">
        <v>2750</v>
      </c>
      <c r="B487" s="164"/>
      <c r="C487" s="152">
        <v>2</v>
      </c>
      <c r="D487" s="164"/>
      <c r="E487" s="164"/>
      <c r="F487" s="164"/>
      <c r="G487" s="164"/>
      <c r="H487" s="164"/>
      <c r="I487" s="164"/>
      <c r="J487" s="164"/>
      <c r="K487" s="67" t="s">
        <v>2814</v>
      </c>
      <c r="L487">
        <v>2</v>
      </c>
      <c r="M487" t="s">
        <v>8</v>
      </c>
      <c r="N487" t="s">
        <v>8</v>
      </c>
      <c r="O487" t="s">
        <v>8</v>
      </c>
      <c r="P487" t="s">
        <v>8</v>
      </c>
      <c r="Q487" t="s">
        <v>8</v>
      </c>
      <c r="R487" t="s">
        <v>8</v>
      </c>
    </row>
    <row r="488" spans="1:18">
      <c r="A488" s="151" t="s">
        <v>2749</v>
      </c>
      <c r="B488" s="164"/>
      <c r="C488" s="152">
        <v>2</v>
      </c>
      <c r="D488" s="164"/>
      <c r="E488" s="164"/>
      <c r="F488" s="164"/>
      <c r="G488" s="164"/>
      <c r="H488" s="164"/>
      <c r="I488" s="164"/>
      <c r="J488" s="164"/>
      <c r="K488" s="67" t="s">
        <v>2814</v>
      </c>
      <c r="L488">
        <v>2</v>
      </c>
      <c r="M488" t="s">
        <v>8</v>
      </c>
      <c r="N488" t="s">
        <v>8</v>
      </c>
      <c r="O488" t="s">
        <v>8</v>
      </c>
      <c r="P488" t="s">
        <v>8</v>
      </c>
      <c r="Q488" t="s">
        <v>8</v>
      </c>
      <c r="R488" t="s">
        <v>8</v>
      </c>
    </row>
    <row r="489" spans="1:18">
      <c r="A489" s="151" t="s">
        <v>2816</v>
      </c>
      <c r="B489" s="164"/>
      <c r="C489" s="152">
        <v>2</v>
      </c>
      <c r="D489" s="164"/>
      <c r="E489" s="164"/>
      <c r="F489" s="164"/>
      <c r="G489" s="164"/>
      <c r="H489" s="164"/>
      <c r="I489" s="164"/>
      <c r="J489" s="164"/>
      <c r="K489" s="67" t="s">
        <v>2815</v>
      </c>
      <c r="L489">
        <v>2</v>
      </c>
      <c r="M489" t="s">
        <v>8</v>
      </c>
      <c r="N489" t="s">
        <v>8</v>
      </c>
      <c r="O489" t="s">
        <v>8</v>
      </c>
      <c r="P489" t="s">
        <v>8</v>
      </c>
      <c r="Q489" t="s">
        <v>8</v>
      </c>
      <c r="R489" t="s">
        <v>8</v>
      </c>
    </row>
    <row r="490" spans="1:18">
      <c r="A490" s="151" t="s">
        <v>2817</v>
      </c>
      <c r="B490" s="164"/>
      <c r="C490" s="152">
        <v>2</v>
      </c>
      <c r="D490" s="164"/>
      <c r="E490" s="164"/>
      <c r="F490" s="164"/>
      <c r="G490" s="164"/>
      <c r="H490" s="164"/>
      <c r="I490" s="164"/>
      <c r="J490" s="164"/>
      <c r="K490" s="67" t="s">
        <v>2815</v>
      </c>
      <c r="L490">
        <v>2</v>
      </c>
      <c r="M490" t="s">
        <v>8</v>
      </c>
      <c r="N490" t="s">
        <v>8</v>
      </c>
      <c r="O490" t="s">
        <v>8</v>
      </c>
      <c r="P490" t="s">
        <v>8</v>
      </c>
      <c r="Q490" t="s">
        <v>8</v>
      </c>
      <c r="R490" t="s">
        <v>8</v>
      </c>
    </row>
    <row r="491" spans="1:18">
      <c r="A491" s="151" t="s">
        <v>2818</v>
      </c>
      <c r="B491" s="164"/>
      <c r="C491" s="152">
        <v>2</v>
      </c>
      <c r="D491" s="164"/>
      <c r="E491" s="164"/>
      <c r="F491" s="164"/>
      <c r="G491" s="164"/>
      <c r="H491" s="164"/>
      <c r="I491" s="164"/>
      <c r="J491" s="164"/>
      <c r="K491" s="67" t="s">
        <v>2815</v>
      </c>
      <c r="L491">
        <v>2</v>
      </c>
      <c r="M491" t="s">
        <v>8</v>
      </c>
      <c r="N491" t="s">
        <v>8</v>
      </c>
      <c r="O491" t="s">
        <v>8</v>
      </c>
      <c r="P491" t="s">
        <v>8</v>
      </c>
      <c r="Q491" t="s">
        <v>8</v>
      </c>
      <c r="R491" t="s">
        <v>8</v>
      </c>
    </row>
    <row r="492" spans="1:18">
      <c r="A492" s="151" t="s">
        <v>2738</v>
      </c>
      <c r="B492" s="164"/>
      <c r="C492" s="152">
        <v>3</v>
      </c>
      <c r="D492" s="164"/>
      <c r="E492" s="164"/>
      <c r="F492" s="164"/>
      <c r="G492" s="164"/>
      <c r="H492" s="164"/>
      <c r="I492" s="164"/>
      <c r="J492" s="164"/>
      <c r="K492" s="67" t="s">
        <v>2820</v>
      </c>
      <c r="L492">
        <v>3</v>
      </c>
      <c r="M492" t="s">
        <v>8</v>
      </c>
      <c r="N492" t="s">
        <v>8</v>
      </c>
      <c r="O492" t="s">
        <v>8</v>
      </c>
      <c r="P492" t="s">
        <v>8</v>
      </c>
      <c r="Q492" t="s">
        <v>8</v>
      </c>
      <c r="R492" t="s">
        <v>8</v>
      </c>
    </row>
    <row r="493" spans="1:18">
      <c r="A493" s="151" t="s">
        <v>2755</v>
      </c>
      <c r="B493" s="164"/>
      <c r="C493" s="152">
        <v>3</v>
      </c>
      <c r="D493" s="164"/>
      <c r="E493" s="164"/>
      <c r="F493" s="164"/>
      <c r="G493" s="164"/>
      <c r="H493" s="164"/>
      <c r="I493" s="164"/>
      <c r="J493" s="164"/>
      <c r="K493" s="67" t="s">
        <v>2820</v>
      </c>
      <c r="L493">
        <v>3</v>
      </c>
      <c r="M493" t="s">
        <v>8</v>
      </c>
      <c r="N493" t="s">
        <v>8</v>
      </c>
      <c r="O493" t="s">
        <v>8</v>
      </c>
      <c r="P493" t="s">
        <v>8</v>
      </c>
      <c r="Q493" t="s">
        <v>8</v>
      </c>
      <c r="R493" t="s">
        <v>8</v>
      </c>
    </row>
    <row r="494" spans="1:18">
      <c r="A494" s="151" t="s">
        <v>2756</v>
      </c>
      <c r="B494" s="164"/>
      <c r="C494" s="152">
        <v>3</v>
      </c>
      <c r="D494" s="164"/>
      <c r="E494" s="164"/>
      <c r="F494" s="164"/>
      <c r="G494" s="164"/>
      <c r="H494" s="164"/>
      <c r="I494" s="164"/>
      <c r="J494" s="164"/>
      <c r="K494" s="67" t="s">
        <v>2821</v>
      </c>
      <c r="L494">
        <v>3</v>
      </c>
      <c r="M494" t="s">
        <v>8</v>
      </c>
      <c r="N494" t="s">
        <v>8</v>
      </c>
      <c r="O494" t="s">
        <v>8</v>
      </c>
      <c r="P494" t="s">
        <v>8</v>
      </c>
      <c r="Q494" t="s">
        <v>8</v>
      </c>
      <c r="R494" t="s">
        <v>8</v>
      </c>
    </row>
    <row r="495" spans="1:18">
      <c r="A495" s="151" t="s">
        <v>2757</v>
      </c>
      <c r="B495" s="164"/>
      <c r="C495" s="152">
        <v>3</v>
      </c>
      <c r="D495" s="164"/>
      <c r="E495" s="164"/>
      <c r="F495" s="164"/>
      <c r="G495" s="164"/>
      <c r="H495" s="164"/>
      <c r="I495" s="164"/>
      <c r="J495" s="164"/>
      <c r="K495" s="67" t="s">
        <v>2821</v>
      </c>
      <c r="L495">
        <v>3</v>
      </c>
      <c r="M495" t="s">
        <v>8</v>
      </c>
      <c r="N495" t="s">
        <v>8</v>
      </c>
      <c r="O495" t="s">
        <v>8</v>
      </c>
      <c r="P495" t="s">
        <v>8</v>
      </c>
      <c r="Q495" t="s">
        <v>8</v>
      </c>
      <c r="R495" t="s">
        <v>8</v>
      </c>
    </row>
    <row r="496" spans="1:18">
      <c r="A496" s="151" t="s">
        <v>2758</v>
      </c>
      <c r="B496" s="164"/>
      <c r="C496" s="152">
        <v>3</v>
      </c>
      <c r="D496" s="164"/>
      <c r="E496" s="164"/>
      <c r="F496" s="164"/>
      <c r="G496" s="164"/>
      <c r="H496" s="164"/>
      <c r="I496" s="164"/>
      <c r="J496" s="164"/>
      <c r="K496" s="67" t="s">
        <v>2821</v>
      </c>
      <c r="L496">
        <v>3</v>
      </c>
      <c r="M496" t="s">
        <v>8</v>
      </c>
      <c r="N496" t="s">
        <v>8</v>
      </c>
      <c r="O496" t="s">
        <v>8</v>
      </c>
      <c r="P496" t="s">
        <v>8</v>
      </c>
      <c r="Q496" t="s">
        <v>8</v>
      </c>
      <c r="R496" t="s">
        <v>8</v>
      </c>
    </row>
    <row r="497" spans="1:18">
      <c r="A497" s="151" t="s">
        <v>2759</v>
      </c>
      <c r="B497" s="164"/>
      <c r="C497" s="152">
        <v>3</v>
      </c>
      <c r="D497" s="164"/>
      <c r="E497" s="164"/>
      <c r="F497" s="164"/>
      <c r="G497" s="164"/>
      <c r="H497" s="164"/>
      <c r="I497" s="164"/>
      <c r="J497" s="164"/>
      <c r="K497" s="67" t="s">
        <v>2822</v>
      </c>
      <c r="L497">
        <v>3</v>
      </c>
      <c r="M497" t="s">
        <v>8</v>
      </c>
      <c r="N497" t="s">
        <v>8</v>
      </c>
      <c r="O497" t="s">
        <v>8</v>
      </c>
      <c r="P497" t="s">
        <v>8</v>
      </c>
      <c r="Q497" t="s">
        <v>8</v>
      </c>
      <c r="R497" t="s">
        <v>8</v>
      </c>
    </row>
    <row r="498" spans="1:18">
      <c r="A498" s="151" t="s">
        <v>2760</v>
      </c>
      <c r="B498" s="164"/>
      <c r="C498" s="152">
        <v>3</v>
      </c>
      <c r="D498" s="164"/>
      <c r="E498" s="164"/>
      <c r="F498" s="164"/>
      <c r="G498" s="164"/>
      <c r="H498" s="164"/>
      <c r="I498" s="164"/>
      <c r="J498" s="164"/>
      <c r="K498" s="67" t="s">
        <v>2822</v>
      </c>
      <c r="L498">
        <v>3</v>
      </c>
      <c r="M498" t="s">
        <v>8</v>
      </c>
      <c r="N498" t="s">
        <v>8</v>
      </c>
      <c r="O498" t="s">
        <v>8</v>
      </c>
      <c r="P498" t="s">
        <v>8</v>
      </c>
      <c r="Q498" t="s">
        <v>8</v>
      </c>
      <c r="R498" t="s">
        <v>8</v>
      </c>
    </row>
    <row r="499" spans="1:18">
      <c r="A499" s="151" t="s">
        <v>2761</v>
      </c>
      <c r="B499" s="164"/>
      <c r="C499" s="152">
        <v>3</v>
      </c>
      <c r="D499" s="164"/>
      <c r="E499" s="164"/>
      <c r="F499" s="164"/>
      <c r="G499" s="164"/>
      <c r="H499" s="164"/>
      <c r="I499" s="164"/>
      <c r="J499" s="164"/>
      <c r="K499" s="67" t="s">
        <v>2822</v>
      </c>
      <c r="L499">
        <v>3</v>
      </c>
      <c r="M499" t="s">
        <v>8</v>
      </c>
      <c r="N499" t="s">
        <v>8</v>
      </c>
      <c r="O499" t="s">
        <v>8</v>
      </c>
      <c r="P499" t="s">
        <v>8</v>
      </c>
      <c r="Q499" t="s">
        <v>8</v>
      </c>
      <c r="R499" t="s">
        <v>8</v>
      </c>
    </row>
    <row r="500" spans="1:18">
      <c r="A500" s="151" t="s">
        <v>2762</v>
      </c>
      <c r="B500" s="164"/>
      <c r="C500" s="152">
        <v>3</v>
      </c>
      <c r="D500" s="164"/>
      <c r="E500" s="164"/>
      <c r="F500" s="164"/>
      <c r="G500" s="164"/>
      <c r="H500" s="164"/>
      <c r="I500" s="164"/>
      <c r="J500" s="164"/>
      <c r="K500" s="67" t="s">
        <v>2822</v>
      </c>
      <c r="L500">
        <v>3</v>
      </c>
      <c r="M500" t="s">
        <v>8</v>
      </c>
      <c r="N500" t="s">
        <v>8</v>
      </c>
      <c r="O500" t="s">
        <v>8</v>
      </c>
      <c r="P500" t="s">
        <v>8</v>
      </c>
      <c r="Q500" t="s">
        <v>8</v>
      </c>
      <c r="R500" t="s">
        <v>8</v>
      </c>
    </row>
    <row r="501" spans="1:18">
      <c r="A501" s="161" t="s">
        <v>2819</v>
      </c>
      <c r="B501" s="162"/>
      <c r="C501" s="152">
        <v>3</v>
      </c>
      <c r="D501" s="162"/>
      <c r="E501" s="162"/>
      <c r="F501" s="162"/>
      <c r="G501" s="162"/>
      <c r="H501" s="162"/>
      <c r="I501" s="162"/>
      <c r="J501" s="162"/>
      <c r="K501" s="67" t="s">
        <v>2823</v>
      </c>
      <c r="L501">
        <v>3</v>
      </c>
      <c r="M501" t="s">
        <v>8</v>
      </c>
      <c r="N501" t="s">
        <v>8</v>
      </c>
      <c r="O501" t="s">
        <v>8</v>
      </c>
      <c r="P501" t="s">
        <v>8</v>
      </c>
      <c r="Q501" t="s">
        <v>8</v>
      </c>
      <c r="R501" t="s">
        <v>8</v>
      </c>
    </row>
    <row r="502" spans="1:18">
      <c r="A502" s="151" t="s">
        <v>2751</v>
      </c>
      <c r="B502" s="164"/>
      <c r="C502" s="152">
        <v>3</v>
      </c>
      <c r="D502" s="164"/>
      <c r="E502" s="164"/>
      <c r="F502" s="164"/>
      <c r="G502" s="164"/>
      <c r="H502" s="164"/>
      <c r="I502" s="164"/>
      <c r="J502" s="164"/>
      <c r="K502" s="67" t="s">
        <v>2823</v>
      </c>
      <c r="L502">
        <v>3</v>
      </c>
      <c r="M502" t="s">
        <v>8</v>
      </c>
      <c r="N502" t="s">
        <v>8</v>
      </c>
      <c r="O502" t="s">
        <v>8</v>
      </c>
      <c r="P502" t="s">
        <v>8</v>
      </c>
      <c r="Q502" t="s">
        <v>8</v>
      </c>
      <c r="R502" t="s">
        <v>8</v>
      </c>
    </row>
    <row r="503" spans="1:18">
      <c r="A503" s="151" t="s">
        <v>2752</v>
      </c>
      <c r="B503" s="164"/>
      <c r="C503" s="152">
        <v>3</v>
      </c>
      <c r="D503" s="164"/>
      <c r="E503" s="164"/>
      <c r="F503" s="164"/>
      <c r="G503" s="164"/>
      <c r="H503" s="164"/>
      <c r="I503" s="164"/>
      <c r="J503" s="164"/>
      <c r="K503" s="67" t="s">
        <v>2823</v>
      </c>
      <c r="L503">
        <v>3</v>
      </c>
      <c r="M503" t="s">
        <v>8</v>
      </c>
      <c r="N503" t="s">
        <v>8</v>
      </c>
      <c r="O503" t="s">
        <v>8</v>
      </c>
      <c r="P503" t="s">
        <v>8</v>
      </c>
      <c r="Q503" t="s">
        <v>8</v>
      </c>
      <c r="R503" t="s">
        <v>8</v>
      </c>
    </row>
    <row r="504" spans="1:18">
      <c r="A504" s="151" t="s">
        <v>2753</v>
      </c>
      <c r="B504" s="164"/>
      <c r="C504" s="152">
        <v>3</v>
      </c>
      <c r="D504" s="164"/>
      <c r="E504" s="164"/>
      <c r="F504" s="164"/>
      <c r="G504" s="164"/>
      <c r="H504" s="164"/>
      <c r="I504" s="164"/>
      <c r="J504" s="164"/>
      <c r="K504" s="67" t="s">
        <v>2823</v>
      </c>
      <c r="L504">
        <v>3</v>
      </c>
      <c r="M504" t="s">
        <v>8</v>
      </c>
      <c r="N504" t="s">
        <v>8</v>
      </c>
      <c r="O504" t="s">
        <v>8</v>
      </c>
      <c r="P504" t="s">
        <v>8</v>
      </c>
      <c r="Q504" t="s">
        <v>8</v>
      </c>
      <c r="R504" t="s">
        <v>8</v>
      </c>
    </row>
    <row r="505" spans="1:18">
      <c r="A505" s="151" t="s">
        <v>2754</v>
      </c>
      <c r="B505" s="164"/>
      <c r="C505" s="152">
        <v>3</v>
      </c>
      <c r="D505" s="164"/>
      <c r="E505" s="164"/>
      <c r="F505" s="164"/>
      <c r="G505" s="164"/>
      <c r="H505" s="164"/>
      <c r="I505" s="164"/>
      <c r="J505" s="164"/>
      <c r="K505" s="67" t="s">
        <v>2824</v>
      </c>
      <c r="L505">
        <v>3</v>
      </c>
      <c r="M505" t="s">
        <v>8</v>
      </c>
      <c r="N505" t="s">
        <v>8</v>
      </c>
      <c r="O505" t="s">
        <v>8</v>
      </c>
      <c r="P505" t="s">
        <v>8</v>
      </c>
      <c r="Q505" t="s">
        <v>8</v>
      </c>
      <c r="R505" t="s">
        <v>8</v>
      </c>
    </row>
    <row r="506" spans="1:18">
      <c r="A506" s="151" t="s">
        <v>2739</v>
      </c>
      <c r="B506" s="164"/>
      <c r="C506" s="152">
        <v>4</v>
      </c>
      <c r="D506" s="164"/>
      <c r="E506" s="164"/>
      <c r="F506" s="164"/>
      <c r="G506" s="164"/>
      <c r="H506" s="164"/>
      <c r="I506" s="164"/>
      <c r="J506" s="164"/>
      <c r="K506" s="67" t="s">
        <v>2824</v>
      </c>
      <c r="L506">
        <v>4</v>
      </c>
      <c r="M506" t="s">
        <v>8</v>
      </c>
      <c r="N506" t="s">
        <v>8</v>
      </c>
      <c r="O506" t="s">
        <v>8</v>
      </c>
      <c r="P506" t="s">
        <v>8</v>
      </c>
      <c r="Q506" t="s">
        <v>8</v>
      </c>
      <c r="R506" t="s">
        <v>8</v>
      </c>
    </row>
    <row r="507" spans="1:18">
      <c r="A507" s="151" t="s">
        <v>2763</v>
      </c>
      <c r="B507" s="164"/>
      <c r="C507" s="152">
        <v>4</v>
      </c>
      <c r="D507" s="164"/>
      <c r="E507" s="164"/>
      <c r="F507" s="164"/>
      <c r="G507" s="164"/>
      <c r="H507" s="164"/>
      <c r="I507" s="164"/>
      <c r="J507" s="164"/>
      <c r="K507" s="67" t="s">
        <v>2824</v>
      </c>
      <c r="L507">
        <v>4</v>
      </c>
      <c r="M507" t="s">
        <v>8</v>
      </c>
      <c r="N507" t="s">
        <v>8</v>
      </c>
      <c r="O507" t="s">
        <v>8</v>
      </c>
      <c r="P507" t="s">
        <v>8</v>
      </c>
      <c r="Q507" t="s">
        <v>8</v>
      </c>
      <c r="R507" t="s">
        <v>8</v>
      </c>
    </row>
    <row r="508" spans="1:18">
      <c r="A508" s="151" t="s">
        <v>2764</v>
      </c>
      <c r="B508" s="164"/>
      <c r="C508" s="152">
        <v>4</v>
      </c>
      <c r="D508" s="164"/>
      <c r="E508" s="164"/>
      <c r="F508" s="164"/>
      <c r="G508" s="164"/>
      <c r="H508" s="164"/>
      <c r="I508" s="164"/>
      <c r="J508" s="164"/>
      <c r="K508" s="67" t="s">
        <v>2825</v>
      </c>
      <c r="L508">
        <v>4</v>
      </c>
      <c r="M508" t="s">
        <v>8</v>
      </c>
      <c r="N508" t="s">
        <v>8</v>
      </c>
      <c r="O508" t="s">
        <v>8</v>
      </c>
      <c r="P508" t="s">
        <v>8</v>
      </c>
      <c r="Q508" t="s">
        <v>8</v>
      </c>
      <c r="R508" t="s">
        <v>8</v>
      </c>
    </row>
    <row r="509" spans="1:18">
      <c r="A509" s="151" t="s">
        <v>2765</v>
      </c>
      <c r="B509" s="164"/>
      <c r="C509" s="152">
        <v>4</v>
      </c>
      <c r="D509" s="164"/>
      <c r="E509" s="164"/>
      <c r="F509" s="164"/>
      <c r="G509" s="164"/>
      <c r="H509" s="164"/>
      <c r="I509" s="164"/>
      <c r="J509" s="164"/>
      <c r="K509" s="67" t="s">
        <v>2826</v>
      </c>
      <c r="L509">
        <v>4</v>
      </c>
      <c r="M509" t="s">
        <v>8</v>
      </c>
      <c r="N509" t="s">
        <v>8</v>
      </c>
      <c r="O509" t="s">
        <v>8</v>
      </c>
      <c r="P509" t="s">
        <v>8</v>
      </c>
      <c r="Q509" t="s">
        <v>8</v>
      </c>
      <c r="R509" t="s">
        <v>8</v>
      </c>
    </row>
    <row r="510" spans="1:18">
      <c r="A510" s="151" t="s">
        <v>2766</v>
      </c>
      <c r="B510" s="164"/>
      <c r="C510" s="152">
        <v>4</v>
      </c>
      <c r="D510" s="164"/>
      <c r="E510" s="164"/>
      <c r="F510" s="164"/>
      <c r="G510" s="164"/>
      <c r="H510" s="164"/>
      <c r="I510" s="164"/>
      <c r="J510" s="164"/>
      <c r="K510" s="67" t="s">
        <v>2826</v>
      </c>
      <c r="L510">
        <v>4</v>
      </c>
      <c r="M510" t="s">
        <v>8</v>
      </c>
      <c r="N510" t="s">
        <v>8</v>
      </c>
      <c r="O510" t="s">
        <v>8</v>
      </c>
      <c r="P510" t="s">
        <v>8</v>
      </c>
      <c r="Q510" t="s">
        <v>8</v>
      </c>
      <c r="R510" t="s">
        <v>8</v>
      </c>
    </row>
    <row r="511" spans="1:18">
      <c r="A511" s="151" t="s">
        <v>2767</v>
      </c>
      <c r="B511" s="164"/>
      <c r="C511" s="152">
        <v>4</v>
      </c>
      <c r="D511" s="164"/>
      <c r="E511" s="164"/>
      <c r="F511" s="164"/>
      <c r="G511" s="164"/>
      <c r="H511" s="164"/>
      <c r="I511" s="164"/>
      <c r="J511" s="164"/>
      <c r="K511" s="67" t="s">
        <v>2826</v>
      </c>
      <c r="L511">
        <v>4</v>
      </c>
      <c r="M511" t="s">
        <v>8</v>
      </c>
      <c r="N511" t="s">
        <v>8</v>
      </c>
      <c r="O511" t="s">
        <v>8</v>
      </c>
      <c r="P511" t="s">
        <v>8</v>
      </c>
      <c r="Q511" t="s">
        <v>8</v>
      </c>
      <c r="R511" t="s">
        <v>8</v>
      </c>
    </row>
    <row r="512" spans="1:18">
      <c r="A512" s="151" t="s">
        <v>2768</v>
      </c>
      <c r="B512" s="164"/>
      <c r="C512" s="152">
        <v>4</v>
      </c>
      <c r="D512" s="164"/>
      <c r="E512" s="164"/>
      <c r="F512" s="164"/>
      <c r="G512" s="164"/>
      <c r="H512" s="164"/>
      <c r="I512" s="164"/>
      <c r="J512" s="164"/>
      <c r="K512" s="67" t="s">
        <v>2827</v>
      </c>
      <c r="L512">
        <v>4</v>
      </c>
      <c r="M512" t="s">
        <v>8</v>
      </c>
      <c r="N512" t="s">
        <v>8</v>
      </c>
      <c r="O512" t="s">
        <v>8</v>
      </c>
      <c r="P512" t="s">
        <v>8</v>
      </c>
      <c r="Q512" t="s">
        <v>8</v>
      </c>
      <c r="R512" t="s">
        <v>8</v>
      </c>
    </row>
    <row r="513" spans="1:18">
      <c r="A513" s="151" t="s">
        <v>2769</v>
      </c>
      <c r="B513" s="164"/>
      <c r="C513" s="152">
        <v>4</v>
      </c>
      <c r="D513" s="164"/>
      <c r="E513" s="164"/>
      <c r="F513" s="164"/>
      <c r="G513" s="164"/>
      <c r="H513" s="164"/>
      <c r="I513" s="164"/>
      <c r="J513" s="164"/>
      <c r="K513" s="67" t="s">
        <v>2827</v>
      </c>
      <c r="L513">
        <v>4</v>
      </c>
      <c r="M513" t="s">
        <v>8</v>
      </c>
      <c r="N513" t="s">
        <v>8</v>
      </c>
      <c r="O513" t="s">
        <v>8</v>
      </c>
      <c r="P513" t="s">
        <v>8</v>
      </c>
      <c r="Q513" t="s">
        <v>8</v>
      </c>
      <c r="R513" t="s">
        <v>8</v>
      </c>
    </row>
    <row r="514" spans="1:18">
      <c r="A514" s="151" t="s">
        <v>2770</v>
      </c>
      <c r="B514" s="164"/>
      <c r="C514" s="152">
        <v>4</v>
      </c>
      <c r="D514" s="164"/>
      <c r="E514" s="164"/>
      <c r="F514" s="164"/>
      <c r="G514" s="164"/>
      <c r="H514" s="164"/>
      <c r="I514" s="164"/>
      <c r="J514" s="164"/>
      <c r="K514" s="67" t="s">
        <v>2827</v>
      </c>
      <c r="L514">
        <v>4</v>
      </c>
      <c r="M514" t="s">
        <v>8</v>
      </c>
      <c r="N514" t="s">
        <v>8</v>
      </c>
      <c r="O514" t="s">
        <v>8</v>
      </c>
      <c r="P514" t="s">
        <v>8</v>
      </c>
      <c r="Q514" t="s">
        <v>8</v>
      </c>
      <c r="R514" t="s">
        <v>8</v>
      </c>
    </row>
    <row r="515" spans="1:18">
      <c r="A515" s="151" t="s">
        <v>2771</v>
      </c>
      <c r="B515" s="164"/>
      <c r="C515" s="152">
        <v>4</v>
      </c>
      <c r="D515" s="164"/>
      <c r="E515" s="164"/>
      <c r="F515" s="164"/>
      <c r="G515" s="164"/>
      <c r="H515" s="164"/>
      <c r="I515" s="164"/>
      <c r="J515" s="164"/>
      <c r="K515" s="67" t="s">
        <v>2827</v>
      </c>
      <c r="L515">
        <v>4</v>
      </c>
      <c r="M515" t="s">
        <v>8</v>
      </c>
      <c r="N515" t="s">
        <v>8</v>
      </c>
      <c r="O515" t="s">
        <v>8</v>
      </c>
      <c r="P515" t="s">
        <v>8</v>
      </c>
      <c r="Q515" t="s">
        <v>8</v>
      </c>
      <c r="R515" t="s">
        <v>8</v>
      </c>
    </row>
    <row r="516" spans="1:18">
      <c r="A516" s="151" t="s">
        <v>2772</v>
      </c>
      <c r="B516" s="164"/>
      <c r="C516" s="152">
        <v>4</v>
      </c>
      <c r="D516" s="164"/>
      <c r="E516" s="164"/>
      <c r="F516" s="164"/>
      <c r="G516" s="164"/>
      <c r="H516" s="164"/>
      <c r="I516" s="164"/>
      <c r="J516" s="164"/>
      <c r="K516" s="67" t="s">
        <v>2827</v>
      </c>
      <c r="L516">
        <v>4</v>
      </c>
      <c r="M516" t="s">
        <v>8</v>
      </c>
      <c r="N516" t="s">
        <v>8</v>
      </c>
      <c r="O516" t="s">
        <v>8</v>
      </c>
      <c r="P516" t="s">
        <v>8</v>
      </c>
      <c r="Q516" t="s">
        <v>8</v>
      </c>
      <c r="R516" t="s">
        <v>8</v>
      </c>
    </row>
    <row r="517" spans="1:18">
      <c r="A517" s="151" t="s">
        <v>2773</v>
      </c>
      <c r="B517" s="164"/>
      <c r="C517" s="152">
        <v>4</v>
      </c>
      <c r="D517" s="164"/>
      <c r="E517" s="164"/>
      <c r="F517" s="164"/>
      <c r="G517" s="164"/>
      <c r="H517" s="164"/>
      <c r="I517" s="164"/>
      <c r="J517" s="164"/>
      <c r="K517" s="67" t="s">
        <v>2828</v>
      </c>
      <c r="L517">
        <v>4</v>
      </c>
      <c r="M517" t="s">
        <v>8</v>
      </c>
      <c r="N517" t="s">
        <v>8</v>
      </c>
      <c r="O517" t="s">
        <v>8</v>
      </c>
      <c r="P517" t="s">
        <v>8</v>
      </c>
      <c r="Q517" t="s">
        <v>8</v>
      </c>
      <c r="R517" t="s">
        <v>8</v>
      </c>
    </row>
    <row r="518" spans="1:18">
      <c r="A518" s="151" t="s">
        <v>2774</v>
      </c>
      <c r="B518" s="164"/>
      <c r="C518" s="152">
        <v>4</v>
      </c>
      <c r="D518" s="164"/>
      <c r="E518" s="164"/>
      <c r="F518" s="164"/>
      <c r="G518" s="164"/>
      <c r="H518" s="164"/>
      <c r="I518" s="164"/>
      <c r="J518" s="164"/>
      <c r="K518" s="67" t="s">
        <v>2828</v>
      </c>
      <c r="L518">
        <v>4</v>
      </c>
      <c r="M518" t="s">
        <v>8</v>
      </c>
      <c r="N518" t="s">
        <v>8</v>
      </c>
      <c r="O518" t="s">
        <v>8</v>
      </c>
      <c r="P518" t="s">
        <v>8</v>
      </c>
      <c r="Q518" t="s">
        <v>8</v>
      </c>
      <c r="R518" t="s">
        <v>8</v>
      </c>
    </row>
    <row r="519" spans="1:18">
      <c r="A519" s="151" t="s">
        <v>2740</v>
      </c>
      <c r="B519" s="164"/>
      <c r="C519" s="152">
        <v>5</v>
      </c>
      <c r="D519" s="164"/>
      <c r="E519" s="164"/>
      <c r="F519" s="164"/>
      <c r="G519" s="164"/>
      <c r="H519" s="164"/>
      <c r="I519" s="164"/>
      <c r="J519" s="164"/>
      <c r="K519" s="67" t="s">
        <v>2829</v>
      </c>
      <c r="L519">
        <v>5</v>
      </c>
      <c r="M519" t="s">
        <v>8</v>
      </c>
      <c r="N519" t="s">
        <v>8</v>
      </c>
      <c r="O519" t="s">
        <v>8</v>
      </c>
      <c r="P519" t="s">
        <v>8</v>
      </c>
      <c r="Q519" t="s">
        <v>8</v>
      </c>
      <c r="R519" t="s">
        <v>8</v>
      </c>
    </row>
    <row r="520" spans="1:18">
      <c r="A520" s="151" t="s">
        <v>2775</v>
      </c>
      <c r="B520" s="164"/>
      <c r="C520" s="152">
        <v>5</v>
      </c>
      <c r="D520" s="164"/>
      <c r="E520" s="164"/>
      <c r="F520" s="164"/>
      <c r="G520" s="164"/>
      <c r="H520" s="164"/>
      <c r="I520" s="164"/>
      <c r="J520" s="164"/>
      <c r="K520" s="67" t="s">
        <v>2829</v>
      </c>
      <c r="L520">
        <v>5</v>
      </c>
      <c r="M520" t="s">
        <v>8</v>
      </c>
      <c r="N520" t="s">
        <v>8</v>
      </c>
      <c r="O520" t="s">
        <v>8</v>
      </c>
      <c r="P520" t="s">
        <v>8</v>
      </c>
      <c r="Q520" t="s">
        <v>8</v>
      </c>
      <c r="R520" t="s">
        <v>8</v>
      </c>
    </row>
    <row r="521" spans="1:18">
      <c r="A521" s="151" t="s">
        <v>2776</v>
      </c>
      <c r="B521" s="164"/>
      <c r="C521" s="152">
        <v>5</v>
      </c>
      <c r="D521" s="164"/>
      <c r="E521" s="164"/>
      <c r="F521" s="164"/>
      <c r="G521" s="164"/>
      <c r="H521" s="164"/>
      <c r="I521" s="164"/>
      <c r="J521" s="164"/>
      <c r="K521" s="67" t="s">
        <v>2830</v>
      </c>
      <c r="L521">
        <v>5</v>
      </c>
      <c r="M521" t="s">
        <v>8</v>
      </c>
      <c r="N521" t="s">
        <v>8</v>
      </c>
      <c r="O521" t="s">
        <v>8</v>
      </c>
      <c r="P521" t="s">
        <v>8</v>
      </c>
      <c r="Q521" t="s">
        <v>8</v>
      </c>
      <c r="R521" t="s">
        <v>8</v>
      </c>
    </row>
    <row r="522" spans="1:18">
      <c r="A522" s="151" t="s">
        <v>2777</v>
      </c>
      <c r="B522" s="164"/>
      <c r="C522" s="152">
        <v>5</v>
      </c>
      <c r="D522" s="164"/>
      <c r="E522" s="164"/>
      <c r="F522" s="164"/>
      <c r="G522" s="164"/>
      <c r="H522" s="164"/>
      <c r="I522" s="164"/>
      <c r="J522" s="164"/>
      <c r="K522" s="67" t="s">
        <v>2830</v>
      </c>
      <c r="L522">
        <v>5</v>
      </c>
      <c r="M522" t="s">
        <v>8</v>
      </c>
      <c r="N522" t="s">
        <v>8</v>
      </c>
      <c r="O522" t="s">
        <v>8</v>
      </c>
      <c r="P522" t="s">
        <v>8</v>
      </c>
      <c r="Q522" t="s">
        <v>8</v>
      </c>
      <c r="R522" t="s">
        <v>8</v>
      </c>
    </row>
    <row r="523" spans="1:18">
      <c r="A523" s="151" t="s">
        <v>2778</v>
      </c>
      <c r="B523" s="164"/>
      <c r="C523" s="152">
        <v>5</v>
      </c>
      <c r="D523" s="164"/>
      <c r="E523" s="164"/>
      <c r="F523" s="164"/>
      <c r="G523" s="164"/>
      <c r="H523" s="164"/>
      <c r="I523" s="164"/>
      <c r="J523" s="164"/>
      <c r="K523" s="67" t="s">
        <v>2830</v>
      </c>
      <c r="L523">
        <v>5</v>
      </c>
      <c r="M523" t="s">
        <v>8</v>
      </c>
      <c r="N523" t="s">
        <v>8</v>
      </c>
      <c r="O523" t="s">
        <v>8</v>
      </c>
      <c r="P523" t="s">
        <v>8</v>
      </c>
      <c r="Q523" t="s">
        <v>8</v>
      </c>
      <c r="R523" t="s">
        <v>8</v>
      </c>
    </row>
    <row r="524" spans="1:18">
      <c r="A524" s="151" t="s">
        <v>2779</v>
      </c>
      <c r="B524" s="164"/>
      <c r="C524" s="152">
        <v>5</v>
      </c>
      <c r="D524" s="164"/>
      <c r="E524" s="164"/>
      <c r="F524" s="164"/>
      <c r="G524" s="164"/>
      <c r="H524" s="164"/>
      <c r="I524" s="164"/>
      <c r="J524" s="164"/>
      <c r="K524" s="67" t="s">
        <v>2831</v>
      </c>
      <c r="L524">
        <v>5</v>
      </c>
      <c r="M524" t="s">
        <v>8</v>
      </c>
      <c r="N524" t="s">
        <v>8</v>
      </c>
      <c r="O524" t="s">
        <v>8</v>
      </c>
      <c r="P524" t="s">
        <v>8</v>
      </c>
      <c r="Q524" t="s">
        <v>8</v>
      </c>
      <c r="R524" t="s">
        <v>8</v>
      </c>
    </row>
    <row r="525" spans="1:18">
      <c r="A525" s="151" t="s">
        <v>2780</v>
      </c>
      <c r="B525" s="164"/>
      <c r="C525" s="152">
        <v>5</v>
      </c>
      <c r="D525" s="164"/>
      <c r="E525" s="164"/>
      <c r="F525" s="164"/>
      <c r="G525" s="164"/>
      <c r="H525" s="164"/>
      <c r="I525" s="164"/>
      <c r="J525" s="164"/>
      <c r="K525" s="67" t="s">
        <v>2831</v>
      </c>
      <c r="L525">
        <v>5</v>
      </c>
      <c r="M525" t="s">
        <v>8</v>
      </c>
      <c r="N525" t="s">
        <v>8</v>
      </c>
      <c r="O525" t="s">
        <v>8</v>
      </c>
      <c r="P525" t="s">
        <v>8</v>
      </c>
      <c r="Q525" t="s">
        <v>8</v>
      </c>
      <c r="R525" t="s">
        <v>8</v>
      </c>
    </row>
    <row r="526" spans="1:18">
      <c r="A526" s="151" t="s">
        <v>2781</v>
      </c>
      <c r="B526" s="164"/>
      <c r="C526" s="152">
        <v>5</v>
      </c>
      <c r="D526" s="164"/>
      <c r="E526" s="164"/>
      <c r="F526" s="164"/>
      <c r="G526" s="164"/>
      <c r="H526" s="164"/>
      <c r="I526" s="164"/>
      <c r="J526" s="164"/>
      <c r="K526" s="67" t="s">
        <v>2831</v>
      </c>
      <c r="L526">
        <v>5</v>
      </c>
      <c r="M526" t="s">
        <v>8</v>
      </c>
      <c r="N526" t="s">
        <v>8</v>
      </c>
      <c r="O526" t="s">
        <v>8</v>
      </c>
      <c r="P526" t="s">
        <v>8</v>
      </c>
      <c r="Q526" t="s">
        <v>8</v>
      </c>
      <c r="R526" t="s">
        <v>8</v>
      </c>
    </row>
    <row r="527" spans="1:18">
      <c r="A527" s="151" t="s">
        <v>2782</v>
      </c>
      <c r="B527" s="164"/>
      <c r="C527" s="152">
        <v>5</v>
      </c>
      <c r="D527" s="164"/>
      <c r="E527" s="164"/>
      <c r="F527" s="164"/>
      <c r="G527" s="164"/>
      <c r="H527" s="164"/>
      <c r="I527" s="164"/>
      <c r="J527" s="164"/>
      <c r="K527" s="67" t="s">
        <v>2832</v>
      </c>
      <c r="L527">
        <v>5</v>
      </c>
      <c r="M527" t="s">
        <v>8</v>
      </c>
      <c r="N527" t="s">
        <v>8</v>
      </c>
      <c r="O527" t="s">
        <v>8</v>
      </c>
      <c r="P527" t="s">
        <v>8</v>
      </c>
      <c r="Q527" t="s">
        <v>8</v>
      </c>
      <c r="R527" t="s">
        <v>8</v>
      </c>
    </row>
    <row r="528" spans="1:18">
      <c r="A528" s="151" t="s">
        <v>2741</v>
      </c>
      <c r="B528" s="164"/>
      <c r="C528" s="152">
        <v>6</v>
      </c>
      <c r="D528" s="164"/>
      <c r="E528" s="164"/>
      <c r="F528" s="164"/>
      <c r="G528" s="164"/>
      <c r="H528" s="164"/>
      <c r="I528" s="164"/>
      <c r="J528" s="164"/>
      <c r="K528" s="67" t="s">
        <v>2832</v>
      </c>
      <c r="L528">
        <v>6</v>
      </c>
      <c r="M528" t="s">
        <v>8</v>
      </c>
      <c r="N528" t="s">
        <v>8</v>
      </c>
      <c r="O528" t="s">
        <v>8</v>
      </c>
      <c r="P528" t="s">
        <v>8</v>
      </c>
      <c r="Q528" t="s">
        <v>8</v>
      </c>
      <c r="R528" t="s">
        <v>8</v>
      </c>
    </row>
    <row r="529" spans="1:18">
      <c r="A529" s="151" t="s">
        <v>2783</v>
      </c>
      <c r="B529" s="164"/>
      <c r="C529" s="152">
        <v>6</v>
      </c>
      <c r="D529" s="164"/>
      <c r="E529" s="164"/>
      <c r="F529" s="164"/>
      <c r="G529" s="164"/>
      <c r="H529" s="164"/>
      <c r="I529" s="164"/>
      <c r="J529" s="164"/>
      <c r="K529" s="67" t="s">
        <v>2832</v>
      </c>
      <c r="L529">
        <v>6</v>
      </c>
      <c r="M529" t="s">
        <v>8</v>
      </c>
      <c r="N529" t="s">
        <v>8</v>
      </c>
      <c r="O529" t="s">
        <v>8</v>
      </c>
      <c r="P529" t="s">
        <v>8</v>
      </c>
      <c r="Q529" t="s">
        <v>8</v>
      </c>
      <c r="R529" t="s">
        <v>8</v>
      </c>
    </row>
    <row r="530" spans="1:18">
      <c r="A530" s="151" t="s">
        <v>2833</v>
      </c>
      <c r="B530" s="164"/>
      <c r="C530" s="152">
        <v>6</v>
      </c>
      <c r="D530" s="164"/>
      <c r="E530" s="164"/>
      <c r="F530" s="164"/>
      <c r="G530" s="164"/>
      <c r="H530" s="164"/>
      <c r="I530" s="164"/>
      <c r="J530" s="164"/>
      <c r="K530" s="67" t="s">
        <v>2834</v>
      </c>
      <c r="L530">
        <v>6</v>
      </c>
      <c r="M530" t="s">
        <v>8</v>
      </c>
      <c r="N530" t="s">
        <v>8</v>
      </c>
      <c r="O530" t="s">
        <v>8</v>
      </c>
      <c r="P530" t="s">
        <v>8</v>
      </c>
      <c r="Q530" t="s">
        <v>8</v>
      </c>
      <c r="R530" t="s">
        <v>8</v>
      </c>
    </row>
    <row r="531" spans="1:18">
      <c r="A531" s="151" t="s">
        <v>2784</v>
      </c>
      <c r="B531" s="164"/>
      <c r="C531" s="152">
        <v>6</v>
      </c>
      <c r="D531" s="164"/>
      <c r="E531" s="164"/>
      <c r="F531" s="164"/>
      <c r="G531" s="164"/>
      <c r="H531" s="164"/>
      <c r="I531" s="164"/>
      <c r="J531" s="164"/>
      <c r="K531" s="67" t="s">
        <v>2834</v>
      </c>
      <c r="L531">
        <v>6</v>
      </c>
      <c r="M531" t="s">
        <v>8</v>
      </c>
      <c r="N531" t="s">
        <v>8</v>
      </c>
      <c r="O531" t="s">
        <v>8</v>
      </c>
      <c r="P531" t="s">
        <v>8</v>
      </c>
      <c r="Q531" t="s">
        <v>8</v>
      </c>
      <c r="R531" t="s">
        <v>8</v>
      </c>
    </row>
    <row r="532" spans="1:18">
      <c r="A532" s="151" t="s">
        <v>2785</v>
      </c>
      <c r="B532" s="164"/>
      <c r="C532" s="152">
        <v>6</v>
      </c>
      <c r="D532" s="164"/>
      <c r="E532" s="164"/>
      <c r="F532" s="164"/>
      <c r="G532" s="164"/>
      <c r="H532" s="164"/>
      <c r="I532" s="164"/>
      <c r="J532" s="164"/>
      <c r="K532" s="67" t="s">
        <v>2834</v>
      </c>
      <c r="L532">
        <v>6</v>
      </c>
      <c r="M532" t="s">
        <v>8</v>
      </c>
      <c r="N532" t="s">
        <v>8</v>
      </c>
      <c r="O532" t="s">
        <v>8</v>
      </c>
      <c r="P532" t="s">
        <v>8</v>
      </c>
      <c r="Q532" t="s">
        <v>8</v>
      </c>
      <c r="R532" t="s">
        <v>8</v>
      </c>
    </row>
    <row r="533" spans="1:18">
      <c r="A533" s="151" t="s">
        <v>2786</v>
      </c>
      <c r="B533" s="164"/>
      <c r="C533" s="152">
        <v>6</v>
      </c>
      <c r="D533" s="164"/>
      <c r="E533" s="164"/>
      <c r="F533" s="164"/>
      <c r="G533" s="164"/>
      <c r="H533" s="164"/>
      <c r="I533" s="164"/>
      <c r="J533" s="164"/>
      <c r="K533" s="67" t="s">
        <v>2834</v>
      </c>
      <c r="L533">
        <v>6</v>
      </c>
      <c r="M533" t="s">
        <v>8</v>
      </c>
      <c r="N533" t="s">
        <v>8</v>
      </c>
      <c r="O533" t="s">
        <v>8</v>
      </c>
      <c r="P533" t="s">
        <v>8</v>
      </c>
      <c r="Q533" t="s">
        <v>8</v>
      </c>
      <c r="R533" t="s">
        <v>8</v>
      </c>
    </row>
    <row r="534" spans="1:18">
      <c r="A534" s="151" t="s">
        <v>2787</v>
      </c>
      <c r="B534" s="164"/>
      <c r="C534" s="152">
        <v>6</v>
      </c>
      <c r="D534" s="164"/>
      <c r="E534" s="164"/>
      <c r="F534" s="164"/>
      <c r="G534" s="164"/>
      <c r="H534" s="164"/>
      <c r="I534" s="164"/>
      <c r="J534" s="164"/>
      <c r="K534" s="67" t="s">
        <v>2835</v>
      </c>
      <c r="L534">
        <v>6</v>
      </c>
      <c r="M534" t="s">
        <v>8</v>
      </c>
      <c r="N534" t="s">
        <v>8</v>
      </c>
      <c r="O534" t="s">
        <v>8</v>
      </c>
      <c r="P534" t="s">
        <v>8</v>
      </c>
      <c r="Q534" t="s">
        <v>8</v>
      </c>
      <c r="R534" t="s">
        <v>8</v>
      </c>
    </row>
    <row r="535" spans="1:18">
      <c r="A535" s="151" t="s">
        <v>2788</v>
      </c>
      <c r="B535" s="164"/>
      <c r="C535" s="152">
        <v>6</v>
      </c>
      <c r="D535" s="164"/>
      <c r="E535" s="164"/>
      <c r="F535" s="164"/>
      <c r="G535" s="164"/>
      <c r="H535" s="164"/>
      <c r="I535" s="164"/>
      <c r="J535" s="164"/>
      <c r="K535" s="67" t="s">
        <v>2835</v>
      </c>
      <c r="L535">
        <v>6</v>
      </c>
      <c r="M535" t="s">
        <v>8</v>
      </c>
      <c r="N535" t="s">
        <v>8</v>
      </c>
      <c r="O535" t="s">
        <v>8</v>
      </c>
      <c r="P535" t="s">
        <v>8</v>
      </c>
      <c r="Q535" t="s">
        <v>8</v>
      </c>
      <c r="R535" t="s">
        <v>8</v>
      </c>
    </row>
    <row r="536" spans="1:18">
      <c r="A536" s="151" t="s">
        <v>2742</v>
      </c>
      <c r="B536" s="164"/>
      <c r="C536" s="152">
        <v>7</v>
      </c>
      <c r="D536" s="164"/>
      <c r="E536" s="164"/>
      <c r="F536" s="164"/>
      <c r="G536" s="164"/>
      <c r="H536" s="164"/>
      <c r="I536" s="164"/>
      <c r="J536" s="164"/>
      <c r="K536" s="67" t="s">
        <v>2836</v>
      </c>
      <c r="L536">
        <v>7</v>
      </c>
      <c r="M536" t="s">
        <v>8</v>
      </c>
      <c r="N536" t="s">
        <v>8</v>
      </c>
      <c r="O536" t="s">
        <v>8</v>
      </c>
      <c r="P536" t="s">
        <v>8</v>
      </c>
      <c r="Q536" t="s">
        <v>8</v>
      </c>
      <c r="R536" t="s">
        <v>8</v>
      </c>
    </row>
    <row r="537" spans="1:18">
      <c r="A537" s="151" t="s">
        <v>2789</v>
      </c>
      <c r="B537" s="164"/>
      <c r="C537" s="152">
        <v>7</v>
      </c>
      <c r="D537" s="164"/>
      <c r="E537" s="164"/>
      <c r="F537" s="164"/>
      <c r="G537" s="164"/>
      <c r="H537" s="164"/>
      <c r="I537" s="164"/>
      <c r="J537" s="164"/>
      <c r="K537" s="67" t="s">
        <v>2836</v>
      </c>
      <c r="L537">
        <v>7</v>
      </c>
      <c r="M537" t="s">
        <v>8</v>
      </c>
      <c r="N537" t="s">
        <v>8</v>
      </c>
      <c r="O537" t="s">
        <v>8</v>
      </c>
      <c r="P537" t="s">
        <v>8</v>
      </c>
      <c r="Q537" t="s">
        <v>8</v>
      </c>
      <c r="R537" t="s">
        <v>8</v>
      </c>
    </row>
    <row r="538" spans="1:18">
      <c r="A538" s="151" t="s">
        <v>2790</v>
      </c>
      <c r="B538" s="164"/>
      <c r="C538" s="152">
        <v>7</v>
      </c>
      <c r="D538" s="164"/>
      <c r="E538" s="164"/>
      <c r="F538" s="164"/>
      <c r="G538" s="164"/>
      <c r="H538" s="164"/>
      <c r="I538" s="164"/>
      <c r="J538" s="164"/>
      <c r="K538" s="67" t="s">
        <v>2836</v>
      </c>
      <c r="L538">
        <v>7</v>
      </c>
      <c r="M538" t="s">
        <v>8</v>
      </c>
      <c r="N538" t="s">
        <v>8</v>
      </c>
      <c r="O538" t="s">
        <v>8</v>
      </c>
      <c r="P538" t="s">
        <v>8</v>
      </c>
      <c r="Q538" t="s">
        <v>8</v>
      </c>
      <c r="R538" t="s">
        <v>8</v>
      </c>
    </row>
    <row r="539" spans="1:18">
      <c r="A539" s="151" t="s">
        <v>2791</v>
      </c>
      <c r="B539" s="164"/>
      <c r="C539" s="152">
        <v>7</v>
      </c>
      <c r="D539" s="164"/>
      <c r="E539" s="164"/>
      <c r="F539" s="164"/>
      <c r="G539" s="164"/>
      <c r="H539" s="164"/>
      <c r="I539" s="164"/>
      <c r="J539" s="164"/>
      <c r="K539" s="67" t="s">
        <v>2836</v>
      </c>
      <c r="L539">
        <v>7</v>
      </c>
      <c r="M539" t="s">
        <v>8</v>
      </c>
      <c r="N539" t="s">
        <v>8</v>
      </c>
      <c r="O539" t="s">
        <v>8</v>
      </c>
      <c r="P539" t="s">
        <v>8</v>
      </c>
      <c r="Q539" t="s">
        <v>8</v>
      </c>
      <c r="R539" t="s">
        <v>8</v>
      </c>
    </row>
    <row r="540" spans="1:18">
      <c r="A540" s="151" t="s">
        <v>2792</v>
      </c>
      <c r="B540" s="164"/>
      <c r="C540" s="152">
        <v>7</v>
      </c>
      <c r="D540" s="164"/>
      <c r="E540" s="164"/>
      <c r="F540" s="164"/>
      <c r="G540" s="164"/>
      <c r="H540" s="164"/>
      <c r="I540" s="164"/>
      <c r="J540" s="164"/>
      <c r="K540" s="67" t="s">
        <v>2837</v>
      </c>
      <c r="L540">
        <v>7</v>
      </c>
      <c r="M540" t="s">
        <v>8</v>
      </c>
      <c r="N540" t="s">
        <v>8</v>
      </c>
      <c r="O540" t="s">
        <v>8</v>
      </c>
      <c r="P540" t="s">
        <v>8</v>
      </c>
      <c r="Q540" t="s">
        <v>8</v>
      </c>
      <c r="R540" t="s">
        <v>8</v>
      </c>
    </row>
    <row r="541" spans="1:18">
      <c r="A541" s="151" t="s">
        <v>2793</v>
      </c>
      <c r="B541" s="164"/>
      <c r="C541" s="152">
        <v>7</v>
      </c>
      <c r="D541" s="164"/>
      <c r="E541" s="164"/>
      <c r="F541" s="164"/>
      <c r="G541" s="164"/>
      <c r="H541" s="164"/>
      <c r="I541" s="164"/>
      <c r="J541" s="164"/>
      <c r="K541" s="67" t="s">
        <v>2838</v>
      </c>
      <c r="L541">
        <v>7</v>
      </c>
      <c r="M541" t="s">
        <v>8</v>
      </c>
      <c r="N541" t="s">
        <v>8</v>
      </c>
      <c r="O541" t="s">
        <v>8</v>
      </c>
      <c r="P541" t="s">
        <v>8</v>
      </c>
      <c r="Q541" t="s">
        <v>8</v>
      </c>
      <c r="R541" t="s">
        <v>8</v>
      </c>
    </row>
    <row r="542" spans="1:18">
      <c r="A542" s="151" t="s">
        <v>2794</v>
      </c>
      <c r="B542" s="164"/>
      <c r="C542" s="152">
        <v>7</v>
      </c>
      <c r="D542" s="164"/>
      <c r="E542" s="164"/>
      <c r="F542" s="164"/>
      <c r="G542" s="164"/>
      <c r="H542" s="164"/>
      <c r="I542" s="164"/>
      <c r="J542" s="164"/>
      <c r="K542" s="67" t="s">
        <v>2838</v>
      </c>
      <c r="L542">
        <v>7</v>
      </c>
      <c r="M542" t="s">
        <v>8</v>
      </c>
      <c r="N542" t="s">
        <v>8</v>
      </c>
      <c r="O542" t="s">
        <v>8</v>
      </c>
      <c r="P542" t="s">
        <v>8</v>
      </c>
      <c r="Q542" t="s">
        <v>8</v>
      </c>
      <c r="R542" t="s">
        <v>8</v>
      </c>
    </row>
    <row r="543" spans="1:18">
      <c r="A543" s="151" t="s">
        <v>2795</v>
      </c>
      <c r="B543" s="164"/>
      <c r="C543" s="152">
        <v>7</v>
      </c>
      <c r="D543" s="164"/>
      <c r="E543" s="164"/>
      <c r="F543" s="164"/>
      <c r="G543" s="164"/>
      <c r="H543" s="164"/>
      <c r="I543" s="164"/>
      <c r="J543" s="164"/>
      <c r="K543" s="67" t="s">
        <v>2838</v>
      </c>
      <c r="L543">
        <v>7</v>
      </c>
      <c r="M543" t="s">
        <v>8</v>
      </c>
      <c r="N543" t="s">
        <v>8</v>
      </c>
      <c r="O543" t="s">
        <v>8</v>
      </c>
      <c r="P543" t="s">
        <v>8</v>
      </c>
      <c r="Q543" t="s">
        <v>8</v>
      </c>
      <c r="R543" t="s">
        <v>8</v>
      </c>
    </row>
    <row r="544" spans="1:18">
      <c r="A544" s="151" t="s">
        <v>2796</v>
      </c>
      <c r="B544" s="164"/>
      <c r="C544" s="152">
        <v>7</v>
      </c>
      <c r="D544" s="164"/>
      <c r="E544" s="164"/>
      <c r="F544" s="164"/>
      <c r="G544" s="164"/>
      <c r="H544" s="164"/>
      <c r="I544" s="164"/>
      <c r="J544" s="164"/>
      <c r="K544" s="67" t="s">
        <v>2838</v>
      </c>
      <c r="L544">
        <v>7</v>
      </c>
      <c r="M544" t="s">
        <v>8</v>
      </c>
      <c r="N544" t="s">
        <v>8</v>
      </c>
      <c r="O544" t="s">
        <v>8</v>
      </c>
      <c r="P544" t="s">
        <v>8</v>
      </c>
      <c r="Q544" t="s">
        <v>8</v>
      </c>
      <c r="R544" t="s">
        <v>8</v>
      </c>
    </row>
    <row r="545" spans="1:18">
      <c r="A545" s="151" t="s">
        <v>2797</v>
      </c>
      <c r="B545" s="164"/>
      <c r="C545" s="152">
        <v>7</v>
      </c>
      <c r="D545" s="164"/>
      <c r="E545" s="164"/>
      <c r="F545" s="164"/>
      <c r="G545" s="164"/>
      <c r="H545" s="164"/>
      <c r="I545" s="164"/>
      <c r="J545" s="164"/>
      <c r="K545" s="67" t="s">
        <v>2839</v>
      </c>
      <c r="L545">
        <v>7</v>
      </c>
      <c r="M545" t="s">
        <v>8</v>
      </c>
      <c r="N545" t="s">
        <v>8</v>
      </c>
      <c r="O545" t="s">
        <v>8</v>
      </c>
      <c r="P545" t="s">
        <v>8</v>
      </c>
      <c r="Q545" t="s">
        <v>8</v>
      </c>
      <c r="R545" t="s">
        <v>8</v>
      </c>
    </row>
    <row r="546" spans="1:18">
      <c r="A546" s="151" t="s">
        <v>2743</v>
      </c>
      <c r="B546" s="164"/>
      <c r="C546" s="152">
        <v>8</v>
      </c>
      <c r="D546" s="164"/>
      <c r="E546" s="164"/>
      <c r="F546" s="164"/>
      <c r="G546" s="164"/>
      <c r="H546" s="164"/>
      <c r="I546" s="164"/>
      <c r="J546" s="164"/>
      <c r="K546" s="67" t="s">
        <v>2839</v>
      </c>
      <c r="L546">
        <v>8</v>
      </c>
      <c r="M546" t="s">
        <v>8</v>
      </c>
      <c r="N546" t="s">
        <v>8</v>
      </c>
      <c r="O546" t="s">
        <v>8</v>
      </c>
      <c r="P546" t="s">
        <v>8</v>
      </c>
      <c r="Q546" t="s">
        <v>8</v>
      </c>
      <c r="R546" t="s">
        <v>8</v>
      </c>
    </row>
    <row r="547" spans="1:18">
      <c r="A547" s="151" t="s">
        <v>2798</v>
      </c>
      <c r="B547" s="164"/>
      <c r="C547" s="152">
        <v>8</v>
      </c>
      <c r="D547" s="164"/>
      <c r="E547" s="164"/>
      <c r="F547" s="164"/>
      <c r="G547" s="164"/>
      <c r="H547" s="164"/>
      <c r="I547" s="164"/>
      <c r="J547" s="164"/>
      <c r="K547" s="67" t="s">
        <v>2839</v>
      </c>
      <c r="L547">
        <v>8</v>
      </c>
      <c r="M547" t="s">
        <v>8</v>
      </c>
      <c r="N547" t="s">
        <v>8</v>
      </c>
      <c r="O547" t="s">
        <v>8</v>
      </c>
      <c r="P547" t="s">
        <v>8</v>
      </c>
      <c r="Q547" t="s">
        <v>8</v>
      </c>
      <c r="R547" t="s">
        <v>8</v>
      </c>
    </row>
    <row r="548" spans="1:18">
      <c r="A548" s="151" t="s">
        <v>2799</v>
      </c>
      <c r="B548" s="164"/>
      <c r="C548" s="152">
        <v>8</v>
      </c>
      <c r="D548" s="164"/>
      <c r="E548" s="164"/>
      <c r="F548" s="164"/>
      <c r="G548" s="164"/>
      <c r="H548" s="164"/>
      <c r="I548" s="164"/>
      <c r="J548" s="164"/>
      <c r="K548" s="67" t="s">
        <v>2840</v>
      </c>
      <c r="L548">
        <v>8</v>
      </c>
      <c r="M548" t="s">
        <v>8</v>
      </c>
      <c r="N548" t="s">
        <v>8</v>
      </c>
      <c r="O548" t="s">
        <v>8</v>
      </c>
      <c r="P548" t="s">
        <v>8</v>
      </c>
      <c r="Q548" t="s">
        <v>8</v>
      </c>
      <c r="R548" t="s">
        <v>8</v>
      </c>
    </row>
    <row r="549" spans="1:18">
      <c r="A549" s="151" t="s">
        <v>2800</v>
      </c>
      <c r="B549" s="164"/>
      <c r="C549" s="152">
        <v>8</v>
      </c>
      <c r="D549" s="164"/>
      <c r="E549" s="164"/>
      <c r="F549" s="164"/>
      <c r="G549" s="164"/>
      <c r="H549" s="164"/>
      <c r="I549" s="164"/>
      <c r="J549" s="164"/>
      <c r="K549" s="67" t="s">
        <v>2840</v>
      </c>
      <c r="L549">
        <v>8</v>
      </c>
      <c r="M549" t="s">
        <v>8</v>
      </c>
      <c r="N549" t="s">
        <v>8</v>
      </c>
      <c r="O549" t="s">
        <v>8</v>
      </c>
      <c r="P549" t="s">
        <v>8</v>
      </c>
      <c r="Q549" t="s">
        <v>8</v>
      </c>
      <c r="R549" t="s">
        <v>8</v>
      </c>
    </row>
    <row r="550" spans="1:18">
      <c r="A550" s="151" t="s">
        <v>2801</v>
      </c>
      <c r="B550" s="164"/>
      <c r="C550" s="152">
        <v>8</v>
      </c>
      <c r="D550" s="164"/>
      <c r="E550" s="164"/>
      <c r="F550" s="164"/>
      <c r="G550" s="164"/>
      <c r="H550" s="164"/>
      <c r="I550" s="164"/>
      <c r="J550" s="164"/>
      <c r="K550" s="67" t="s">
        <v>2840</v>
      </c>
      <c r="L550">
        <v>8</v>
      </c>
      <c r="M550" t="s">
        <v>8</v>
      </c>
      <c r="N550" t="s">
        <v>8</v>
      </c>
      <c r="O550" t="s">
        <v>8</v>
      </c>
      <c r="P550" t="s">
        <v>8</v>
      </c>
      <c r="Q550" t="s">
        <v>8</v>
      </c>
      <c r="R550" t="s">
        <v>8</v>
      </c>
    </row>
    <row r="551" spans="1:18">
      <c r="A551" s="151" t="s">
        <v>2802</v>
      </c>
      <c r="B551" s="164"/>
      <c r="C551" s="152">
        <v>8</v>
      </c>
      <c r="D551" s="164"/>
      <c r="E551" s="164"/>
      <c r="F551" s="164"/>
      <c r="G551" s="164"/>
      <c r="H551" s="164"/>
      <c r="I551" s="164"/>
      <c r="J551" s="164"/>
      <c r="K551" s="67" t="s">
        <v>2841</v>
      </c>
      <c r="L551">
        <v>8</v>
      </c>
      <c r="M551" t="s">
        <v>8</v>
      </c>
      <c r="N551" t="s">
        <v>8</v>
      </c>
      <c r="O551" t="s">
        <v>8</v>
      </c>
      <c r="P551" t="s">
        <v>8</v>
      </c>
      <c r="Q551" t="s">
        <v>8</v>
      </c>
      <c r="R551" t="s">
        <v>8</v>
      </c>
    </row>
    <row r="552" spans="1:18">
      <c r="A552" s="151" t="s">
        <v>2744</v>
      </c>
      <c r="B552" s="164"/>
      <c r="C552" s="152">
        <v>9</v>
      </c>
      <c r="D552" s="164"/>
      <c r="E552" s="164"/>
      <c r="F552" s="164"/>
      <c r="G552" s="164"/>
      <c r="H552" s="164"/>
      <c r="I552" s="164"/>
      <c r="J552" s="164"/>
      <c r="K552" s="67" t="s">
        <v>2841</v>
      </c>
      <c r="L552">
        <v>9</v>
      </c>
      <c r="M552" t="s">
        <v>8</v>
      </c>
      <c r="N552" t="s">
        <v>8</v>
      </c>
      <c r="O552" t="s">
        <v>8</v>
      </c>
      <c r="P552" t="s">
        <v>8</v>
      </c>
      <c r="Q552" t="s">
        <v>8</v>
      </c>
      <c r="R552" t="s">
        <v>8</v>
      </c>
    </row>
    <row r="553" spans="1:18">
      <c r="A553" s="151" t="s">
        <v>2803</v>
      </c>
      <c r="B553" s="164"/>
      <c r="C553" s="152">
        <v>9</v>
      </c>
      <c r="D553" s="164"/>
      <c r="E553" s="164"/>
      <c r="F553" s="164"/>
      <c r="G553" s="164"/>
      <c r="H553" s="164"/>
      <c r="I553" s="164"/>
      <c r="J553" s="164"/>
      <c r="K553" s="67" t="s">
        <v>2842</v>
      </c>
      <c r="L553">
        <v>9</v>
      </c>
      <c r="M553" t="s">
        <v>8</v>
      </c>
      <c r="N553" t="s">
        <v>8</v>
      </c>
      <c r="O553" t="s">
        <v>8</v>
      </c>
      <c r="P553" t="s">
        <v>8</v>
      </c>
      <c r="Q553" t="s">
        <v>8</v>
      </c>
      <c r="R553" t="s">
        <v>8</v>
      </c>
    </row>
    <row r="554" spans="1:18">
      <c r="A554" s="151" t="s">
        <v>2804</v>
      </c>
      <c r="B554" s="164"/>
      <c r="C554" s="152">
        <v>9</v>
      </c>
      <c r="D554" s="164"/>
      <c r="E554" s="164"/>
      <c r="F554" s="164"/>
      <c r="G554" s="164"/>
      <c r="H554" s="164"/>
      <c r="I554" s="164"/>
      <c r="J554" s="164"/>
      <c r="K554" s="67" t="s">
        <v>2842</v>
      </c>
      <c r="L554">
        <v>9</v>
      </c>
      <c r="M554" t="s">
        <v>8</v>
      </c>
      <c r="N554" t="s">
        <v>8</v>
      </c>
      <c r="O554" t="s">
        <v>8</v>
      </c>
      <c r="P554" t="s">
        <v>8</v>
      </c>
      <c r="Q554" t="s">
        <v>8</v>
      </c>
      <c r="R554" t="s">
        <v>8</v>
      </c>
    </row>
    <row r="555" spans="1:18">
      <c r="A555" s="151" t="s">
        <v>2805</v>
      </c>
      <c r="B555" s="164"/>
      <c r="C555" s="152">
        <v>9</v>
      </c>
      <c r="D555" s="164"/>
      <c r="E555" s="164"/>
      <c r="F555" s="164"/>
      <c r="G555" s="164"/>
      <c r="H555" s="164"/>
      <c r="I555" s="164"/>
      <c r="J555" s="164"/>
      <c r="K555" s="67" t="s">
        <v>2843</v>
      </c>
      <c r="L555">
        <v>9</v>
      </c>
      <c r="M555" t="s">
        <v>8</v>
      </c>
      <c r="N555" t="s">
        <v>8</v>
      </c>
      <c r="O555" t="s">
        <v>8</v>
      </c>
      <c r="P555" t="s">
        <v>8</v>
      </c>
      <c r="Q555" t="s">
        <v>8</v>
      </c>
      <c r="R555" t="s">
        <v>8</v>
      </c>
    </row>
    <row r="556" spans="1:18">
      <c r="A556" s="151" t="s">
        <v>2806</v>
      </c>
      <c r="B556" s="164"/>
      <c r="C556" s="152">
        <v>9</v>
      </c>
      <c r="D556" s="164"/>
      <c r="E556" s="164"/>
      <c r="F556" s="164"/>
      <c r="G556" s="164"/>
      <c r="H556" s="164"/>
      <c r="I556" s="164"/>
      <c r="J556" s="164"/>
      <c r="K556" s="67" t="s">
        <v>2843</v>
      </c>
      <c r="L556">
        <v>9</v>
      </c>
      <c r="M556" t="s">
        <v>8</v>
      </c>
      <c r="N556" t="s">
        <v>8</v>
      </c>
      <c r="O556" t="s">
        <v>8</v>
      </c>
      <c r="P556" t="s">
        <v>8</v>
      </c>
      <c r="Q556" t="s">
        <v>8</v>
      </c>
      <c r="R556" t="s">
        <v>8</v>
      </c>
    </row>
    <row r="557" spans="1:18">
      <c r="A557" s="151" t="s">
        <v>2807</v>
      </c>
      <c r="B557" s="164"/>
      <c r="C557" s="152">
        <v>9</v>
      </c>
      <c r="D557" s="164"/>
      <c r="E557" s="164"/>
      <c r="F557" s="164"/>
      <c r="G557" s="164"/>
      <c r="H557" s="164"/>
      <c r="I557" s="164"/>
      <c r="J557" s="164"/>
      <c r="K557" s="67" t="s">
        <v>2843</v>
      </c>
      <c r="L557">
        <v>9</v>
      </c>
      <c r="M557" t="s">
        <v>8</v>
      </c>
      <c r="N557" t="s">
        <v>8</v>
      </c>
      <c r="O557" t="s">
        <v>8</v>
      </c>
      <c r="P557" t="s">
        <v>8</v>
      </c>
      <c r="Q557" t="s">
        <v>8</v>
      </c>
      <c r="R557" t="s">
        <v>8</v>
      </c>
    </row>
    <row r="558" spans="1:18">
      <c r="A558" s="151" t="s">
        <v>2808</v>
      </c>
      <c r="B558" s="164"/>
      <c r="C558" s="152">
        <v>9</v>
      </c>
      <c r="D558" s="164"/>
      <c r="E558" s="164"/>
      <c r="F558" s="164"/>
      <c r="G558" s="164"/>
      <c r="H558" s="164"/>
      <c r="I558" s="164"/>
      <c r="J558" s="164"/>
      <c r="K558" s="67" t="s">
        <v>2844</v>
      </c>
      <c r="L558">
        <v>9</v>
      </c>
      <c r="M558" t="s">
        <v>8</v>
      </c>
      <c r="N558" t="s">
        <v>8</v>
      </c>
      <c r="O558" t="s">
        <v>8</v>
      </c>
      <c r="P558" t="s">
        <v>8</v>
      </c>
      <c r="Q558" t="s">
        <v>8</v>
      </c>
      <c r="R558" t="s">
        <v>8</v>
      </c>
    </row>
    <row r="559" spans="1:18">
      <c r="A559" s="151" t="s">
        <v>2809</v>
      </c>
      <c r="B559" s="164"/>
      <c r="C559" s="152">
        <v>9</v>
      </c>
      <c r="D559" s="164"/>
      <c r="E559" s="164"/>
      <c r="F559" s="164"/>
      <c r="G559" s="164"/>
      <c r="H559" s="164"/>
      <c r="I559" s="164"/>
      <c r="J559" s="164"/>
      <c r="K559" s="67" t="s">
        <v>2844</v>
      </c>
      <c r="L559">
        <v>9</v>
      </c>
      <c r="M559" t="s">
        <v>8</v>
      </c>
      <c r="N559" t="s">
        <v>8</v>
      </c>
      <c r="O559" t="s">
        <v>8</v>
      </c>
      <c r="P559" t="s">
        <v>8</v>
      </c>
      <c r="Q559" t="s">
        <v>8</v>
      </c>
      <c r="R559" t="s">
        <v>8</v>
      </c>
    </row>
    <row r="560" spans="1:18">
      <c r="B560" s="31"/>
      <c r="H560" s="31"/>
    </row>
    <row r="561" spans="1:18">
      <c r="A561" s="144" t="s">
        <v>2104</v>
      </c>
      <c r="B561" s="31"/>
      <c r="H561" s="31"/>
    </row>
    <row r="562" spans="1:18">
      <c r="A562" s="83" t="s">
        <v>2475</v>
      </c>
      <c r="B562" s="31" t="s">
        <v>2692</v>
      </c>
      <c r="C562" s="152">
        <v>1</v>
      </c>
      <c r="D562" s="31" t="s">
        <v>1109</v>
      </c>
      <c r="E562" s="31" t="s">
        <v>2142</v>
      </c>
      <c r="F562" s="31" t="s">
        <v>2425</v>
      </c>
      <c r="G562" s="31" t="s">
        <v>2728</v>
      </c>
      <c r="H562" s="31" t="s">
        <v>2107</v>
      </c>
      <c r="I562" s="31" t="s">
        <v>1835</v>
      </c>
      <c r="J562" s="31" t="s">
        <v>2108</v>
      </c>
      <c r="K562" t="s">
        <v>2643</v>
      </c>
      <c r="L562">
        <v>1</v>
      </c>
      <c r="M562" t="s">
        <v>8</v>
      </c>
      <c r="N562" t="s">
        <v>8</v>
      </c>
      <c r="O562" t="s">
        <v>8</v>
      </c>
      <c r="P562" t="s">
        <v>8</v>
      </c>
      <c r="Q562" t="s">
        <v>8</v>
      </c>
      <c r="R562" t="s">
        <v>8</v>
      </c>
    </row>
    <row r="563" spans="1:18">
      <c r="A563" s="159" t="s">
        <v>2476</v>
      </c>
      <c r="B563" s="31" t="s">
        <v>718</v>
      </c>
      <c r="C563" s="152">
        <v>1</v>
      </c>
      <c r="D563" s="31" t="s">
        <v>1109</v>
      </c>
      <c r="E563" s="31" t="s">
        <v>2126</v>
      </c>
      <c r="F563" s="31">
        <v>1</v>
      </c>
      <c r="G563" s="31" t="s">
        <v>3089</v>
      </c>
      <c r="H563" s="31" t="s">
        <v>2110</v>
      </c>
      <c r="I563" s="31" t="s">
        <v>1834</v>
      </c>
      <c r="J563" s="31" t="s">
        <v>270</v>
      </c>
      <c r="K563" t="s">
        <v>2643</v>
      </c>
      <c r="L563">
        <v>1</v>
      </c>
      <c r="M563" t="s">
        <v>8</v>
      </c>
      <c r="N563" t="s">
        <v>8</v>
      </c>
      <c r="O563" t="s">
        <v>8</v>
      </c>
      <c r="P563" t="s">
        <v>8</v>
      </c>
      <c r="Q563" t="s">
        <v>8</v>
      </c>
      <c r="R563" t="s">
        <v>8</v>
      </c>
    </row>
    <row r="564" spans="1:18">
      <c r="A564" s="159" t="s">
        <v>2477</v>
      </c>
      <c r="B564" s="31" t="s">
        <v>2693</v>
      </c>
      <c r="C564" s="152">
        <v>1</v>
      </c>
      <c r="D564" s="31" t="s">
        <v>1113</v>
      </c>
      <c r="E564" s="31" t="s">
        <v>3090</v>
      </c>
      <c r="F564" s="31" t="s">
        <v>2111</v>
      </c>
      <c r="G564" s="31" t="s">
        <v>3710</v>
      </c>
      <c r="H564" s="31" t="s">
        <v>2107</v>
      </c>
      <c r="I564" s="31" t="s">
        <v>1834</v>
      </c>
      <c r="J564" s="31" t="s">
        <v>2120</v>
      </c>
      <c r="K564" t="s">
        <v>2643</v>
      </c>
      <c r="L564">
        <v>1</v>
      </c>
      <c r="M564" t="s">
        <v>8</v>
      </c>
      <c r="N564" t="s">
        <v>8</v>
      </c>
      <c r="O564" t="s">
        <v>8</v>
      </c>
      <c r="P564" t="s">
        <v>8</v>
      </c>
      <c r="Q564" t="s">
        <v>8</v>
      </c>
      <c r="R564" t="s">
        <v>8</v>
      </c>
    </row>
    <row r="565" spans="1:18">
      <c r="A565" s="159" t="s">
        <v>2478</v>
      </c>
      <c r="B565" s="31" t="s">
        <v>2694</v>
      </c>
      <c r="C565" s="152">
        <v>1</v>
      </c>
      <c r="D565" s="31" t="s">
        <v>1118</v>
      </c>
      <c r="E565" s="31" t="s">
        <v>2142</v>
      </c>
      <c r="F565" s="31" t="s">
        <v>2111</v>
      </c>
      <c r="G565" s="31" t="s">
        <v>3711</v>
      </c>
      <c r="H565" s="31" t="s">
        <v>2107</v>
      </c>
      <c r="I565" s="31" t="s">
        <v>1834</v>
      </c>
      <c r="J565" s="31" t="s">
        <v>2120</v>
      </c>
      <c r="K565" t="s">
        <v>2644</v>
      </c>
      <c r="L565">
        <v>1</v>
      </c>
      <c r="M565" t="s">
        <v>8</v>
      </c>
      <c r="N565" t="s">
        <v>8</v>
      </c>
      <c r="O565" t="s">
        <v>8</v>
      </c>
      <c r="P565" t="s">
        <v>8</v>
      </c>
      <c r="Q565" t="s">
        <v>8</v>
      </c>
      <c r="R565" t="s">
        <v>8</v>
      </c>
    </row>
    <row r="566" spans="1:18">
      <c r="A566" s="159" t="s">
        <v>2479</v>
      </c>
      <c r="B566" s="31" t="s">
        <v>2135</v>
      </c>
      <c r="C566" s="152">
        <v>1</v>
      </c>
      <c r="D566" s="31" t="str">
        <f>"0"</f>
        <v>0</v>
      </c>
      <c r="E566" s="31" t="s">
        <v>3091</v>
      </c>
      <c r="F566" s="31">
        <v>4</v>
      </c>
      <c r="G566" s="31" t="s">
        <v>3103</v>
      </c>
      <c r="H566" s="31" t="s">
        <v>2107</v>
      </c>
      <c r="I566" s="31" t="s">
        <v>1835</v>
      </c>
      <c r="J566" s="31" t="s">
        <v>2120</v>
      </c>
      <c r="K566" t="s">
        <v>2644</v>
      </c>
      <c r="L566">
        <v>1</v>
      </c>
      <c r="M566" t="s">
        <v>8</v>
      </c>
      <c r="N566" t="s">
        <v>8</v>
      </c>
      <c r="O566" t="s">
        <v>8</v>
      </c>
      <c r="P566" t="s">
        <v>8</v>
      </c>
      <c r="Q566" t="s">
        <v>8</v>
      </c>
      <c r="R566" t="s">
        <v>8</v>
      </c>
    </row>
    <row r="567" spans="1:18">
      <c r="A567" s="159" t="s">
        <v>2642</v>
      </c>
      <c r="B567" s="31" t="s">
        <v>2135</v>
      </c>
      <c r="C567" s="152">
        <v>1</v>
      </c>
      <c r="D567" s="31" t="s">
        <v>1118</v>
      </c>
      <c r="E567" s="31" t="s">
        <v>3092</v>
      </c>
      <c r="F567" s="31" t="s">
        <v>2111</v>
      </c>
      <c r="G567" s="31" t="s">
        <v>2407</v>
      </c>
      <c r="H567" s="31" t="s">
        <v>2107</v>
      </c>
      <c r="I567" s="31" t="s">
        <v>1835</v>
      </c>
      <c r="J567" s="31" t="s">
        <v>2120</v>
      </c>
      <c r="K567" t="s">
        <v>2644</v>
      </c>
      <c r="L567">
        <v>1</v>
      </c>
      <c r="M567" t="s">
        <v>8</v>
      </c>
      <c r="N567" t="s">
        <v>8</v>
      </c>
      <c r="O567" t="s">
        <v>8</v>
      </c>
      <c r="P567" t="s">
        <v>8</v>
      </c>
      <c r="Q567" t="s">
        <v>8</v>
      </c>
      <c r="R567" t="s">
        <v>8</v>
      </c>
    </row>
    <row r="568" spans="1:18">
      <c r="A568" s="159" t="s">
        <v>2480</v>
      </c>
      <c r="B568" s="31" t="s">
        <v>2693</v>
      </c>
      <c r="C568" s="152">
        <v>1</v>
      </c>
      <c r="D568" s="31" t="s">
        <v>2128</v>
      </c>
      <c r="E568" s="31" t="s">
        <v>3093</v>
      </c>
      <c r="F568" s="31" t="s">
        <v>2111</v>
      </c>
      <c r="G568" s="31" t="s">
        <v>2407</v>
      </c>
      <c r="H568" s="31" t="s">
        <v>2107</v>
      </c>
      <c r="I568" s="31" t="s">
        <v>1834</v>
      </c>
      <c r="J568" s="31" t="s">
        <v>2120</v>
      </c>
      <c r="K568" t="s">
        <v>2644</v>
      </c>
      <c r="L568">
        <v>1</v>
      </c>
      <c r="M568" t="s">
        <v>8</v>
      </c>
      <c r="N568" t="s">
        <v>8</v>
      </c>
      <c r="O568" t="s">
        <v>8</v>
      </c>
      <c r="P568" t="s">
        <v>8</v>
      </c>
      <c r="Q568" t="s">
        <v>8</v>
      </c>
      <c r="R568" t="s">
        <v>8</v>
      </c>
    </row>
    <row r="569" spans="1:18">
      <c r="A569" s="159" t="s">
        <v>2481</v>
      </c>
      <c r="B569" s="31" t="s">
        <v>2135</v>
      </c>
      <c r="C569" s="152">
        <v>1</v>
      </c>
      <c r="D569" s="31" t="str">
        <f>"0"</f>
        <v>0</v>
      </c>
      <c r="E569" s="31" t="s">
        <v>3094</v>
      </c>
      <c r="F569" s="31">
        <v>4</v>
      </c>
      <c r="G569" s="31" t="s">
        <v>2126</v>
      </c>
      <c r="H569" s="31" t="s">
        <v>2107</v>
      </c>
      <c r="I569" s="31" t="s">
        <v>1835</v>
      </c>
      <c r="J569" s="31" t="s">
        <v>2120</v>
      </c>
      <c r="K569" t="s">
        <v>2645</v>
      </c>
      <c r="L569">
        <v>1</v>
      </c>
      <c r="M569" t="s">
        <v>8</v>
      </c>
      <c r="N569" t="s">
        <v>8</v>
      </c>
      <c r="O569" t="s">
        <v>8</v>
      </c>
      <c r="P569" t="s">
        <v>8</v>
      </c>
      <c r="Q569" t="s">
        <v>8</v>
      </c>
      <c r="R569" t="s">
        <v>8</v>
      </c>
    </row>
    <row r="570" spans="1:18">
      <c r="A570" s="159" t="s">
        <v>2482</v>
      </c>
      <c r="B570" s="31" t="s">
        <v>2695</v>
      </c>
      <c r="C570" s="152">
        <v>1</v>
      </c>
      <c r="D570" s="31" t="s">
        <v>1383</v>
      </c>
      <c r="E570" s="31" t="s">
        <v>3092</v>
      </c>
      <c r="F570" s="31">
        <v>4</v>
      </c>
      <c r="G570" s="31" t="s">
        <v>3712</v>
      </c>
      <c r="H570" s="31" t="s">
        <v>2107</v>
      </c>
      <c r="I570" s="31" t="s">
        <v>1835</v>
      </c>
      <c r="J570" s="166" t="s">
        <v>2267</v>
      </c>
      <c r="K570" t="s">
        <v>2645</v>
      </c>
      <c r="L570">
        <v>1</v>
      </c>
      <c r="M570" t="s">
        <v>8</v>
      </c>
      <c r="N570" t="s">
        <v>8</v>
      </c>
      <c r="O570" t="s">
        <v>8</v>
      </c>
      <c r="P570" t="s">
        <v>8</v>
      </c>
      <c r="Q570" t="s">
        <v>8</v>
      </c>
      <c r="R570" t="s">
        <v>8</v>
      </c>
    </row>
    <row r="571" spans="1:18">
      <c r="A571" s="159" t="s">
        <v>2483</v>
      </c>
      <c r="B571" s="31" t="s">
        <v>2696</v>
      </c>
      <c r="C571" s="152">
        <v>1</v>
      </c>
      <c r="D571" s="31" t="s">
        <v>2122</v>
      </c>
      <c r="E571" s="31" t="s">
        <v>3095</v>
      </c>
      <c r="F571" s="31" t="s">
        <v>2111</v>
      </c>
      <c r="G571" s="31" t="s">
        <v>2403</v>
      </c>
      <c r="H571" s="31" t="s">
        <v>2110</v>
      </c>
      <c r="I571" s="31" t="s">
        <v>1835</v>
      </c>
      <c r="J571" s="31" t="s">
        <v>2120</v>
      </c>
      <c r="K571" t="s">
        <v>2645</v>
      </c>
      <c r="L571">
        <v>1</v>
      </c>
      <c r="M571" t="s">
        <v>8</v>
      </c>
      <c r="N571" t="s">
        <v>8</v>
      </c>
      <c r="O571" t="s">
        <v>8</v>
      </c>
      <c r="P571" t="s">
        <v>8</v>
      </c>
      <c r="Q571" t="s">
        <v>8</v>
      </c>
      <c r="R571" t="s">
        <v>8</v>
      </c>
    </row>
    <row r="572" spans="1:18">
      <c r="A572" s="165" t="s">
        <v>2484</v>
      </c>
      <c r="B572" s="31" t="s">
        <v>2697</v>
      </c>
      <c r="C572" s="152">
        <v>1</v>
      </c>
      <c r="D572" s="31" t="s">
        <v>2122</v>
      </c>
      <c r="E572" s="31" t="s">
        <v>3096</v>
      </c>
      <c r="F572" s="31">
        <v>2</v>
      </c>
      <c r="G572" s="31" t="s">
        <v>3102</v>
      </c>
      <c r="H572" s="31" t="s">
        <v>2107</v>
      </c>
      <c r="I572" s="31" t="s">
        <v>1835</v>
      </c>
      <c r="J572" s="31" t="s">
        <v>2120</v>
      </c>
      <c r="K572" t="s">
        <v>2645</v>
      </c>
      <c r="L572">
        <v>1</v>
      </c>
      <c r="M572" t="s">
        <v>8</v>
      </c>
      <c r="N572" t="s">
        <v>8</v>
      </c>
      <c r="O572" t="s">
        <v>8</v>
      </c>
      <c r="P572" t="s">
        <v>8</v>
      </c>
      <c r="Q572" t="s">
        <v>8</v>
      </c>
      <c r="R572" t="s">
        <v>8</v>
      </c>
    </row>
    <row r="573" spans="1:18">
      <c r="A573" s="159" t="s">
        <v>2485</v>
      </c>
      <c r="B573" s="31" t="s">
        <v>718</v>
      </c>
      <c r="C573" s="152">
        <v>1</v>
      </c>
      <c r="D573" s="31" t="s">
        <v>1118</v>
      </c>
      <c r="E573" s="31" t="s">
        <v>2111</v>
      </c>
      <c r="F573" s="31">
        <v>1</v>
      </c>
      <c r="G573" s="31" t="s">
        <v>2127</v>
      </c>
      <c r="H573" s="31" t="s">
        <v>2151</v>
      </c>
      <c r="I573" s="31" t="s">
        <v>1835</v>
      </c>
      <c r="J573" s="31" t="s">
        <v>2120</v>
      </c>
      <c r="K573" t="s">
        <v>2645</v>
      </c>
      <c r="L573">
        <v>1</v>
      </c>
      <c r="M573" t="s">
        <v>8</v>
      </c>
      <c r="N573" t="s">
        <v>8</v>
      </c>
      <c r="O573" t="s">
        <v>8</v>
      </c>
      <c r="P573" t="s">
        <v>8</v>
      </c>
      <c r="Q573" t="s">
        <v>8</v>
      </c>
      <c r="R573" t="s">
        <v>8</v>
      </c>
    </row>
    <row r="574" spans="1:18">
      <c r="A574" s="159" t="s">
        <v>2486</v>
      </c>
      <c r="B574" s="31" t="s">
        <v>2692</v>
      </c>
      <c r="C574" s="152">
        <v>1</v>
      </c>
      <c r="D574" s="31" t="s">
        <v>2122</v>
      </c>
      <c r="E574" s="31" t="s">
        <v>3094</v>
      </c>
      <c r="F574" s="31">
        <v>4</v>
      </c>
      <c r="G574" s="31" t="s">
        <v>3101</v>
      </c>
      <c r="H574" s="31" t="s">
        <v>2263</v>
      </c>
      <c r="I574" s="31" t="s">
        <v>1835</v>
      </c>
      <c r="J574" s="31" t="s">
        <v>2120</v>
      </c>
      <c r="K574" t="s">
        <v>2646</v>
      </c>
      <c r="L574">
        <v>1</v>
      </c>
      <c r="M574" t="s">
        <v>8</v>
      </c>
      <c r="N574" t="s">
        <v>8</v>
      </c>
      <c r="O574" t="s">
        <v>8</v>
      </c>
      <c r="P574" t="s">
        <v>8</v>
      </c>
      <c r="Q574" t="s">
        <v>8</v>
      </c>
      <c r="R574" t="s">
        <v>8</v>
      </c>
    </row>
    <row r="575" spans="1:18">
      <c r="A575" s="159" t="s">
        <v>2487</v>
      </c>
      <c r="B575" s="31" t="s">
        <v>2698</v>
      </c>
      <c r="C575" s="152">
        <v>1</v>
      </c>
      <c r="D575" s="31" t="s">
        <v>2122</v>
      </c>
      <c r="E575" s="31" t="s">
        <v>3090</v>
      </c>
      <c r="F575" s="31">
        <v>4</v>
      </c>
      <c r="G575" s="31" t="s">
        <v>2403</v>
      </c>
      <c r="H575" s="31" t="s">
        <v>2107</v>
      </c>
      <c r="I575" s="31" t="s">
        <v>1835</v>
      </c>
      <c r="J575" s="31" t="s">
        <v>270</v>
      </c>
      <c r="K575" t="s">
        <v>2646</v>
      </c>
      <c r="L575">
        <v>1</v>
      </c>
      <c r="M575" t="s">
        <v>8</v>
      </c>
      <c r="N575" t="s">
        <v>8</v>
      </c>
      <c r="O575" t="s">
        <v>8</v>
      </c>
      <c r="P575" t="s">
        <v>8</v>
      </c>
      <c r="Q575" t="s">
        <v>8</v>
      </c>
      <c r="R575" t="s">
        <v>8</v>
      </c>
    </row>
    <row r="576" spans="1:18">
      <c r="A576" s="159" t="s">
        <v>2488</v>
      </c>
      <c r="B576" s="31" t="s">
        <v>2699</v>
      </c>
      <c r="C576" s="152">
        <v>1</v>
      </c>
      <c r="D576" s="31" t="s">
        <v>3088</v>
      </c>
      <c r="E576" s="31" t="s">
        <v>2148</v>
      </c>
      <c r="F576" s="31" t="s">
        <v>2111</v>
      </c>
      <c r="G576" s="31" t="s">
        <v>3100</v>
      </c>
      <c r="H576" s="31" t="s">
        <v>2107</v>
      </c>
      <c r="I576" s="31" t="s">
        <v>1835</v>
      </c>
      <c r="J576" s="31" t="s">
        <v>2120</v>
      </c>
      <c r="K576" t="s">
        <v>2646</v>
      </c>
      <c r="L576">
        <v>1</v>
      </c>
      <c r="M576" t="s">
        <v>8</v>
      </c>
      <c r="N576" t="s">
        <v>8</v>
      </c>
      <c r="O576" t="s">
        <v>8</v>
      </c>
      <c r="P576" t="s">
        <v>8</v>
      </c>
      <c r="Q576" t="s">
        <v>8</v>
      </c>
      <c r="R576" t="s">
        <v>8</v>
      </c>
    </row>
    <row r="577" spans="1:18">
      <c r="A577" s="159" t="s">
        <v>2489</v>
      </c>
      <c r="B577" s="31" t="s">
        <v>2700</v>
      </c>
      <c r="C577" s="152">
        <v>1</v>
      </c>
      <c r="D577" s="31" t="s">
        <v>1383</v>
      </c>
      <c r="E577" s="31" t="s">
        <v>3091</v>
      </c>
      <c r="F577" s="31">
        <v>4</v>
      </c>
      <c r="G577" s="31" t="s">
        <v>3738</v>
      </c>
      <c r="H577" s="31" t="s">
        <v>2262</v>
      </c>
      <c r="I577" s="31" t="s">
        <v>1835</v>
      </c>
      <c r="J577" s="31" t="s">
        <v>2120</v>
      </c>
      <c r="K577" t="s">
        <v>2646</v>
      </c>
      <c r="L577">
        <v>1</v>
      </c>
      <c r="M577" t="s">
        <v>8</v>
      </c>
      <c r="N577" t="s">
        <v>8</v>
      </c>
      <c r="O577" t="s">
        <v>8</v>
      </c>
      <c r="P577" t="s">
        <v>8</v>
      </c>
      <c r="Q577" t="s">
        <v>8</v>
      </c>
      <c r="R577" t="s">
        <v>8</v>
      </c>
    </row>
    <row r="578" spans="1:18">
      <c r="A578" s="159" t="s">
        <v>2641</v>
      </c>
      <c r="B578" s="31" t="s">
        <v>2726</v>
      </c>
      <c r="C578" s="152">
        <v>1</v>
      </c>
      <c r="D578" s="31" t="s">
        <v>2128</v>
      </c>
      <c r="E578" s="31" t="s">
        <v>2303</v>
      </c>
      <c r="F578" s="31">
        <v>4</v>
      </c>
      <c r="G578" s="31" t="s">
        <v>2465</v>
      </c>
      <c r="H578" s="31" t="s">
        <v>2110</v>
      </c>
      <c r="I578" s="31" t="s">
        <v>1834</v>
      </c>
      <c r="J578" s="31" t="s">
        <v>270</v>
      </c>
      <c r="K578" t="s">
        <v>2646</v>
      </c>
      <c r="L578">
        <v>1</v>
      </c>
      <c r="M578" t="s">
        <v>8</v>
      </c>
      <c r="N578" t="s">
        <v>8</v>
      </c>
      <c r="O578" t="s">
        <v>8</v>
      </c>
      <c r="P578" t="s">
        <v>8</v>
      </c>
      <c r="Q578" t="s">
        <v>8</v>
      </c>
      <c r="R578" t="s">
        <v>8</v>
      </c>
    </row>
    <row r="579" spans="1:18">
      <c r="A579" s="159" t="s">
        <v>2490</v>
      </c>
      <c r="B579" s="31" t="s">
        <v>2695</v>
      </c>
      <c r="C579" s="152">
        <v>1</v>
      </c>
      <c r="D579" s="31" t="s">
        <v>2122</v>
      </c>
      <c r="E579" s="31" t="s">
        <v>3097</v>
      </c>
      <c r="F579" s="31" t="s">
        <v>2111</v>
      </c>
      <c r="G579" s="31" t="s">
        <v>2403</v>
      </c>
      <c r="H579" s="31" t="s">
        <v>2107</v>
      </c>
      <c r="I579" s="31" t="s">
        <v>1835</v>
      </c>
      <c r="J579" s="31" t="s">
        <v>2120</v>
      </c>
      <c r="K579" t="s">
        <v>2647</v>
      </c>
      <c r="L579">
        <v>1</v>
      </c>
      <c r="M579" t="s">
        <v>8</v>
      </c>
      <c r="N579" t="s">
        <v>8</v>
      </c>
      <c r="O579" t="s">
        <v>8</v>
      </c>
      <c r="P579" t="s">
        <v>8</v>
      </c>
      <c r="Q579" t="s">
        <v>8</v>
      </c>
      <c r="R579" t="s">
        <v>8</v>
      </c>
    </row>
    <row r="580" spans="1:18">
      <c r="A580" s="159" t="s">
        <v>2491</v>
      </c>
      <c r="B580" s="31" t="s">
        <v>2701</v>
      </c>
      <c r="C580" s="152">
        <v>1</v>
      </c>
      <c r="D580" s="31" t="str">
        <f>"0"</f>
        <v>0</v>
      </c>
      <c r="E580" s="31" t="s">
        <v>2126</v>
      </c>
      <c r="F580" s="31">
        <v>4</v>
      </c>
      <c r="G580" s="31" t="s">
        <v>2126</v>
      </c>
      <c r="H580" s="31" t="s">
        <v>2107</v>
      </c>
      <c r="I580" s="31" t="s">
        <v>1835</v>
      </c>
      <c r="J580" s="31" t="s">
        <v>2120</v>
      </c>
      <c r="K580" t="s">
        <v>2647</v>
      </c>
      <c r="L580">
        <v>1</v>
      </c>
      <c r="M580" t="s">
        <v>8</v>
      </c>
      <c r="N580" t="s">
        <v>8</v>
      </c>
      <c r="O580" t="s">
        <v>8</v>
      </c>
      <c r="P580" t="s">
        <v>8</v>
      </c>
      <c r="Q580" t="s">
        <v>8</v>
      </c>
      <c r="R580" t="s">
        <v>8</v>
      </c>
    </row>
    <row r="581" spans="1:18">
      <c r="A581" s="159" t="s">
        <v>2640</v>
      </c>
      <c r="B581" s="31" t="s">
        <v>2696</v>
      </c>
      <c r="C581" s="152">
        <v>1</v>
      </c>
      <c r="D581" s="31" t="s">
        <v>2122</v>
      </c>
      <c r="E581" s="31" t="s">
        <v>2301</v>
      </c>
      <c r="F581" s="31">
        <v>4</v>
      </c>
      <c r="G581" s="31" t="s">
        <v>2403</v>
      </c>
      <c r="H581" s="31" t="s">
        <v>2107</v>
      </c>
      <c r="I581" s="31" t="s">
        <v>1834</v>
      </c>
      <c r="J581" s="31" t="s">
        <v>2120</v>
      </c>
      <c r="K581" t="s">
        <v>2647</v>
      </c>
      <c r="L581">
        <v>1</v>
      </c>
      <c r="M581" t="s">
        <v>8</v>
      </c>
      <c r="N581" t="s">
        <v>8</v>
      </c>
      <c r="O581" t="s">
        <v>8</v>
      </c>
      <c r="P581" t="s">
        <v>8</v>
      </c>
      <c r="Q581" t="s">
        <v>8</v>
      </c>
      <c r="R581" t="s">
        <v>8</v>
      </c>
    </row>
    <row r="582" spans="1:18">
      <c r="A582" s="159" t="s">
        <v>2492</v>
      </c>
      <c r="B582" s="31" t="s">
        <v>2693</v>
      </c>
      <c r="C582" s="152">
        <v>1</v>
      </c>
      <c r="D582" s="31" t="s">
        <v>1118</v>
      </c>
      <c r="E582" s="31" t="s">
        <v>2111</v>
      </c>
      <c r="F582" s="31" t="s">
        <v>2111</v>
      </c>
      <c r="G582" s="31" t="s">
        <v>3739</v>
      </c>
      <c r="H582" s="31" t="s">
        <v>2110</v>
      </c>
      <c r="I582" s="31" t="s">
        <v>1834</v>
      </c>
      <c r="J582" s="31" t="s">
        <v>2120</v>
      </c>
      <c r="K582" t="s">
        <v>2648</v>
      </c>
      <c r="L582">
        <v>1</v>
      </c>
      <c r="M582" t="s">
        <v>8</v>
      </c>
      <c r="N582" t="s">
        <v>8</v>
      </c>
      <c r="O582" t="s">
        <v>8</v>
      </c>
      <c r="P582" t="s">
        <v>8</v>
      </c>
      <c r="Q582" t="s">
        <v>8</v>
      </c>
      <c r="R582" t="s">
        <v>8</v>
      </c>
    </row>
    <row r="583" spans="1:18">
      <c r="A583" s="159" t="s">
        <v>2493</v>
      </c>
      <c r="B583" s="31" t="s">
        <v>2696</v>
      </c>
      <c r="C583" s="152">
        <v>1</v>
      </c>
      <c r="D583" s="31" t="s">
        <v>2122</v>
      </c>
      <c r="E583" s="31" t="s">
        <v>3098</v>
      </c>
      <c r="F583" s="31">
        <v>4</v>
      </c>
      <c r="G583" s="31" t="s">
        <v>2403</v>
      </c>
      <c r="H583" s="31" t="s">
        <v>2107</v>
      </c>
      <c r="I583" s="31" t="s">
        <v>1835</v>
      </c>
      <c r="J583" s="31" t="s">
        <v>2120</v>
      </c>
      <c r="K583" t="s">
        <v>2648</v>
      </c>
      <c r="L583">
        <v>1</v>
      </c>
      <c r="M583" t="s">
        <v>8</v>
      </c>
      <c r="N583" t="s">
        <v>8</v>
      </c>
      <c r="O583" t="s">
        <v>8</v>
      </c>
      <c r="P583" t="s">
        <v>8</v>
      </c>
      <c r="Q583" t="s">
        <v>8</v>
      </c>
      <c r="R583" t="s">
        <v>8</v>
      </c>
    </row>
    <row r="584" spans="1:18">
      <c r="A584" s="159" t="s">
        <v>2494</v>
      </c>
      <c r="B584" s="31" t="s">
        <v>2586</v>
      </c>
      <c r="C584" s="152">
        <v>1</v>
      </c>
      <c r="D584" s="31" t="s">
        <v>2122</v>
      </c>
      <c r="E584" s="31" t="s">
        <v>2142</v>
      </c>
      <c r="F584" s="31">
        <v>5</v>
      </c>
      <c r="G584" s="31" t="s">
        <v>2403</v>
      </c>
      <c r="H584" s="31" t="s">
        <v>2110</v>
      </c>
      <c r="I584" s="31" t="s">
        <v>1834</v>
      </c>
      <c r="J584" s="31" t="s">
        <v>2120</v>
      </c>
      <c r="K584" t="s">
        <v>2648</v>
      </c>
      <c r="L584">
        <v>1</v>
      </c>
      <c r="M584" t="s">
        <v>8</v>
      </c>
      <c r="N584" t="s">
        <v>8</v>
      </c>
      <c r="O584" t="s">
        <v>8</v>
      </c>
      <c r="P584" t="s">
        <v>8</v>
      </c>
      <c r="Q584" t="s">
        <v>8</v>
      </c>
      <c r="R584" t="s">
        <v>8</v>
      </c>
    </row>
    <row r="585" spans="1:18">
      <c r="A585" s="159" t="s">
        <v>2495</v>
      </c>
      <c r="B585" s="31" t="s">
        <v>2693</v>
      </c>
      <c r="C585" s="152">
        <v>1</v>
      </c>
      <c r="D585" s="31" t="s">
        <v>2122</v>
      </c>
      <c r="E585" s="31" t="s">
        <v>2126</v>
      </c>
      <c r="F585" s="31" t="s">
        <v>2111</v>
      </c>
      <c r="G585" s="31" t="s">
        <v>3099</v>
      </c>
      <c r="H585" s="31" t="s">
        <v>2110</v>
      </c>
      <c r="I585" s="31" t="s">
        <v>1835</v>
      </c>
      <c r="J585" s="31" t="s">
        <v>2120</v>
      </c>
      <c r="K585" t="s">
        <v>2648</v>
      </c>
      <c r="L585">
        <v>1</v>
      </c>
      <c r="M585" t="s">
        <v>8</v>
      </c>
      <c r="N585" t="s">
        <v>8</v>
      </c>
      <c r="O585" t="s">
        <v>8</v>
      </c>
      <c r="P585" t="s">
        <v>8</v>
      </c>
      <c r="Q585" t="s">
        <v>8</v>
      </c>
      <c r="R585" t="s">
        <v>8</v>
      </c>
    </row>
    <row r="586" spans="1:18">
      <c r="A586" s="159" t="s">
        <v>2496</v>
      </c>
      <c r="B586" s="31" t="s">
        <v>2698</v>
      </c>
      <c r="C586" s="152">
        <v>2</v>
      </c>
      <c r="D586" s="31" t="s">
        <v>2122</v>
      </c>
      <c r="E586" s="31" t="s">
        <v>3509</v>
      </c>
      <c r="F586" s="31">
        <v>5</v>
      </c>
      <c r="G586" s="31" t="s">
        <v>2403</v>
      </c>
      <c r="H586" s="31" t="s">
        <v>2107</v>
      </c>
      <c r="I586" s="31" t="s">
        <v>1835</v>
      </c>
      <c r="J586" s="31" t="s">
        <v>2120</v>
      </c>
      <c r="K586" t="s">
        <v>2648</v>
      </c>
      <c r="L586">
        <v>2</v>
      </c>
      <c r="M586" t="s">
        <v>8</v>
      </c>
      <c r="N586" t="s">
        <v>8</v>
      </c>
      <c r="O586" t="s">
        <v>8</v>
      </c>
      <c r="P586" t="s">
        <v>8</v>
      </c>
      <c r="Q586" t="s">
        <v>8</v>
      </c>
      <c r="R586" t="s">
        <v>8</v>
      </c>
    </row>
    <row r="587" spans="1:18">
      <c r="A587" s="159" t="s">
        <v>2497</v>
      </c>
      <c r="B587" s="31" t="s">
        <v>2696</v>
      </c>
      <c r="C587" s="152">
        <v>2</v>
      </c>
      <c r="D587" s="31" t="str">
        <f>"0"</f>
        <v>0</v>
      </c>
      <c r="E587" s="31" t="s">
        <v>2126</v>
      </c>
      <c r="F587" s="31">
        <v>5</v>
      </c>
      <c r="G587" s="31" t="s">
        <v>3510</v>
      </c>
      <c r="H587" s="31" t="s">
        <v>2110</v>
      </c>
      <c r="I587" s="31" t="s">
        <v>1835</v>
      </c>
      <c r="J587" s="31" t="s">
        <v>2120</v>
      </c>
      <c r="K587" t="s">
        <v>2649</v>
      </c>
      <c r="L587">
        <v>2</v>
      </c>
      <c r="M587" t="s">
        <v>8</v>
      </c>
      <c r="N587" t="s">
        <v>8</v>
      </c>
      <c r="O587" t="s">
        <v>8</v>
      </c>
      <c r="P587" t="s">
        <v>8</v>
      </c>
      <c r="Q587" t="s">
        <v>8</v>
      </c>
      <c r="R587" t="s">
        <v>8</v>
      </c>
    </row>
    <row r="588" spans="1:18">
      <c r="A588" s="159" t="s">
        <v>2498</v>
      </c>
      <c r="B588" s="31" t="s">
        <v>2135</v>
      </c>
      <c r="C588" s="152">
        <v>2</v>
      </c>
      <c r="D588" s="31" t="str">
        <f>"0"</f>
        <v>0</v>
      </c>
      <c r="E588" s="31" t="s">
        <v>2126</v>
      </c>
      <c r="F588" s="31" t="s">
        <v>2431</v>
      </c>
      <c r="G588" s="31" t="s">
        <v>2126</v>
      </c>
      <c r="H588" s="31" t="s">
        <v>2107</v>
      </c>
      <c r="I588" s="31" t="s">
        <v>1835</v>
      </c>
      <c r="J588" s="31" t="s">
        <v>2120</v>
      </c>
      <c r="K588" t="s">
        <v>2649</v>
      </c>
      <c r="L588">
        <v>2</v>
      </c>
      <c r="M588" t="s">
        <v>8</v>
      </c>
      <c r="N588" t="s">
        <v>8</v>
      </c>
      <c r="O588" t="s">
        <v>8</v>
      </c>
      <c r="P588" t="s">
        <v>8</v>
      </c>
      <c r="Q588" t="s">
        <v>8</v>
      </c>
      <c r="R588" t="s">
        <v>8</v>
      </c>
    </row>
    <row r="589" spans="1:18">
      <c r="A589" s="159" t="s">
        <v>2499</v>
      </c>
      <c r="B589" s="31" t="s">
        <v>2695</v>
      </c>
      <c r="C589" s="152">
        <v>2</v>
      </c>
      <c r="D589" s="31" t="s">
        <v>2122</v>
      </c>
      <c r="E589" s="31" t="s">
        <v>3508</v>
      </c>
      <c r="F589" s="31" t="s">
        <v>2111</v>
      </c>
      <c r="G589" s="31" t="s">
        <v>3511</v>
      </c>
      <c r="H589" s="31" t="s">
        <v>2107</v>
      </c>
      <c r="I589" s="31" t="s">
        <v>1834</v>
      </c>
      <c r="J589" s="31" t="s">
        <v>2120</v>
      </c>
      <c r="K589" t="s">
        <v>2649</v>
      </c>
      <c r="L589">
        <v>2</v>
      </c>
      <c r="M589" t="s">
        <v>8</v>
      </c>
      <c r="N589" t="s">
        <v>8</v>
      </c>
      <c r="O589" t="s">
        <v>8</v>
      </c>
      <c r="P589" t="s">
        <v>8</v>
      </c>
      <c r="Q589" t="s">
        <v>8</v>
      </c>
      <c r="R589" t="s">
        <v>8</v>
      </c>
    </row>
    <row r="590" spans="1:18">
      <c r="A590" s="159" t="s">
        <v>2500</v>
      </c>
      <c r="B590" s="31" t="s">
        <v>2701</v>
      </c>
      <c r="C590" s="152">
        <v>2</v>
      </c>
      <c r="D590" s="31" t="str">
        <f>"0"</f>
        <v>0</v>
      </c>
      <c r="E590" s="31" t="s">
        <v>3507</v>
      </c>
      <c r="F590" s="31" t="s">
        <v>2431</v>
      </c>
      <c r="G590" s="153" t="s">
        <v>2402</v>
      </c>
      <c r="H590" s="31" t="s">
        <v>2110</v>
      </c>
      <c r="I590" s="31" t="s">
        <v>1835</v>
      </c>
      <c r="J590" s="31" t="s">
        <v>2120</v>
      </c>
      <c r="K590" t="s">
        <v>2650</v>
      </c>
      <c r="L590">
        <v>2</v>
      </c>
      <c r="M590" t="s">
        <v>8</v>
      </c>
      <c r="N590" t="s">
        <v>8</v>
      </c>
      <c r="O590" t="s">
        <v>8</v>
      </c>
      <c r="P590" t="s">
        <v>8</v>
      </c>
      <c r="Q590" t="s">
        <v>8</v>
      </c>
      <c r="R590" t="s">
        <v>8</v>
      </c>
    </row>
    <row r="591" spans="1:18">
      <c r="A591" s="159" t="s">
        <v>2501</v>
      </c>
      <c r="B591" s="31" t="s">
        <v>2692</v>
      </c>
      <c r="C591" s="152">
        <v>2</v>
      </c>
      <c r="D591" s="31" t="s">
        <v>1383</v>
      </c>
      <c r="E591" s="31" t="s">
        <v>2126</v>
      </c>
      <c r="F591" s="31" t="s">
        <v>2111</v>
      </c>
      <c r="G591" s="31" t="s">
        <v>3512</v>
      </c>
      <c r="H591" s="31" t="s">
        <v>2110</v>
      </c>
      <c r="I591" s="31" t="s">
        <v>1835</v>
      </c>
      <c r="J591" s="31" t="s">
        <v>2108</v>
      </c>
      <c r="K591" t="s">
        <v>2650</v>
      </c>
      <c r="L591">
        <v>2</v>
      </c>
      <c r="M591" t="s">
        <v>8</v>
      </c>
      <c r="N591" t="s">
        <v>8</v>
      </c>
      <c r="O591" t="s">
        <v>8</v>
      </c>
      <c r="P591" t="s">
        <v>8</v>
      </c>
      <c r="Q591" t="s">
        <v>8</v>
      </c>
      <c r="R591" t="s">
        <v>8</v>
      </c>
    </row>
    <row r="592" spans="1:18">
      <c r="A592" s="159" t="s">
        <v>2502</v>
      </c>
      <c r="B592" s="31" t="s">
        <v>2692</v>
      </c>
      <c r="C592" s="152">
        <v>2</v>
      </c>
      <c r="D592" s="31" t="s">
        <v>1118</v>
      </c>
      <c r="E592" s="31" t="s">
        <v>2126</v>
      </c>
      <c r="F592" s="31">
        <v>5</v>
      </c>
      <c r="G592" s="31" t="s">
        <v>3700</v>
      </c>
      <c r="H592" s="31" t="s">
        <v>2110</v>
      </c>
      <c r="I592" s="31" t="s">
        <v>1835</v>
      </c>
      <c r="J592" s="31" t="s">
        <v>2120</v>
      </c>
      <c r="K592" t="s">
        <v>2650</v>
      </c>
      <c r="L592">
        <v>2</v>
      </c>
      <c r="M592" t="s">
        <v>8</v>
      </c>
      <c r="N592" t="s">
        <v>8</v>
      </c>
      <c r="O592" t="s">
        <v>8</v>
      </c>
      <c r="P592" t="s">
        <v>8</v>
      </c>
      <c r="Q592" t="s">
        <v>8</v>
      </c>
      <c r="R592" t="s">
        <v>8</v>
      </c>
    </row>
    <row r="593" spans="1:18">
      <c r="A593" s="159" t="s">
        <v>2639</v>
      </c>
      <c r="B593" s="31" t="s">
        <v>2135</v>
      </c>
      <c r="C593" s="152">
        <v>2</v>
      </c>
      <c r="D593" s="31" t="s">
        <v>1109</v>
      </c>
      <c r="E593" s="31" t="s">
        <v>3092</v>
      </c>
      <c r="F593" s="31">
        <v>5</v>
      </c>
      <c r="G593" s="31" t="s">
        <v>3513</v>
      </c>
      <c r="H593" s="31" t="s">
        <v>2110</v>
      </c>
      <c r="I593" s="31" t="s">
        <v>1834</v>
      </c>
      <c r="J593" s="31" t="s">
        <v>2108</v>
      </c>
      <c r="K593" t="s">
        <v>2651</v>
      </c>
      <c r="L593">
        <v>2</v>
      </c>
      <c r="M593" t="s">
        <v>8</v>
      </c>
      <c r="N593" t="s">
        <v>8</v>
      </c>
      <c r="O593" t="s">
        <v>8</v>
      </c>
      <c r="P593" t="s">
        <v>8</v>
      </c>
      <c r="Q593" t="s">
        <v>8</v>
      </c>
      <c r="R593" t="s">
        <v>8</v>
      </c>
    </row>
    <row r="594" spans="1:18">
      <c r="A594" s="159" t="s">
        <v>2503</v>
      </c>
      <c r="B594" s="31" t="s">
        <v>2695</v>
      </c>
      <c r="C594" s="152">
        <v>2</v>
      </c>
      <c r="D594" s="31" t="s">
        <v>2122</v>
      </c>
      <c r="E594" s="31" t="s">
        <v>3097</v>
      </c>
      <c r="F594" s="31">
        <v>5</v>
      </c>
      <c r="G594" s="31" t="s">
        <v>3514</v>
      </c>
      <c r="H594" s="31" t="s">
        <v>2110</v>
      </c>
      <c r="I594" s="31" t="s">
        <v>1835</v>
      </c>
      <c r="J594" s="31" t="s">
        <v>2108</v>
      </c>
      <c r="K594" t="s">
        <v>2651</v>
      </c>
      <c r="L594">
        <v>2</v>
      </c>
      <c r="M594" t="s">
        <v>8</v>
      </c>
      <c r="N594" t="s">
        <v>8</v>
      </c>
      <c r="O594" t="s">
        <v>8</v>
      </c>
      <c r="P594" t="s">
        <v>8</v>
      </c>
      <c r="Q594" t="s">
        <v>8</v>
      </c>
      <c r="R594" t="s">
        <v>8</v>
      </c>
    </row>
    <row r="595" spans="1:18">
      <c r="A595" s="159" t="s">
        <v>2504</v>
      </c>
      <c r="B595" s="31" t="s">
        <v>2135</v>
      </c>
      <c r="C595" s="152">
        <v>2</v>
      </c>
      <c r="D595" s="31" t="s">
        <v>1118</v>
      </c>
      <c r="E595" s="31" t="s">
        <v>3092</v>
      </c>
      <c r="F595" s="31" t="s">
        <v>2111</v>
      </c>
      <c r="G595" s="31" t="s">
        <v>3515</v>
      </c>
      <c r="H595" s="31" t="s">
        <v>2110</v>
      </c>
      <c r="I595" s="31" t="s">
        <v>1834</v>
      </c>
      <c r="J595" s="31" t="s">
        <v>2120</v>
      </c>
      <c r="K595" t="s">
        <v>2651</v>
      </c>
      <c r="L595">
        <v>2</v>
      </c>
      <c r="M595" t="s">
        <v>8</v>
      </c>
      <c r="N595" t="s">
        <v>8</v>
      </c>
      <c r="O595" t="s">
        <v>8</v>
      </c>
      <c r="P595" t="s">
        <v>8</v>
      </c>
      <c r="Q595" t="s">
        <v>8</v>
      </c>
      <c r="R595" t="s">
        <v>8</v>
      </c>
    </row>
    <row r="596" spans="1:18">
      <c r="A596" s="159" t="s">
        <v>2505</v>
      </c>
      <c r="B596" s="31" t="s">
        <v>2135</v>
      </c>
      <c r="C596" s="152">
        <v>2</v>
      </c>
      <c r="D596" s="31" t="s">
        <v>1118</v>
      </c>
      <c r="E596" s="31" t="s">
        <v>3506</v>
      </c>
      <c r="F596" s="31">
        <v>5</v>
      </c>
      <c r="G596" s="31" t="s">
        <v>3516</v>
      </c>
      <c r="H596" s="31" t="s">
        <v>2110</v>
      </c>
      <c r="I596" s="31" t="s">
        <v>1835</v>
      </c>
      <c r="J596" s="31" t="s">
        <v>2120</v>
      </c>
      <c r="K596" t="s">
        <v>2651</v>
      </c>
      <c r="L596">
        <v>2</v>
      </c>
      <c r="M596" t="s">
        <v>8</v>
      </c>
      <c r="N596" t="s">
        <v>8</v>
      </c>
      <c r="O596" t="s">
        <v>8</v>
      </c>
      <c r="P596" t="s">
        <v>8</v>
      </c>
      <c r="Q596" t="s">
        <v>8</v>
      </c>
      <c r="R596" t="s">
        <v>8</v>
      </c>
    </row>
    <row r="597" spans="1:18">
      <c r="A597" s="159" t="s">
        <v>2506</v>
      </c>
      <c r="B597" s="31" t="s">
        <v>2702</v>
      </c>
      <c r="C597" s="152">
        <v>2</v>
      </c>
      <c r="D597" s="31" t="s">
        <v>1118</v>
      </c>
      <c r="E597" s="31" t="s">
        <v>2116</v>
      </c>
      <c r="F597" s="31" t="s">
        <v>2431</v>
      </c>
      <c r="G597" s="31" t="s">
        <v>2126</v>
      </c>
      <c r="H597" s="31" t="s">
        <v>2110</v>
      </c>
      <c r="I597" s="31" t="s">
        <v>1835</v>
      </c>
      <c r="J597" s="31" t="s">
        <v>2120</v>
      </c>
      <c r="K597" t="s">
        <v>2651</v>
      </c>
      <c r="L597">
        <v>2</v>
      </c>
      <c r="M597" t="s">
        <v>8</v>
      </c>
      <c r="N597" t="s">
        <v>8</v>
      </c>
      <c r="O597" t="s">
        <v>8</v>
      </c>
      <c r="P597" t="s">
        <v>8</v>
      </c>
      <c r="Q597" t="s">
        <v>8</v>
      </c>
      <c r="R597" t="s">
        <v>8</v>
      </c>
    </row>
    <row r="598" spans="1:18">
      <c r="A598" s="159" t="s">
        <v>2507</v>
      </c>
      <c r="B598" s="31" t="s">
        <v>718</v>
      </c>
      <c r="C598" s="152">
        <v>2</v>
      </c>
      <c r="D598" s="31" t="str">
        <f>"0"</f>
        <v>0</v>
      </c>
      <c r="E598" s="31" t="s">
        <v>2126</v>
      </c>
      <c r="F598" s="31" t="s">
        <v>2111</v>
      </c>
      <c r="G598" s="31" t="s">
        <v>2119</v>
      </c>
      <c r="H598" s="31" t="s">
        <v>2110</v>
      </c>
      <c r="I598" s="31" t="s">
        <v>1835</v>
      </c>
      <c r="J598" s="31" t="s">
        <v>2108</v>
      </c>
      <c r="K598" t="s">
        <v>2652</v>
      </c>
      <c r="L598">
        <v>2</v>
      </c>
      <c r="M598" t="s">
        <v>8</v>
      </c>
      <c r="N598" t="s">
        <v>8</v>
      </c>
      <c r="O598" t="s">
        <v>8</v>
      </c>
      <c r="P598" t="s">
        <v>8</v>
      </c>
      <c r="Q598" t="s">
        <v>8</v>
      </c>
      <c r="R598" t="s">
        <v>8</v>
      </c>
    </row>
    <row r="599" spans="1:18">
      <c r="A599" s="159" t="s">
        <v>2508</v>
      </c>
      <c r="B599" s="31" t="s">
        <v>2695</v>
      </c>
      <c r="C599" s="152">
        <v>2</v>
      </c>
      <c r="D599" s="31" t="s">
        <v>2147</v>
      </c>
      <c r="E599" s="31" t="s">
        <v>2142</v>
      </c>
      <c r="F599" s="31">
        <v>5</v>
      </c>
      <c r="G599" s="31" t="s">
        <v>2126</v>
      </c>
      <c r="H599" s="31" t="s">
        <v>2110</v>
      </c>
      <c r="I599" s="31" t="s">
        <v>1834</v>
      </c>
      <c r="J599" s="31" t="s">
        <v>270</v>
      </c>
      <c r="K599" t="s">
        <v>2652</v>
      </c>
      <c r="L599">
        <v>2</v>
      </c>
      <c r="M599" t="s">
        <v>8</v>
      </c>
      <c r="N599" t="s">
        <v>8</v>
      </c>
      <c r="O599" t="s">
        <v>8</v>
      </c>
      <c r="P599" t="s">
        <v>8</v>
      </c>
      <c r="Q599" t="s">
        <v>8</v>
      </c>
      <c r="R599" t="s">
        <v>8</v>
      </c>
    </row>
    <row r="600" spans="1:18">
      <c r="A600" s="159" t="s">
        <v>2509</v>
      </c>
      <c r="B600" s="31" t="s">
        <v>2703</v>
      </c>
      <c r="C600" s="152">
        <v>2</v>
      </c>
      <c r="D600" s="31" t="str">
        <f>"0"</f>
        <v>0</v>
      </c>
      <c r="E600" s="31" t="s">
        <v>2148</v>
      </c>
      <c r="F600" s="31">
        <v>5</v>
      </c>
      <c r="G600" s="31" t="s">
        <v>2126</v>
      </c>
      <c r="H600" s="31" t="s">
        <v>2110</v>
      </c>
      <c r="I600" s="31" t="s">
        <v>1835</v>
      </c>
      <c r="J600" s="31" t="s">
        <v>2120</v>
      </c>
      <c r="K600" t="s">
        <v>2652</v>
      </c>
      <c r="L600">
        <v>2</v>
      </c>
      <c r="M600" t="s">
        <v>8</v>
      </c>
      <c r="N600" t="s">
        <v>8</v>
      </c>
      <c r="O600" t="s">
        <v>8</v>
      </c>
      <c r="P600" t="s">
        <v>8</v>
      </c>
      <c r="Q600" t="s">
        <v>8</v>
      </c>
      <c r="R600" t="s">
        <v>8</v>
      </c>
    </row>
    <row r="601" spans="1:18">
      <c r="A601" s="159" t="s">
        <v>2638</v>
      </c>
      <c r="B601" s="31" t="s">
        <v>718</v>
      </c>
      <c r="C601" s="152">
        <v>2</v>
      </c>
      <c r="D601" s="31" t="s">
        <v>2128</v>
      </c>
      <c r="E601" s="31" t="s">
        <v>2116</v>
      </c>
      <c r="F601" s="31">
        <v>5</v>
      </c>
      <c r="G601" s="31" t="s">
        <v>3688</v>
      </c>
      <c r="H601" s="31" t="s">
        <v>2107</v>
      </c>
      <c r="I601" s="31" t="s">
        <v>1835</v>
      </c>
      <c r="J601" s="31" t="s">
        <v>2108</v>
      </c>
      <c r="K601" t="s">
        <v>2653</v>
      </c>
      <c r="L601">
        <v>2</v>
      </c>
      <c r="M601" t="s">
        <v>8</v>
      </c>
      <c r="N601" t="s">
        <v>8</v>
      </c>
      <c r="O601" t="s">
        <v>8</v>
      </c>
      <c r="P601" t="s">
        <v>8</v>
      </c>
      <c r="Q601" t="s">
        <v>8</v>
      </c>
      <c r="R601" t="s">
        <v>8</v>
      </c>
    </row>
    <row r="602" spans="1:18">
      <c r="A602" s="159" t="s">
        <v>2510</v>
      </c>
      <c r="B602" s="31" t="s">
        <v>2703</v>
      </c>
      <c r="C602" s="152">
        <v>2</v>
      </c>
      <c r="D602" s="31" t="str">
        <f>"0"</f>
        <v>0</v>
      </c>
      <c r="E602" s="31" t="s">
        <v>3505</v>
      </c>
      <c r="F602" s="31">
        <v>4</v>
      </c>
      <c r="G602" s="31" t="s">
        <v>3517</v>
      </c>
      <c r="H602" s="31" t="s">
        <v>2107</v>
      </c>
      <c r="I602" s="31" t="s">
        <v>1835</v>
      </c>
      <c r="J602" s="31" t="s">
        <v>2120</v>
      </c>
      <c r="K602" t="s">
        <v>2653</v>
      </c>
      <c r="L602">
        <v>2</v>
      </c>
      <c r="M602" t="s">
        <v>8</v>
      </c>
      <c r="N602" t="s">
        <v>8</v>
      </c>
      <c r="O602" t="s">
        <v>8</v>
      </c>
      <c r="P602" t="s">
        <v>8</v>
      </c>
      <c r="Q602" t="s">
        <v>8</v>
      </c>
      <c r="R602" t="s">
        <v>8</v>
      </c>
    </row>
    <row r="603" spans="1:18">
      <c r="A603" s="159" t="s">
        <v>2511</v>
      </c>
      <c r="B603" s="31" t="s">
        <v>2704</v>
      </c>
      <c r="C603" s="152">
        <v>2</v>
      </c>
      <c r="D603" s="31" t="str">
        <f>"0"</f>
        <v>0</v>
      </c>
      <c r="E603" s="31" t="s">
        <v>2116</v>
      </c>
      <c r="F603" s="31">
        <v>5</v>
      </c>
      <c r="G603" s="31" t="s">
        <v>3518</v>
      </c>
      <c r="H603" s="31" t="s">
        <v>2110</v>
      </c>
      <c r="I603" s="31" t="s">
        <v>1835</v>
      </c>
      <c r="J603" s="31" t="s">
        <v>2120</v>
      </c>
      <c r="K603" t="s">
        <v>2653</v>
      </c>
      <c r="L603">
        <v>2</v>
      </c>
      <c r="M603" t="s">
        <v>8</v>
      </c>
      <c r="N603" t="s">
        <v>8</v>
      </c>
      <c r="O603" t="s">
        <v>8</v>
      </c>
      <c r="P603" t="s">
        <v>8</v>
      </c>
      <c r="Q603" t="s">
        <v>8</v>
      </c>
      <c r="R603" t="s">
        <v>8</v>
      </c>
    </row>
    <row r="604" spans="1:18">
      <c r="A604" s="159" t="s">
        <v>2512</v>
      </c>
      <c r="B604" s="31" t="s">
        <v>2701</v>
      </c>
      <c r="C604" s="152">
        <v>2</v>
      </c>
      <c r="D604" s="31" t="s">
        <v>2147</v>
      </c>
      <c r="E604" s="31" t="s">
        <v>3504</v>
      </c>
      <c r="F604" s="31">
        <v>5</v>
      </c>
      <c r="G604" s="31" t="s">
        <v>2126</v>
      </c>
      <c r="H604" s="31" t="s">
        <v>2107</v>
      </c>
      <c r="I604" s="31" t="s">
        <v>1835</v>
      </c>
      <c r="J604" s="31" t="s">
        <v>2120</v>
      </c>
      <c r="K604" t="s">
        <v>2653</v>
      </c>
      <c r="L604">
        <v>2</v>
      </c>
      <c r="M604" t="s">
        <v>8</v>
      </c>
      <c r="N604" t="s">
        <v>8</v>
      </c>
      <c r="O604" t="s">
        <v>8</v>
      </c>
      <c r="P604" t="s">
        <v>8</v>
      </c>
      <c r="Q604" t="s">
        <v>8</v>
      </c>
      <c r="R604" t="s">
        <v>8</v>
      </c>
    </row>
    <row r="605" spans="1:18">
      <c r="A605" s="159" t="s">
        <v>2513</v>
      </c>
      <c r="B605" s="31" t="s">
        <v>2692</v>
      </c>
      <c r="C605" s="152">
        <v>2</v>
      </c>
      <c r="D605" s="31" t="s">
        <v>2146</v>
      </c>
      <c r="E605" s="31" t="s">
        <v>2129</v>
      </c>
      <c r="F605" s="31" t="s">
        <v>2127</v>
      </c>
      <c r="G605" s="31" t="s">
        <v>2127</v>
      </c>
      <c r="H605" s="31" t="s">
        <v>2110</v>
      </c>
      <c r="I605" s="31" t="s">
        <v>1835</v>
      </c>
      <c r="J605" s="31" t="s">
        <v>2108</v>
      </c>
      <c r="K605" t="s">
        <v>2654</v>
      </c>
      <c r="L605">
        <v>2</v>
      </c>
      <c r="M605" t="s">
        <v>8</v>
      </c>
      <c r="N605" t="s">
        <v>8</v>
      </c>
      <c r="O605" t="s">
        <v>8</v>
      </c>
      <c r="P605" t="s">
        <v>8</v>
      </c>
      <c r="Q605" t="s">
        <v>8</v>
      </c>
      <c r="R605" t="s">
        <v>8</v>
      </c>
    </row>
    <row r="606" spans="1:18">
      <c r="A606" s="159" t="s">
        <v>2514</v>
      </c>
      <c r="B606" s="31" t="s">
        <v>2703</v>
      </c>
      <c r="C606" s="152">
        <v>2</v>
      </c>
      <c r="D606" s="31" t="s">
        <v>1121</v>
      </c>
      <c r="E606" s="31" t="s">
        <v>2428</v>
      </c>
      <c r="F606" s="31" t="s">
        <v>2111</v>
      </c>
      <c r="G606" s="31" t="s">
        <v>2126</v>
      </c>
      <c r="H606" s="31" t="s">
        <v>2107</v>
      </c>
      <c r="I606" s="31" t="s">
        <v>1834</v>
      </c>
      <c r="J606" s="31" t="s">
        <v>270</v>
      </c>
      <c r="K606" t="s">
        <v>2654</v>
      </c>
      <c r="L606">
        <v>2</v>
      </c>
      <c r="M606" t="s">
        <v>8</v>
      </c>
      <c r="N606" t="s">
        <v>8</v>
      </c>
      <c r="O606" t="s">
        <v>8</v>
      </c>
      <c r="P606" t="s">
        <v>8</v>
      </c>
      <c r="Q606" t="s">
        <v>8</v>
      </c>
      <c r="R606" t="s">
        <v>8</v>
      </c>
    </row>
    <row r="607" spans="1:18">
      <c r="A607" s="159" t="s">
        <v>2515</v>
      </c>
      <c r="B607" s="31" t="s">
        <v>2700</v>
      </c>
      <c r="C607" s="152">
        <v>2</v>
      </c>
      <c r="D607" s="31" t="str">
        <f>"0"</f>
        <v>0</v>
      </c>
      <c r="E607" s="31" t="s">
        <v>3091</v>
      </c>
      <c r="F607" s="31">
        <v>5</v>
      </c>
      <c r="G607" s="31" t="s">
        <v>2126</v>
      </c>
      <c r="H607" s="31" t="s">
        <v>2110</v>
      </c>
      <c r="I607" s="31" t="s">
        <v>1835</v>
      </c>
      <c r="J607" s="31" t="s">
        <v>2120</v>
      </c>
      <c r="K607" t="s">
        <v>2654</v>
      </c>
      <c r="L607">
        <v>2</v>
      </c>
      <c r="M607" t="s">
        <v>8</v>
      </c>
      <c r="N607" t="s">
        <v>8</v>
      </c>
      <c r="O607" t="s">
        <v>8</v>
      </c>
      <c r="P607" t="s">
        <v>8</v>
      </c>
      <c r="Q607" t="s">
        <v>8</v>
      </c>
      <c r="R607" t="s">
        <v>8</v>
      </c>
    </row>
    <row r="608" spans="1:18">
      <c r="A608" s="159" t="s">
        <v>2516</v>
      </c>
      <c r="B608" s="31" t="s">
        <v>2705</v>
      </c>
      <c r="C608" s="152">
        <v>2</v>
      </c>
      <c r="D608" s="31" t="s">
        <v>2122</v>
      </c>
      <c r="E608" s="31" t="s">
        <v>3096</v>
      </c>
      <c r="F608" s="31">
        <v>5</v>
      </c>
      <c r="G608" s="31" t="s">
        <v>2403</v>
      </c>
      <c r="H608" s="31" t="s">
        <v>2107</v>
      </c>
      <c r="I608" s="31" t="s">
        <v>1835</v>
      </c>
      <c r="J608" s="31" t="s">
        <v>2120</v>
      </c>
      <c r="K608" t="s">
        <v>2654</v>
      </c>
      <c r="L608">
        <v>2</v>
      </c>
      <c r="M608" t="s">
        <v>8</v>
      </c>
      <c r="N608" t="s">
        <v>8</v>
      </c>
      <c r="O608" t="s">
        <v>8</v>
      </c>
      <c r="P608" t="s">
        <v>8</v>
      </c>
      <c r="Q608" t="s">
        <v>8</v>
      </c>
      <c r="R608" t="s">
        <v>8</v>
      </c>
    </row>
    <row r="609" spans="1:18">
      <c r="A609" s="159" t="s">
        <v>2637</v>
      </c>
      <c r="B609" s="31" t="s">
        <v>2703</v>
      </c>
      <c r="C609" s="152">
        <v>2</v>
      </c>
      <c r="D609" s="31" t="s">
        <v>2122</v>
      </c>
      <c r="E609" s="31" t="s">
        <v>2142</v>
      </c>
      <c r="F609" s="31" t="s">
        <v>1740</v>
      </c>
      <c r="G609" s="31" t="s">
        <v>3519</v>
      </c>
      <c r="H609" s="31" t="s">
        <v>2107</v>
      </c>
      <c r="I609" s="31" t="s">
        <v>1835</v>
      </c>
      <c r="J609" s="31" t="s">
        <v>2267</v>
      </c>
      <c r="K609" t="s">
        <v>2655</v>
      </c>
      <c r="L609">
        <v>2</v>
      </c>
      <c r="M609" t="s">
        <v>8</v>
      </c>
      <c r="N609" t="s">
        <v>8</v>
      </c>
      <c r="O609" t="s">
        <v>8</v>
      </c>
      <c r="P609" t="s">
        <v>8</v>
      </c>
      <c r="Q609" t="s">
        <v>8</v>
      </c>
      <c r="R609" t="s">
        <v>8</v>
      </c>
    </row>
    <row r="610" spans="1:18">
      <c r="A610" s="159" t="s">
        <v>2517</v>
      </c>
      <c r="B610" s="31" t="s">
        <v>148</v>
      </c>
      <c r="C610" s="152">
        <v>2</v>
      </c>
      <c r="D610" s="31" t="s">
        <v>2122</v>
      </c>
      <c r="E610" s="31" t="s">
        <v>2304</v>
      </c>
      <c r="F610" s="31">
        <v>1</v>
      </c>
      <c r="G610" s="31" t="s">
        <v>2403</v>
      </c>
      <c r="H610" s="31" t="s">
        <v>2107</v>
      </c>
      <c r="I610" s="31" t="s">
        <v>1835</v>
      </c>
      <c r="J610" s="31" t="s">
        <v>2120</v>
      </c>
      <c r="K610" t="s">
        <v>2655</v>
      </c>
      <c r="L610">
        <v>2</v>
      </c>
      <c r="M610" t="s">
        <v>8</v>
      </c>
      <c r="N610" t="s">
        <v>8</v>
      </c>
      <c r="O610" t="s">
        <v>8</v>
      </c>
      <c r="P610" t="s">
        <v>8</v>
      </c>
      <c r="Q610" t="s">
        <v>8</v>
      </c>
      <c r="R610" t="s">
        <v>8</v>
      </c>
    </row>
    <row r="611" spans="1:18">
      <c r="A611" s="159" t="s">
        <v>2518</v>
      </c>
      <c r="B611" s="31" t="s">
        <v>2696</v>
      </c>
      <c r="C611" s="152">
        <v>2</v>
      </c>
      <c r="D611" s="31" t="s">
        <v>2122</v>
      </c>
      <c r="E611" s="31" t="s">
        <v>2148</v>
      </c>
      <c r="F611" s="31">
        <v>5</v>
      </c>
      <c r="G611" s="31" t="s">
        <v>2403</v>
      </c>
      <c r="H611" s="31" t="s">
        <v>2107</v>
      </c>
      <c r="I611" s="31" t="s">
        <v>1835</v>
      </c>
      <c r="J611" s="31" t="s">
        <v>2120</v>
      </c>
      <c r="K611" t="s">
        <v>2655</v>
      </c>
      <c r="L611">
        <v>2</v>
      </c>
      <c r="M611" t="s">
        <v>8</v>
      </c>
      <c r="N611" t="s">
        <v>8</v>
      </c>
      <c r="O611" t="s">
        <v>8</v>
      </c>
      <c r="P611" t="s">
        <v>8</v>
      </c>
      <c r="Q611" t="s">
        <v>8</v>
      </c>
      <c r="R611" t="s">
        <v>8</v>
      </c>
    </row>
    <row r="612" spans="1:18">
      <c r="A612" s="159" t="s">
        <v>2519</v>
      </c>
      <c r="B612" s="31" t="s">
        <v>2706</v>
      </c>
      <c r="C612" s="152">
        <v>2</v>
      </c>
      <c r="D612" s="31" t="s">
        <v>2128</v>
      </c>
      <c r="E612" s="31" t="s">
        <v>2116</v>
      </c>
      <c r="F612" s="31">
        <v>5</v>
      </c>
      <c r="G612" s="153" t="s">
        <v>2468</v>
      </c>
      <c r="H612" s="31" t="s">
        <v>2110</v>
      </c>
      <c r="I612" s="31" t="s">
        <v>1835</v>
      </c>
      <c r="J612" s="31" t="s">
        <v>2120</v>
      </c>
      <c r="K612" t="s">
        <v>2655</v>
      </c>
      <c r="L612">
        <v>2</v>
      </c>
      <c r="M612" t="s">
        <v>8</v>
      </c>
      <c r="N612" t="s">
        <v>8</v>
      </c>
      <c r="O612" t="s">
        <v>8</v>
      </c>
      <c r="P612" t="s">
        <v>8</v>
      </c>
      <c r="Q612" t="s">
        <v>8</v>
      </c>
      <c r="R612" t="s">
        <v>8</v>
      </c>
    </row>
    <row r="613" spans="1:18">
      <c r="A613" s="159" t="s">
        <v>2520</v>
      </c>
      <c r="B613" s="31" t="s">
        <v>2706</v>
      </c>
      <c r="C613" s="152">
        <v>2</v>
      </c>
      <c r="D613" s="31" t="s">
        <v>1118</v>
      </c>
      <c r="E613" s="31" t="s">
        <v>3503</v>
      </c>
      <c r="F613" s="31">
        <v>5</v>
      </c>
      <c r="G613" s="153" t="s">
        <v>2451</v>
      </c>
      <c r="H613" s="31" t="s">
        <v>2107</v>
      </c>
      <c r="I613" s="31" t="s">
        <v>1835</v>
      </c>
      <c r="J613" s="31" t="s">
        <v>2108</v>
      </c>
      <c r="K613" t="s">
        <v>2656</v>
      </c>
      <c r="L613">
        <v>2</v>
      </c>
      <c r="M613" t="s">
        <v>8</v>
      </c>
      <c r="N613" t="s">
        <v>8</v>
      </c>
      <c r="O613" t="s">
        <v>8</v>
      </c>
      <c r="P613" t="s">
        <v>8</v>
      </c>
      <c r="Q613" t="s">
        <v>8</v>
      </c>
      <c r="R613" t="s">
        <v>8</v>
      </c>
    </row>
    <row r="614" spans="1:18">
      <c r="A614" s="159" t="s">
        <v>2636</v>
      </c>
      <c r="B614" s="31" t="s">
        <v>2698</v>
      </c>
      <c r="C614" s="152">
        <v>3</v>
      </c>
      <c r="D614" s="31" t="s">
        <v>1109</v>
      </c>
      <c r="E614" s="31" t="s">
        <v>2142</v>
      </c>
      <c r="F614" s="31" t="s">
        <v>2111</v>
      </c>
      <c r="G614" s="31" t="s">
        <v>2126</v>
      </c>
      <c r="H614" s="31" t="s">
        <v>2107</v>
      </c>
      <c r="I614" s="31" t="s">
        <v>1835</v>
      </c>
      <c r="J614" s="31" t="s">
        <v>2120</v>
      </c>
      <c r="K614" t="s">
        <v>2656</v>
      </c>
      <c r="L614">
        <v>3</v>
      </c>
      <c r="M614" t="s">
        <v>8</v>
      </c>
      <c r="N614" t="s">
        <v>8</v>
      </c>
      <c r="O614" t="s">
        <v>8</v>
      </c>
      <c r="P614" t="s">
        <v>8</v>
      </c>
      <c r="Q614" t="s">
        <v>8</v>
      </c>
      <c r="R614" t="s">
        <v>8</v>
      </c>
    </row>
    <row r="615" spans="1:18">
      <c r="A615" s="159" t="s">
        <v>2521</v>
      </c>
      <c r="B615" s="31" t="s">
        <v>2700</v>
      </c>
      <c r="C615" s="152">
        <v>3</v>
      </c>
      <c r="D615" s="31" t="str">
        <f>"0"</f>
        <v>0</v>
      </c>
      <c r="E615" s="31" t="s">
        <v>3097</v>
      </c>
      <c r="F615" s="31" t="s">
        <v>1740</v>
      </c>
      <c r="G615" s="31" t="s">
        <v>3687</v>
      </c>
      <c r="H615" s="31" t="s">
        <v>2110</v>
      </c>
      <c r="I615" s="31" t="s">
        <v>1835</v>
      </c>
      <c r="J615" s="31" t="s">
        <v>2267</v>
      </c>
      <c r="K615" t="s">
        <v>2656</v>
      </c>
      <c r="L615">
        <v>3</v>
      </c>
      <c r="M615" t="s">
        <v>8</v>
      </c>
      <c r="N615" t="s">
        <v>8</v>
      </c>
      <c r="O615" t="s">
        <v>8</v>
      </c>
      <c r="P615" t="s">
        <v>8</v>
      </c>
      <c r="Q615" t="s">
        <v>8</v>
      </c>
      <c r="R615" t="s">
        <v>8</v>
      </c>
    </row>
    <row r="616" spans="1:18">
      <c r="A616" s="159" t="s">
        <v>2522</v>
      </c>
      <c r="B616" s="31" t="s">
        <v>2695</v>
      </c>
      <c r="C616" s="152">
        <v>3</v>
      </c>
      <c r="D616" s="31" t="str">
        <f>"0"</f>
        <v>0</v>
      </c>
      <c r="E616" s="31" t="s">
        <v>2329</v>
      </c>
      <c r="F616" s="31">
        <v>6</v>
      </c>
      <c r="G616" s="31" t="s">
        <v>3510</v>
      </c>
      <c r="H616" s="31" t="s">
        <v>2107</v>
      </c>
      <c r="I616" s="31" t="s">
        <v>1835</v>
      </c>
      <c r="J616" s="31" t="s">
        <v>2120</v>
      </c>
      <c r="K616" t="s">
        <v>2656</v>
      </c>
      <c r="L616">
        <v>3</v>
      </c>
      <c r="M616" t="s">
        <v>8</v>
      </c>
      <c r="N616" t="s">
        <v>8</v>
      </c>
      <c r="O616" t="s">
        <v>8</v>
      </c>
      <c r="P616" t="s">
        <v>8</v>
      </c>
      <c r="Q616" t="s">
        <v>8</v>
      </c>
      <c r="R616" t="s">
        <v>8</v>
      </c>
    </row>
    <row r="617" spans="1:18">
      <c r="A617" s="159" t="s">
        <v>2523</v>
      </c>
      <c r="B617" s="31" t="s">
        <v>2726</v>
      </c>
      <c r="C617" s="152">
        <v>3</v>
      </c>
      <c r="D617" s="31" t="s">
        <v>1109</v>
      </c>
      <c r="E617" s="31" t="s">
        <v>3097</v>
      </c>
      <c r="F617" s="31">
        <v>6</v>
      </c>
      <c r="G617" s="31" t="s">
        <v>3740</v>
      </c>
      <c r="H617" s="31" t="s">
        <v>2107</v>
      </c>
      <c r="I617" s="31" t="s">
        <v>1835</v>
      </c>
      <c r="J617" s="31" t="s">
        <v>2120</v>
      </c>
      <c r="K617" t="s">
        <v>2657</v>
      </c>
      <c r="L617">
        <v>3</v>
      </c>
      <c r="M617" t="s">
        <v>8</v>
      </c>
      <c r="N617" t="s">
        <v>8</v>
      </c>
      <c r="O617" t="s">
        <v>8</v>
      </c>
      <c r="P617" t="s">
        <v>8</v>
      </c>
      <c r="Q617" t="s">
        <v>8</v>
      </c>
      <c r="R617" t="s">
        <v>8</v>
      </c>
    </row>
    <row r="618" spans="1:18">
      <c r="A618" s="159" t="s">
        <v>2524</v>
      </c>
      <c r="B618" s="31" t="s">
        <v>2695</v>
      </c>
      <c r="C618" s="152">
        <v>3</v>
      </c>
      <c r="D618" s="31" t="s">
        <v>2146</v>
      </c>
      <c r="E618" s="31" t="s">
        <v>3681</v>
      </c>
      <c r="F618" s="31" t="s">
        <v>3686</v>
      </c>
      <c r="G618" s="31" t="s">
        <v>3747</v>
      </c>
      <c r="H618" s="31" t="s">
        <v>2107</v>
      </c>
      <c r="I618" s="31" t="s">
        <v>1835</v>
      </c>
      <c r="J618" s="31" t="s">
        <v>2120</v>
      </c>
      <c r="K618" t="s">
        <v>2657</v>
      </c>
      <c r="L618">
        <v>3</v>
      </c>
      <c r="M618" t="s">
        <v>8</v>
      </c>
      <c r="N618" t="s">
        <v>8</v>
      </c>
      <c r="O618" t="s">
        <v>8</v>
      </c>
      <c r="P618" t="s">
        <v>8</v>
      </c>
      <c r="Q618" t="s">
        <v>8</v>
      </c>
      <c r="R618" t="s">
        <v>8</v>
      </c>
    </row>
    <row r="619" spans="1:18">
      <c r="A619" s="159" t="s">
        <v>2525</v>
      </c>
      <c r="B619" s="31" t="s">
        <v>2135</v>
      </c>
      <c r="C619" s="152">
        <v>3</v>
      </c>
      <c r="D619" s="31">
        <v>1</v>
      </c>
      <c r="E619" s="31" t="s">
        <v>2126</v>
      </c>
      <c r="F619" s="31" t="s">
        <v>2111</v>
      </c>
      <c r="G619" s="31" t="s">
        <v>2127</v>
      </c>
      <c r="H619" s="31" t="s">
        <v>2107</v>
      </c>
      <c r="I619" s="31" t="s">
        <v>1835</v>
      </c>
      <c r="J619" s="31" t="s">
        <v>270</v>
      </c>
      <c r="K619" t="s">
        <v>2657</v>
      </c>
      <c r="L619">
        <v>3</v>
      </c>
      <c r="M619" t="s">
        <v>8</v>
      </c>
      <c r="N619" t="s">
        <v>8</v>
      </c>
      <c r="O619" t="s">
        <v>8</v>
      </c>
      <c r="P619" t="s">
        <v>8</v>
      </c>
      <c r="Q619" t="s">
        <v>8</v>
      </c>
      <c r="R619" t="s">
        <v>8</v>
      </c>
    </row>
    <row r="620" spans="1:18">
      <c r="A620" s="159" t="s">
        <v>2526</v>
      </c>
      <c r="B620" s="31" t="s">
        <v>2692</v>
      </c>
      <c r="C620" s="152">
        <v>3</v>
      </c>
      <c r="D620" s="31" t="s">
        <v>1118</v>
      </c>
      <c r="E620" s="31" t="s">
        <v>2148</v>
      </c>
      <c r="F620" s="31" t="s">
        <v>1740</v>
      </c>
      <c r="G620" s="31" t="s">
        <v>2127</v>
      </c>
      <c r="H620" s="31" t="s">
        <v>2107</v>
      </c>
      <c r="I620" s="31" t="s">
        <v>1835</v>
      </c>
      <c r="J620" s="31" t="s">
        <v>2120</v>
      </c>
      <c r="K620" t="s">
        <v>2658</v>
      </c>
      <c r="L620">
        <v>3</v>
      </c>
      <c r="M620" t="s">
        <v>8</v>
      </c>
      <c r="N620" t="s">
        <v>8</v>
      </c>
      <c r="O620" t="s">
        <v>8</v>
      </c>
      <c r="P620" t="s">
        <v>8</v>
      </c>
      <c r="Q620" t="s">
        <v>8</v>
      </c>
      <c r="R620" t="s">
        <v>8</v>
      </c>
    </row>
    <row r="621" spans="1:18">
      <c r="A621" s="159" t="s">
        <v>2527</v>
      </c>
      <c r="B621" s="31" t="s">
        <v>2707</v>
      </c>
      <c r="C621" s="152">
        <v>3</v>
      </c>
      <c r="D621" s="31" t="s">
        <v>1109</v>
      </c>
      <c r="E621" s="31" t="s">
        <v>2126</v>
      </c>
      <c r="F621" s="31" t="s">
        <v>2111</v>
      </c>
      <c r="G621" s="31" t="s">
        <v>3740</v>
      </c>
      <c r="H621" s="31" t="s">
        <v>2110</v>
      </c>
      <c r="I621" s="31" t="s">
        <v>1835</v>
      </c>
      <c r="J621" s="31" t="s">
        <v>2120</v>
      </c>
      <c r="K621" t="s">
        <v>2658</v>
      </c>
      <c r="L621">
        <v>3</v>
      </c>
      <c r="M621" t="s">
        <v>8</v>
      </c>
      <c r="N621" t="s">
        <v>8</v>
      </c>
      <c r="O621" t="s">
        <v>8</v>
      </c>
      <c r="P621" t="s">
        <v>8</v>
      </c>
      <c r="Q621" t="s">
        <v>8</v>
      </c>
      <c r="R621" t="s">
        <v>8</v>
      </c>
    </row>
    <row r="622" spans="1:18">
      <c r="A622" s="159" t="s">
        <v>2528</v>
      </c>
      <c r="B622" s="31" t="s">
        <v>2707</v>
      </c>
      <c r="C622" s="152">
        <v>3</v>
      </c>
      <c r="D622" s="31" t="s">
        <v>1113</v>
      </c>
      <c r="E622" s="31" t="s">
        <v>3682</v>
      </c>
      <c r="F622" s="31">
        <v>6</v>
      </c>
      <c r="G622" s="31" t="s">
        <v>3740</v>
      </c>
      <c r="H622" s="31" t="s">
        <v>2107</v>
      </c>
      <c r="I622" s="31" t="s">
        <v>1835</v>
      </c>
      <c r="J622" s="31" t="s">
        <v>2120</v>
      </c>
      <c r="K622" t="s">
        <v>2658</v>
      </c>
      <c r="L622">
        <v>3</v>
      </c>
      <c r="M622" t="s">
        <v>8</v>
      </c>
      <c r="N622" t="s">
        <v>8</v>
      </c>
      <c r="O622" t="s">
        <v>8</v>
      </c>
      <c r="P622" t="s">
        <v>8</v>
      </c>
      <c r="Q622" t="s">
        <v>8</v>
      </c>
      <c r="R622" t="s">
        <v>8</v>
      </c>
    </row>
    <row r="623" spans="1:18">
      <c r="A623" s="159" t="s">
        <v>2635</v>
      </c>
      <c r="B623" s="31" t="s">
        <v>2695</v>
      </c>
      <c r="C623" s="152">
        <v>3</v>
      </c>
      <c r="D623" s="31" t="s">
        <v>3679</v>
      </c>
      <c r="E623" s="31" t="s">
        <v>2142</v>
      </c>
      <c r="F623" s="31" t="s">
        <v>2111</v>
      </c>
      <c r="G623" s="31" t="s">
        <v>2126</v>
      </c>
      <c r="H623" s="31" t="s">
        <v>2107</v>
      </c>
      <c r="I623" s="31" t="s">
        <v>1835</v>
      </c>
      <c r="J623" s="31" t="s">
        <v>270</v>
      </c>
      <c r="K623" t="s">
        <v>2659</v>
      </c>
      <c r="L623">
        <v>3</v>
      </c>
      <c r="M623" t="s">
        <v>8</v>
      </c>
      <c r="N623" t="s">
        <v>8</v>
      </c>
      <c r="O623" t="s">
        <v>8</v>
      </c>
      <c r="P623" t="s">
        <v>8</v>
      </c>
      <c r="Q623" t="s">
        <v>8</v>
      </c>
      <c r="R623" t="s">
        <v>8</v>
      </c>
    </row>
    <row r="624" spans="1:18">
      <c r="A624" s="159" t="s">
        <v>2634</v>
      </c>
      <c r="B624" s="31" t="s">
        <v>2696</v>
      </c>
      <c r="C624" s="152">
        <v>3</v>
      </c>
      <c r="D624" s="31" t="s">
        <v>2122</v>
      </c>
      <c r="E624" s="31" t="s">
        <v>2142</v>
      </c>
      <c r="F624" s="31">
        <v>6</v>
      </c>
      <c r="G624" s="31" t="s">
        <v>2126</v>
      </c>
      <c r="H624" s="31" t="s">
        <v>2110</v>
      </c>
      <c r="I624" s="31" t="s">
        <v>1834</v>
      </c>
      <c r="J624" s="31" t="s">
        <v>270</v>
      </c>
      <c r="K624" t="s">
        <v>2659</v>
      </c>
      <c r="L624">
        <v>3</v>
      </c>
      <c r="M624" t="s">
        <v>8</v>
      </c>
      <c r="N624" t="s">
        <v>8</v>
      </c>
      <c r="O624" t="s">
        <v>8</v>
      </c>
      <c r="P624" t="s">
        <v>8</v>
      </c>
      <c r="Q624" t="s">
        <v>8</v>
      </c>
      <c r="R624" t="s">
        <v>8</v>
      </c>
    </row>
    <row r="625" spans="1:18">
      <c r="A625" s="159" t="s">
        <v>2529</v>
      </c>
      <c r="B625" s="31" t="s">
        <v>2696</v>
      </c>
      <c r="C625" s="152">
        <v>3</v>
      </c>
      <c r="D625" s="31" t="s">
        <v>3680</v>
      </c>
      <c r="E625" s="31" t="s">
        <v>2142</v>
      </c>
      <c r="F625" s="31">
        <v>6</v>
      </c>
      <c r="G625" s="31" t="s">
        <v>3748</v>
      </c>
      <c r="H625" s="31" t="s">
        <v>2110</v>
      </c>
      <c r="I625" s="31" t="s">
        <v>1835</v>
      </c>
      <c r="J625" s="31" t="s">
        <v>2120</v>
      </c>
      <c r="K625" t="s">
        <v>2659</v>
      </c>
      <c r="L625">
        <v>3</v>
      </c>
      <c r="M625" t="s">
        <v>8</v>
      </c>
      <c r="N625" t="s">
        <v>8</v>
      </c>
      <c r="O625" t="s">
        <v>8</v>
      </c>
      <c r="P625" t="s">
        <v>8</v>
      </c>
      <c r="Q625" t="s">
        <v>8</v>
      </c>
      <c r="R625" t="s">
        <v>8</v>
      </c>
    </row>
    <row r="626" spans="1:18">
      <c r="A626" s="159" t="s">
        <v>2633</v>
      </c>
      <c r="B626" s="31" t="s">
        <v>2696</v>
      </c>
      <c r="C626" s="152">
        <v>3</v>
      </c>
      <c r="D626" s="31" t="s">
        <v>1113</v>
      </c>
      <c r="E626" s="31" t="s">
        <v>2126</v>
      </c>
      <c r="F626" s="31">
        <v>6</v>
      </c>
      <c r="G626" s="31" t="s">
        <v>3741</v>
      </c>
      <c r="H626" s="31" t="s">
        <v>2110</v>
      </c>
      <c r="I626" s="31" t="s">
        <v>1835</v>
      </c>
      <c r="J626" s="31" t="s">
        <v>2120</v>
      </c>
      <c r="K626" t="s">
        <v>2659</v>
      </c>
      <c r="L626">
        <v>3</v>
      </c>
      <c r="M626" t="s">
        <v>8</v>
      </c>
      <c r="N626" t="s">
        <v>8</v>
      </c>
      <c r="O626" t="s">
        <v>8</v>
      </c>
      <c r="P626" t="s">
        <v>8</v>
      </c>
      <c r="Q626" t="s">
        <v>8</v>
      </c>
      <c r="R626" t="s">
        <v>8</v>
      </c>
    </row>
    <row r="627" spans="1:18">
      <c r="A627" s="159" t="s">
        <v>2632</v>
      </c>
      <c r="B627" s="31" t="s">
        <v>2708</v>
      </c>
      <c r="C627" s="152">
        <v>3</v>
      </c>
      <c r="D627" s="31" t="s">
        <v>2122</v>
      </c>
      <c r="E627" s="31" t="s">
        <v>2142</v>
      </c>
      <c r="F627" s="31" t="s">
        <v>2111</v>
      </c>
      <c r="G627" s="31" t="s">
        <v>3749</v>
      </c>
      <c r="H627" s="31" t="s">
        <v>2107</v>
      </c>
      <c r="I627" s="31" t="s">
        <v>1835</v>
      </c>
      <c r="J627" s="31" t="s">
        <v>2120</v>
      </c>
      <c r="K627" t="s">
        <v>2660</v>
      </c>
      <c r="L627">
        <v>3</v>
      </c>
      <c r="M627" t="s">
        <v>8</v>
      </c>
      <c r="N627" t="s">
        <v>8</v>
      </c>
      <c r="O627" t="s">
        <v>8</v>
      </c>
      <c r="P627" t="s">
        <v>8</v>
      </c>
      <c r="Q627" t="s">
        <v>8</v>
      </c>
      <c r="R627" t="s">
        <v>8</v>
      </c>
    </row>
    <row r="628" spans="1:18">
      <c r="A628" s="160" t="s">
        <v>2663</v>
      </c>
      <c r="B628" s="31" t="s">
        <v>2708</v>
      </c>
      <c r="C628" s="152">
        <v>3</v>
      </c>
      <c r="D628" s="31" t="str">
        <f>"0"</f>
        <v>0</v>
      </c>
      <c r="E628" s="31" t="s">
        <v>3683</v>
      </c>
      <c r="F628" s="31">
        <v>6</v>
      </c>
      <c r="G628" s="31" t="s">
        <v>3510</v>
      </c>
      <c r="H628" s="31" t="s">
        <v>2107</v>
      </c>
      <c r="I628" s="31" t="s">
        <v>1835</v>
      </c>
      <c r="J628" s="31" t="s">
        <v>2120</v>
      </c>
      <c r="K628" t="s">
        <v>2660</v>
      </c>
      <c r="L628">
        <v>3</v>
      </c>
      <c r="M628" t="s">
        <v>8</v>
      </c>
      <c r="N628" t="s">
        <v>8</v>
      </c>
      <c r="O628" t="s">
        <v>8</v>
      </c>
      <c r="P628" t="s">
        <v>8</v>
      </c>
      <c r="Q628" t="s">
        <v>8</v>
      </c>
      <c r="R628" t="s">
        <v>8</v>
      </c>
    </row>
    <row r="629" spans="1:18">
      <c r="A629" s="159" t="s">
        <v>2530</v>
      </c>
      <c r="B629" s="31" t="s">
        <v>2706</v>
      </c>
      <c r="C629" s="152">
        <v>3</v>
      </c>
      <c r="D629" s="31" t="s">
        <v>2122</v>
      </c>
      <c r="E629" s="31" t="s">
        <v>3684</v>
      </c>
      <c r="F629" s="31" t="s">
        <v>1101</v>
      </c>
      <c r="G629" s="31" t="s">
        <v>2126</v>
      </c>
      <c r="H629" s="31" t="s">
        <v>2107</v>
      </c>
      <c r="I629" s="31" t="s">
        <v>1835</v>
      </c>
      <c r="J629" s="31" t="s">
        <v>270</v>
      </c>
      <c r="K629" t="s">
        <v>2660</v>
      </c>
      <c r="L629">
        <v>3</v>
      </c>
      <c r="M629" t="s">
        <v>8</v>
      </c>
      <c r="N629" t="s">
        <v>8</v>
      </c>
      <c r="O629" t="s">
        <v>8</v>
      </c>
      <c r="P629" t="s">
        <v>8</v>
      </c>
      <c r="Q629" t="s">
        <v>8</v>
      </c>
      <c r="R629" t="s">
        <v>8</v>
      </c>
    </row>
    <row r="630" spans="1:18">
      <c r="A630" s="159" t="s">
        <v>2531</v>
      </c>
      <c r="B630" s="31" t="s">
        <v>2698</v>
      </c>
      <c r="C630" s="152">
        <v>3</v>
      </c>
      <c r="D630" s="31" t="s">
        <v>2122</v>
      </c>
      <c r="E630" s="31" t="s">
        <v>2142</v>
      </c>
      <c r="F630" s="31" t="s">
        <v>2111</v>
      </c>
      <c r="G630" s="31" t="s">
        <v>2403</v>
      </c>
      <c r="H630" s="31" t="s">
        <v>2110</v>
      </c>
      <c r="I630" s="31" t="s">
        <v>1834</v>
      </c>
      <c r="J630" s="31" t="s">
        <v>270</v>
      </c>
      <c r="K630" t="s">
        <v>2661</v>
      </c>
      <c r="L630">
        <v>3</v>
      </c>
      <c r="M630" t="s">
        <v>8</v>
      </c>
      <c r="N630" t="s">
        <v>8</v>
      </c>
      <c r="O630" t="s">
        <v>8</v>
      </c>
      <c r="P630" t="s">
        <v>8</v>
      </c>
      <c r="Q630" t="s">
        <v>8</v>
      </c>
      <c r="R630" t="s">
        <v>8</v>
      </c>
    </row>
    <row r="631" spans="1:18">
      <c r="A631" s="159" t="s">
        <v>2532</v>
      </c>
      <c r="B631" s="31" t="s">
        <v>2698</v>
      </c>
      <c r="C631" s="152">
        <v>3</v>
      </c>
      <c r="D631" s="31" t="s">
        <v>2122</v>
      </c>
      <c r="E631" s="31" t="s">
        <v>2142</v>
      </c>
      <c r="F631" s="31" t="s">
        <v>2111</v>
      </c>
      <c r="G631" s="31" t="s">
        <v>2403</v>
      </c>
      <c r="H631" s="31" t="s">
        <v>2110</v>
      </c>
      <c r="I631" s="31" t="s">
        <v>1834</v>
      </c>
      <c r="J631" s="31" t="s">
        <v>2120</v>
      </c>
      <c r="K631" t="s">
        <v>2661</v>
      </c>
      <c r="L631">
        <v>3</v>
      </c>
      <c r="M631" t="s">
        <v>8</v>
      </c>
      <c r="N631" t="s">
        <v>8</v>
      </c>
      <c r="O631" t="s">
        <v>8</v>
      </c>
      <c r="P631" t="s">
        <v>8</v>
      </c>
      <c r="Q631" t="s">
        <v>8</v>
      </c>
      <c r="R631" t="s">
        <v>8</v>
      </c>
    </row>
    <row r="632" spans="1:18">
      <c r="A632" s="159" t="s">
        <v>2533</v>
      </c>
      <c r="B632" s="31" t="s">
        <v>2692</v>
      </c>
      <c r="C632" s="152">
        <v>3</v>
      </c>
      <c r="D632" s="31" t="s">
        <v>1383</v>
      </c>
      <c r="E632" s="31" t="s">
        <v>2116</v>
      </c>
      <c r="F632" s="31">
        <v>6</v>
      </c>
      <c r="G632" s="31" t="s">
        <v>3750</v>
      </c>
      <c r="H632" s="31" t="s">
        <v>2110</v>
      </c>
      <c r="I632" s="31" t="s">
        <v>1835</v>
      </c>
      <c r="J632" s="31" t="s">
        <v>2108</v>
      </c>
      <c r="K632" t="s">
        <v>2661</v>
      </c>
      <c r="L632">
        <v>3</v>
      </c>
      <c r="M632" t="s">
        <v>8</v>
      </c>
      <c r="N632" t="s">
        <v>8</v>
      </c>
      <c r="O632" t="s">
        <v>8</v>
      </c>
      <c r="P632" t="s">
        <v>8</v>
      </c>
      <c r="Q632" t="s">
        <v>8</v>
      </c>
      <c r="R632" t="s">
        <v>8</v>
      </c>
    </row>
    <row r="633" spans="1:18">
      <c r="A633" s="159" t="s">
        <v>2631</v>
      </c>
      <c r="B633" s="31" t="s">
        <v>2135</v>
      </c>
      <c r="C633" s="152">
        <v>3</v>
      </c>
      <c r="D633" s="31" t="s">
        <v>2276</v>
      </c>
      <c r="E633" s="31" t="s">
        <v>3503</v>
      </c>
      <c r="F633" s="31" t="s">
        <v>1740</v>
      </c>
      <c r="G633" s="31" t="s">
        <v>1117</v>
      </c>
      <c r="H633" s="31" t="s">
        <v>2107</v>
      </c>
      <c r="I633" s="31" t="s">
        <v>1834</v>
      </c>
      <c r="J633" s="31" t="s">
        <v>2120</v>
      </c>
      <c r="K633" t="s">
        <v>2662</v>
      </c>
      <c r="L633">
        <v>3</v>
      </c>
      <c r="M633" t="s">
        <v>8</v>
      </c>
      <c r="N633" t="s">
        <v>8</v>
      </c>
      <c r="O633" t="s">
        <v>8</v>
      </c>
      <c r="P633" t="s">
        <v>8</v>
      </c>
      <c r="Q633" t="s">
        <v>8</v>
      </c>
      <c r="R633" t="s">
        <v>8</v>
      </c>
    </row>
    <row r="634" spans="1:18">
      <c r="A634" s="227" t="s">
        <v>2630</v>
      </c>
      <c r="B634" s="31" t="s">
        <v>2726</v>
      </c>
      <c r="C634" s="152">
        <v>3</v>
      </c>
      <c r="D634" s="31" t="s">
        <v>2128</v>
      </c>
      <c r="E634" s="31" t="s">
        <v>2142</v>
      </c>
      <c r="F634" s="31">
        <v>6</v>
      </c>
      <c r="G634" s="31" t="s">
        <v>3742</v>
      </c>
      <c r="H634" s="31" t="s">
        <v>2110</v>
      </c>
      <c r="I634" s="31" t="s">
        <v>1834</v>
      </c>
      <c r="J634" s="31" t="s">
        <v>270</v>
      </c>
      <c r="K634" t="s">
        <v>2662</v>
      </c>
      <c r="L634">
        <v>3</v>
      </c>
      <c r="M634" t="s">
        <v>8</v>
      </c>
      <c r="N634" t="s">
        <v>8</v>
      </c>
      <c r="O634" t="s">
        <v>8</v>
      </c>
      <c r="P634" t="s">
        <v>8</v>
      </c>
      <c r="Q634" t="s">
        <v>8</v>
      </c>
      <c r="R634" t="s">
        <v>8</v>
      </c>
    </row>
    <row r="635" spans="1:18">
      <c r="A635" s="159" t="s">
        <v>2534</v>
      </c>
      <c r="B635" s="31" t="s">
        <v>2694</v>
      </c>
      <c r="C635" s="152">
        <v>3</v>
      </c>
      <c r="D635" s="31" t="s">
        <v>2122</v>
      </c>
      <c r="E635" s="31" t="s">
        <v>3685</v>
      </c>
      <c r="F635" s="31">
        <v>6</v>
      </c>
      <c r="G635" s="31" t="s">
        <v>2126</v>
      </c>
      <c r="H635" s="31" t="s">
        <v>2107</v>
      </c>
      <c r="I635" s="31" t="s">
        <v>1835</v>
      </c>
      <c r="J635" s="31" t="s">
        <v>2120</v>
      </c>
      <c r="K635" t="s">
        <v>2662</v>
      </c>
      <c r="L635">
        <v>3</v>
      </c>
      <c r="M635" t="s">
        <v>8</v>
      </c>
      <c r="N635" t="s">
        <v>8</v>
      </c>
      <c r="O635" t="s">
        <v>8</v>
      </c>
      <c r="P635" t="s">
        <v>8</v>
      </c>
      <c r="Q635" t="s">
        <v>8</v>
      </c>
      <c r="R635" t="s">
        <v>8</v>
      </c>
    </row>
    <row r="636" spans="1:18">
      <c r="A636" s="159" t="s">
        <v>2629</v>
      </c>
      <c r="B636" s="31" t="s">
        <v>2698</v>
      </c>
      <c r="C636" s="152">
        <v>3</v>
      </c>
      <c r="D636" s="31" t="s">
        <v>2122</v>
      </c>
      <c r="E636" s="31" t="s">
        <v>3685</v>
      </c>
      <c r="F636" s="31" t="s">
        <v>2267</v>
      </c>
      <c r="G636" s="31" t="s">
        <v>3744</v>
      </c>
      <c r="H636" s="31" t="s">
        <v>2151</v>
      </c>
      <c r="I636" s="31" t="s">
        <v>1835</v>
      </c>
      <c r="J636" s="31" t="s">
        <v>2120</v>
      </c>
      <c r="K636" t="s">
        <v>2662</v>
      </c>
      <c r="L636">
        <v>3</v>
      </c>
      <c r="M636" t="s">
        <v>8</v>
      </c>
      <c r="N636" t="s">
        <v>8</v>
      </c>
      <c r="O636" t="s">
        <v>8</v>
      </c>
      <c r="P636" t="s">
        <v>8</v>
      </c>
      <c r="Q636" t="s">
        <v>8</v>
      </c>
      <c r="R636" t="s">
        <v>8</v>
      </c>
    </row>
    <row r="637" spans="1:18">
      <c r="A637" s="159" t="s">
        <v>2535</v>
      </c>
      <c r="B637" s="31" t="s">
        <v>2701</v>
      </c>
      <c r="C637" s="152">
        <v>3</v>
      </c>
      <c r="D637" s="31" t="str">
        <f>"0"</f>
        <v>0</v>
      </c>
      <c r="E637" s="31" t="s">
        <v>2148</v>
      </c>
      <c r="F637" s="31">
        <v>6</v>
      </c>
      <c r="G637" s="31" t="s">
        <v>3745</v>
      </c>
      <c r="H637" s="31" t="s">
        <v>2107</v>
      </c>
      <c r="I637" s="31" t="s">
        <v>1835</v>
      </c>
      <c r="J637" s="31" t="s">
        <v>2120</v>
      </c>
      <c r="K637" t="s">
        <v>2664</v>
      </c>
      <c r="L637">
        <v>3</v>
      </c>
      <c r="M637" t="s">
        <v>8</v>
      </c>
      <c r="N637" t="s">
        <v>8</v>
      </c>
      <c r="O637" t="s">
        <v>8</v>
      </c>
      <c r="P637" t="s">
        <v>8</v>
      </c>
      <c r="Q637" t="s">
        <v>8</v>
      </c>
      <c r="R637" t="s">
        <v>8</v>
      </c>
    </row>
    <row r="638" spans="1:18">
      <c r="A638" s="159" t="s">
        <v>2536</v>
      </c>
      <c r="B638" s="31" t="s">
        <v>2709</v>
      </c>
      <c r="C638" s="152">
        <v>3</v>
      </c>
      <c r="D638" s="31" t="s">
        <v>2122</v>
      </c>
      <c r="E638" s="31" t="s">
        <v>2126</v>
      </c>
      <c r="F638" s="31">
        <v>6</v>
      </c>
      <c r="G638" s="31" t="s">
        <v>2403</v>
      </c>
      <c r="H638" s="31" t="s">
        <v>2107</v>
      </c>
      <c r="I638" s="31" t="s">
        <v>1835</v>
      </c>
      <c r="J638" s="31" t="s">
        <v>2120</v>
      </c>
      <c r="K638" t="s">
        <v>2664</v>
      </c>
      <c r="L638">
        <v>3</v>
      </c>
      <c r="M638" t="s">
        <v>8</v>
      </c>
      <c r="N638" t="s">
        <v>8</v>
      </c>
      <c r="O638" t="s">
        <v>8</v>
      </c>
      <c r="P638" t="s">
        <v>8</v>
      </c>
      <c r="Q638" t="s">
        <v>8</v>
      </c>
      <c r="R638" t="s">
        <v>8</v>
      </c>
    </row>
    <row r="639" spans="1:18">
      <c r="A639" s="159" t="s">
        <v>2537</v>
      </c>
      <c r="B639" s="31" t="s">
        <v>2710</v>
      </c>
      <c r="C639" s="152">
        <v>3</v>
      </c>
      <c r="D639" s="31" t="s">
        <v>2122</v>
      </c>
      <c r="E639" s="31" t="s">
        <v>2126</v>
      </c>
      <c r="F639" s="31" t="s">
        <v>2111</v>
      </c>
      <c r="G639" s="31" t="s">
        <v>2127</v>
      </c>
      <c r="H639" s="31" t="s">
        <v>2110</v>
      </c>
      <c r="I639" s="31" t="s">
        <v>1835</v>
      </c>
      <c r="J639" s="31" t="s">
        <v>2120</v>
      </c>
      <c r="K639" t="s">
        <v>2664</v>
      </c>
      <c r="L639">
        <v>3</v>
      </c>
      <c r="M639" t="s">
        <v>8</v>
      </c>
      <c r="N639" t="s">
        <v>8</v>
      </c>
      <c r="O639" t="s">
        <v>8</v>
      </c>
      <c r="P639" t="s">
        <v>8</v>
      </c>
      <c r="Q639" t="s">
        <v>8</v>
      </c>
      <c r="R639" t="s">
        <v>8</v>
      </c>
    </row>
    <row r="640" spans="1:18">
      <c r="A640" s="159" t="s">
        <v>2628</v>
      </c>
      <c r="B640" s="31" t="s">
        <v>2703</v>
      </c>
      <c r="C640" s="152">
        <v>3</v>
      </c>
      <c r="D640" s="31" t="s">
        <v>3679</v>
      </c>
      <c r="E640" s="31" t="s">
        <v>2126</v>
      </c>
      <c r="F640" s="31">
        <v>6</v>
      </c>
      <c r="G640" s="31" t="s">
        <v>3746</v>
      </c>
      <c r="H640" s="31" t="s">
        <v>2107</v>
      </c>
      <c r="I640" s="31" t="s">
        <v>1835</v>
      </c>
      <c r="J640" s="31" t="s">
        <v>270</v>
      </c>
      <c r="K640" t="s">
        <v>2664</v>
      </c>
      <c r="L640">
        <v>3</v>
      </c>
      <c r="M640" t="s">
        <v>8</v>
      </c>
      <c r="N640" t="s">
        <v>8</v>
      </c>
      <c r="O640" t="s">
        <v>8</v>
      </c>
      <c r="P640" t="s">
        <v>8</v>
      </c>
      <c r="Q640" t="s">
        <v>8</v>
      </c>
      <c r="R640" t="s">
        <v>8</v>
      </c>
    </row>
    <row r="641" spans="1:18">
      <c r="A641" s="159" t="s">
        <v>2627</v>
      </c>
      <c r="B641" s="31" t="s">
        <v>2711</v>
      </c>
      <c r="C641" s="152">
        <v>3</v>
      </c>
      <c r="D641" s="31" t="s">
        <v>2122</v>
      </c>
      <c r="E641" s="31" t="s">
        <v>2304</v>
      </c>
      <c r="F641" s="31">
        <v>6</v>
      </c>
      <c r="G641" s="31" t="s">
        <v>2403</v>
      </c>
      <c r="H641" s="31" t="s">
        <v>2110</v>
      </c>
      <c r="I641" s="31" t="s">
        <v>1834</v>
      </c>
      <c r="J641" s="31" t="s">
        <v>2120</v>
      </c>
      <c r="K641" t="s">
        <v>2665</v>
      </c>
      <c r="L641">
        <v>3</v>
      </c>
      <c r="M641" t="s">
        <v>8</v>
      </c>
      <c r="N641" t="s">
        <v>8</v>
      </c>
      <c r="O641" t="s">
        <v>8</v>
      </c>
      <c r="P641" t="s">
        <v>8</v>
      </c>
      <c r="Q641" t="s">
        <v>8</v>
      </c>
      <c r="R641" t="s">
        <v>8</v>
      </c>
    </row>
    <row r="642" spans="1:18">
      <c r="A642" s="159" t="s">
        <v>2538</v>
      </c>
      <c r="B642" s="31" t="s">
        <v>2703</v>
      </c>
      <c r="C642" s="152">
        <v>3</v>
      </c>
      <c r="D642" s="31" t="s">
        <v>2122</v>
      </c>
      <c r="E642" s="31" t="s">
        <v>3509</v>
      </c>
      <c r="F642" s="31">
        <v>5</v>
      </c>
      <c r="G642" s="31" t="s">
        <v>2467</v>
      </c>
      <c r="H642" s="31" t="s">
        <v>2107</v>
      </c>
      <c r="I642" s="31" t="s">
        <v>1835</v>
      </c>
      <c r="J642" s="31" t="s">
        <v>2120</v>
      </c>
      <c r="K642" t="s">
        <v>2665</v>
      </c>
      <c r="L642">
        <v>3</v>
      </c>
      <c r="M642" t="s">
        <v>8</v>
      </c>
      <c r="N642" t="s">
        <v>8</v>
      </c>
      <c r="O642" t="s">
        <v>8</v>
      </c>
      <c r="P642" t="s">
        <v>8</v>
      </c>
      <c r="Q642" t="s">
        <v>8</v>
      </c>
      <c r="R642" t="s">
        <v>8</v>
      </c>
    </row>
    <row r="643" spans="1:18">
      <c r="A643" s="159" t="s">
        <v>2539</v>
      </c>
      <c r="B643" s="31" t="s">
        <v>2696</v>
      </c>
      <c r="C643" s="152">
        <v>3</v>
      </c>
      <c r="D643" s="31" t="s">
        <v>2122</v>
      </c>
      <c r="E643" s="31" t="s">
        <v>2115</v>
      </c>
      <c r="F643" s="31" t="s">
        <v>2111</v>
      </c>
      <c r="G643" s="31" t="s">
        <v>3510</v>
      </c>
      <c r="H643" s="31" t="s">
        <v>2107</v>
      </c>
      <c r="I643" s="31" t="s">
        <v>1835</v>
      </c>
      <c r="J643" s="31" t="s">
        <v>2120</v>
      </c>
      <c r="K643" t="s">
        <v>2665</v>
      </c>
      <c r="L643">
        <v>3</v>
      </c>
      <c r="M643" t="s">
        <v>8</v>
      </c>
      <c r="N643" t="s">
        <v>8</v>
      </c>
      <c r="O643" t="s">
        <v>8</v>
      </c>
      <c r="P643" t="s">
        <v>8</v>
      </c>
      <c r="Q643" t="s">
        <v>8</v>
      </c>
      <c r="R643" t="s">
        <v>8</v>
      </c>
    </row>
    <row r="644" spans="1:18">
      <c r="A644" s="159" t="s">
        <v>2626</v>
      </c>
      <c r="B644" s="31" t="s">
        <v>2694</v>
      </c>
      <c r="C644" s="152">
        <v>4</v>
      </c>
      <c r="D644" s="31" t="s">
        <v>3751</v>
      </c>
      <c r="E644" s="31" t="s">
        <v>3097</v>
      </c>
      <c r="F644" s="31" t="s">
        <v>1740</v>
      </c>
      <c r="G644" s="31" t="s">
        <v>3753</v>
      </c>
      <c r="H644" s="31" t="s">
        <v>2107</v>
      </c>
      <c r="I644" s="31" t="s">
        <v>1834</v>
      </c>
      <c r="J644" s="31" t="s">
        <v>2120</v>
      </c>
      <c r="K644" t="s">
        <v>2665</v>
      </c>
      <c r="L644">
        <v>4</v>
      </c>
      <c r="M644" t="s">
        <v>8</v>
      </c>
      <c r="N644" t="s">
        <v>8</v>
      </c>
      <c r="O644" t="s">
        <v>8</v>
      </c>
      <c r="P644" t="s">
        <v>8</v>
      </c>
      <c r="Q644" t="s">
        <v>8</v>
      </c>
      <c r="R644" t="s">
        <v>8</v>
      </c>
    </row>
    <row r="645" spans="1:18">
      <c r="A645" s="159" t="s">
        <v>2229</v>
      </c>
      <c r="B645" s="31" t="s">
        <v>2003</v>
      </c>
      <c r="C645" s="152">
        <v>4</v>
      </c>
      <c r="D645" s="31" t="s">
        <v>3754</v>
      </c>
      <c r="E645" s="31" t="s">
        <v>3753</v>
      </c>
      <c r="F645" s="31" t="s">
        <v>2111</v>
      </c>
      <c r="G645" s="31" t="s">
        <v>2127</v>
      </c>
      <c r="H645" s="31" t="s">
        <v>2107</v>
      </c>
      <c r="I645" s="31" t="s">
        <v>1835</v>
      </c>
      <c r="J645" s="31" t="s">
        <v>270</v>
      </c>
      <c r="K645" t="s">
        <v>2665</v>
      </c>
      <c r="L645">
        <v>4</v>
      </c>
      <c r="M645" t="s">
        <v>8</v>
      </c>
      <c r="N645" t="s">
        <v>8</v>
      </c>
      <c r="O645" t="s">
        <v>8</v>
      </c>
      <c r="P645" t="s">
        <v>8</v>
      </c>
      <c r="Q645" t="s">
        <v>8</v>
      </c>
      <c r="R645" t="s">
        <v>8</v>
      </c>
    </row>
    <row r="646" spans="1:18">
      <c r="A646" s="159" t="s">
        <v>2540</v>
      </c>
      <c r="B646" s="31" t="s">
        <v>718</v>
      </c>
      <c r="C646" s="152">
        <v>4</v>
      </c>
      <c r="D646" s="31" t="s">
        <v>2122</v>
      </c>
      <c r="E646" s="31" t="s">
        <v>3097</v>
      </c>
      <c r="F646" s="31">
        <v>7</v>
      </c>
      <c r="G646" s="31" t="s">
        <v>2403</v>
      </c>
      <c r="H646" s="31" t="s">
        <v>2107</v>
      </c>
      <c r="I646" s="31" t="s">
        <v>1835</v>
      </c>
      <c r="J646" s="31" t="s">
        <v>2120</v>
      </c>
      <c r="K646" t="s">
        <v>2666</v>
      </c>
      <c r="L646">
        <v>4</v>
      </c>
      <c r="M646" t="s">
        <v>8</v>
      </c>
      <c r="N646" t="s">
        <v>8</v>
      </c>
      <c r="O646" t="s">
        <v>8</v>
      </c>
      <c r="P646" t="s">
        <v>8</v>
      </c>
      <c r="Q646" t="s">
        <v>8</v>
      </c>
      <c r="R646" t="s">
        <v>8</v>
      </c>
    </row>
    <row r="647" spans="1:18">
      <c r="A647" s="159" t="s">
        <v>2541</v>
      </c>
      <c r="B647" s="31" t="s">
        <v>2003</v>
      </c>
      <c r="C647" s="152">
        <v>4</v>
      </c>
      <c r="D647" s="31" t="s">
        <v>3758</v>
      </c>
      <c r="E647" s="31" t="s">
        <v>3753</v>
      </c>
      <c r="F647" s="31" t="s">
        <v>1101</v>
      </c>
      <c r="G647" s="31" t="s">
        <v>3753</v>
      </c>
      <c r="H647" s="31" t="s">
        <v>2107</v>
      </c>
      <c r="I647" s="31" t="s">
        <v>1835</v>
      </c>
      <c r="J647" s="31" t="s">
        <v>2108</v>
      </c>
      <c r="K647" t="s">
        <v>2666</v>
      </c>
      <c r="L647">
        <v>4</v>
      </c>
      <c r="M647" t="s">
        <v>8</v>
      </c>
      <c r="N647" t="s">
        <v>8</v>
      </c>
      <c r="O647" t="s">
        <v>8</v>
      </c>
      <c r="P647" t="s">
        <v>8</v>
      </c>
      <c r="Q647" t="s">
        <v>8</v>
      </c>
      <c r="R647" t="s">
        <v>8</v>
      </c>
    </row>
    <row r="648" spans="1:18">
      <c r="A648" s="159" t="s">
        <v>2542</v>
      </c>
      <c r="B648" s="31" t="s">
        <v>2135</v>
      </c>
      <c r="C648" s="152">
        <v>4</v>
      </c>
      <c r="D648" s="31" t="s">
        <v>1109</v>
      </c>
      <c r="E648" s="31" t="s">
        <v>2148</v>
      </c>
      <c r="F648" s="31" t="s">
        <v>3760</v>
      </c>
      <c r="G648" s="31" t="s">
        <v>3753</v>
      </c>
      <c r="H648" s="31" t="s">
        <v>2107</v>
      </c>
      <c r="I648" s="31" t="s">
        <v>1835</v>
      </c>
      <c r="J648" s="31" t="s">
        <v>2120</v>
      </c>
      <c r="K648" t="s">
        <v>2666</v>
      </c>
      <c r="L648">
        <v>4</v>
      </c>
      <c r="M648" t="s">
        <v>8</v>
      </c>
      <c r="N648" t="s">
        <v>8</v>
      </c>
      <c r="O648" t="s">
        <v>8</v>
      </c>
      <c r="P648" t="s">
        <v>8</v>
      </c>
      <c r="Q648" t="s">
        <v>8</v>
      </c>
      <c r="R648" t="s">
        <v>8</v>
      </c>
    </row>
    <row r="649" spans="1:18">
      <c r="A649" s="227" t="s">
        <v>3773</v>
      </c>
      <c r="B649" s="31" t="s">
        <v>2695</v>
      </c>
      <c r="C649" s="152">
        <v>4</v>
      </c>
      <c r="D649" s="31" t="s">
        <v>1118</v>
      </c>
      <c r="E649" s="31" t="s">
        <v>2116</v>
      </c>
      <c r="F649" s="31">
        <v>7</v>
      </c>
      <c r="G649" s="31" t="s">
        <v>3772</v>
      </c>
      <c r="H649" s="31" t="s">
        <v>2107</v>
      </c>
      <c r="I649" s="31" t="s">
        <v>1834</v>
      </c>
      <c r="J649" s="31" t="s">
        <v>2120</v>
      </c>
      <c r="K649" t="s">
        <v>2667</v>
      </c>
      <c r="L649">
        <v>4</v>
      </c>
      <c r="M649" t="s">
        <v>8</v>
      </c>
      <c r="N649" t="s">
        <v>8</v>
      </c>
      <c r="O649" t="s">
        <v>8</v>
      </c>
      <c r="P649" t="s">
        <v>8</v>
      </c>
      <c r="Q649" t="s">
        <v>8</v>
      </c>
      <c r="R649" t="s">
        <v>8</v>
      </c>
    </row>
    <row r="650" spans="1:18">
      <c r="A650" s="159" t="s">
        <v>2543</v>
      </c>
      <c r="B650" s="31" t="s">
        <v>2712</v>
      </c>
      <c r="C650" s="152">
        <v>4</v>
      </c>
      <c r="D650" s="31" t="s">
        <v>3826</v>
      </c>
      <c r="E650" s="31" t="s">
        <v>3753</v>
      </c>
      <c r="F650" s="31">
        <v>7</v>
      </c>
      <c r="G650" s="31" t="s">
        <v>3753</v>
      </c>
      <c r="H650" s="31" t="s">
        <v>2110</v>
      </c>
      <c r="I650" s="31" t="s">
        <v>1835</v>
      </c>
      <c r="J650" s="31" t="s">
        <v>2120</v>
      </c>
      <c r="K650" t="s">
        <v>2667</v>
      </c>
      <c r="L650">
        <v>4</v>
      </c>
      <c r="M650" t="s">
        <v>8</v>
      </c>
      <c r="N650" t="s">
        <v>8</v>
      </c>
      <c r="O650" t="s">
        <v>8</v>
      </c>
      <c r="P650" t="s">
        <v>8</v>
      </c>
      <c r="Q650" t="s">
        <v>8</v>
      </c>
      <c r="R650" t="s">
        <v>8</v>
      </c>
    </row>
    <row r="651" spans="1:18">
      <c r="A651" s="159" t="s">
        <v>2544</v>
      </c>
      <c r="B651" s="31" t="s">
        <v>2700</v>
      </c>
      <c r="C651" s="152">
        <v>4</v>
      </c>
      <c r="D651" s="31" t="str">
        <f>"0"</f>
        <v>0</v>
      </c>
      <c r="E651" s="31" t="s">
        <v>3771</v>
      </c>
      <c r="F651" s="31">
        <v>7</v>
      </c>
      <c r="G651" s="31" t="s">
        <v>3774</v>
      </c>
      <c r="H651" s="31" t="s">
        <v>2107</v>
      </c>
      <c r="I651" s="31" t="s">
        <v>1835</v>
      </c>
      <c r="J651" s="31" t="s">
        <v>2120</v>
      </c>
      <c r="K651" t="s">
        <v>2667</v>
      </c>
      <c r="L651">
        <v>4</v>
      </c>
      <c r="M651" t="s">
        <v>8</v>
      </c>
      <c r="N651" t="s">
        <v>8</v>
      </c>
      <c r="O651" t="s">
        <v>8</v>
      </c>
      <c r="P651" t="s">
        <v>8</v>
      </c>
      <c r="Q651" t="s">
        <v>8</v>
      </c>
      <c r="R651" t="s">
        <v>8</v>
      </c>
    </row>
    <row r="652" spans="1:18">
      <c r="A652" s="159" t="s">
        <v>2545</v>
      </c>
      <c r="B652" s="31" t="s">
        <v>2135</v>
      </c>
      <c r="C652" s="152">
        <v>4</v>
      </c>
      <c r="D652" s="31" t="s">
        <v>1118</v>
      </c>
      <c r="E652" s="31" t="s">
        <v>2148</v>
      </c>
      <c r="F652" s="31">
        <v>7</v>
      </c>
      <c r="G652" s="31" t="s">
        <v>2127</v>
      </c>
      <c r="H652" s="31" t="s">
        <v>2107</v>
      </c>
      <c r="I652" s="31" t="s">
        <v>1834</v>
      </c>
      <c r="J652" s="31" t="s">
        <v>2108</v>
      </c>
      <c r="K652" t="s">
        <v>2667</v>
      </c>
      <c r="L652">
        <v>4</v>
      </c>
      <c r="M652" t="s">
        <v>8</v>
      </c>
      <c r="N652" t="s">
        <v>8</v>
      </c>
      <c r="O652" t="s">
        <v>8</v>
      </c>
      <c r="P652" t="s">
        <v>8</v>
      </c>
      <c r="Q652" t="s">
        <v>8</v>
      </c>
      <c r="R652" t="s">
        <v>8</v>
      </c>
    </row>
    <row r="653" spans="1:18">
      <c r="A653" s="159" t="s">
        <v>2135</v>
      </c>
      <c r="B653" s="31" t="s">
        <v>2135</v>
      </c>
      <c r="C653" s="152">
        <v>4</v>
      </c>
      <c r="D653" s="31" t="str">
        <f>"0"</f>
        <v>0</v>
      </c>
      <c r="E653" s="31" t="s">
        <v>3753</v>
      </c>
      <c r="F653" s="31" t="s">
        <v>1740</v>
      </c>
      <c r="G653" s="31" t="s">
        <v>2126</v>
      </c>
      <c r="H653" s="31" t="s">
        <v>2107</v>
      </c>
      <c r="I653" s="31" t="s">
        <v>1835</v>
      </c>
      <c r="J653" s="31" t="s">
        <v>2120</v>
      </c>
      <c r="K653" t="s">
        <v>2668</v>
      </c>
      <c r="L653">
        <v>4</v>
      </c>
      <c r="M653" t="s">
        <v>8</v>
      </c>
      <c r="N653" t="s">
        <v>8</v>
      </c>
      <c r="O653" t="s">
        <v>8</v>
      </c>
      <c r="P653" t="s">
        <v>8</v>
      </c>
      <c r="Q653" t="s">
        <v>8</v>
      </c>
      <c r="R653" t="s">
        <v>8</v>
      </c>
    </row>
    <row r="654" spans="1:18">
      <c r="A654" s="159" t="s">
        <v>2546</v>
      </c>
      <c r="B654" s="31" t="s">
        <v>2695</v>
      </c>
      <c r="C654" s="152">
        <v>4</v>
      </c>
      <c r="D654" s="31" t="s">
        <v>1383</v>
      </c>
      <c r="E654" s="31" t="s">
        <v>3765</v>
      </c>
      <c r="F654" s="31">
        <v>7</v>
      </c>
      <c r="G654" s="31" t="s">
        <v>3775</v>
      </c>
      <c r="H654" s="31" t="s">
        <v>2110</v>
      </c>
      <c r="I654" s="31" t="s">
        <v>1834</v>
      </c>
      <c r="J654" s="31" t="s">
        <v>2120</v>
      </c>
      <c r="K654" t="s">
        <v>2668</v>
      </c>
      <c r="L654">
        <v>4</v>
      </c>
      <c r="M654" t="s">
        <v>8</v>
      </c>
      <c r="N654" t="s">
        <v>8</v>
      </c>
      <c r="O654" t="s">
        <v>8</v>
      </c>
      <c r="P654" t="s">
        <v>8</v>
      </c>
      <c r="Q654" t="s">
        <v>8</v>
      </c>
      <c r="R654" t="s">
        <v>8</v>
      </c>
    </row>
    <row r="655" spans="1:18">
      <c r="A655" s="159" t="s">
        <v>2547</v>
      </c>
      <c r="B655" s="31" t="s">
        <v>2695</v>
      </c>
      <c r="C655" s="152">
        <v>4</v>
      </c>
      <c r="D655" s="31" t="s">
        <v>1383</v>
      </c>
      <c r="E655" s="31" t="s">
        <v>2148</v>
      </c>
      <c r="F655" s="31">
        <v>7</v>
      </c>
      <c r="G655" s="31" t="s">
        <v>2126</v>
      </c>
      <c r="H655" s="31" t="s">
        <v>2110</v>
      </c>
      <c r="I655" s="31" t="s">
        <v>1835</v>
      </c>
      <c r="J655" s="31" t="s">
        <v>2108</v>
      </c>
      <c r="K655" t="s">
        <v>2668</v>
      </c>
      <c r="L655">
        <v>4</v>
      </c>
      <c r="M655" t="s">
        <v>8</v>
      </c>
      <c r="N655" t="s">
        <v>8</v>
      </c>
      <c r="O655" t="s">
        <v>8</v>
      </c>
      <c r="P655" t="s">
        <v>8</v>
      </c>
      <c r="Q655" t="s">
        <v>8</v>
      </c>
      <c r="R655" t="s">
        <v>8</v>
      </c>
    </row>
    <row r="656" spans="1:18">
      <c r="A656" s="160" t="s">
        <v>2669</v>
      </c>
      <c r="B656" s="31" t="s">
        <v>2696</v>
      </c>
      <c r="C656" s="152">
        <v>4</v>
      </c>
      <c r="D656" s="31" t="s">
        <v>2122</v>
      </c>
      <c r="E656" s="31" t="s">
        <v>3097</v>
      </c>
      <c r="F656" s="31" t="s">
        <v>2111</v>
      </c>
      <c r="G656" s="31" t="s">
        <v>2403</v>
      </c>
      <c r="H656" s="31" t="s">
        <v>2107</v>
      </c>
      <c r="I656" s="31" t="s">
        <v>1835</v>
      </c>
      <c r="J656" s="31" t="s">
        <v>2120</v>
      </c>
      <c r="K656" t="s">
        <v>2668</v>
      </c>
      <c r="L656">
        <v>4</v>
      </c>
      <c r="M656" t="s">
        <v>8</v>
      </c>
      <c r="N656" t="s">
        <v>8</v>
      </c>
      <c r="O656" t="s">
        <v>8</v>
      </c>
      <c r="P656" t="s">
        <v>8</v>
      </c>
      <c r="Q656" t="s">
        <v>8</v>
      </c>
      <c r="R656" t="s">
        <v>8</v>
      </c>
    </row>
    <row r="657" spans="1:18">
      <c r="A657" s="159" t="s">
        <v>2548</v>
      </c>
      <c r="B657" s="31" t="s">
        <v>2692</v>
      </c>
      <c r="C657" s="152">
        <v>4</v>
      </c>
      <c r="D657" s="31" t="s">
        <v>3766</v>
      </c>
      <c r="E657" s="31" t="s">
        <v>3753</v>
      </c>
      <c r="F657" s="31">
        <v>7</v>
      </c>
      <c r="G657" s="31" t="s">
        <v>3767</v>
      </c>
      <c r="H657" s="31" t="s">
        <v>2107</v>
      </c>
      <c r="I657" s="31" t="s">
        <v>1834</v>
      </c>
      <c r="J657" s="31" t="s">
        <v>2120</v>
      </c>
      <c r="K657" t="s">
        <v>2670</v>
      </c>
      <c r="L657">
        <v>4</v>
      </c>
      <c r="M657" t="s">
        <v>8</v>
      </c>
      <c r="N657" t="s">
        <v>8</v>
      </c>
      <c r="O657" t="s">
        <v>8</v>
      </c>
      <c r="P657" t="s">
        <v>8</v>
      </c>
      <c r="Q657" t="s">
        <v>8</v>
      </c>
      <c r="R657" t="s">
        <v>8</v>
      </c>
    </row>
    <row r="658" spans="1:18">
      <c r="A658" s="159" t="s">
        <v>2549</v>
      </c>
      <c r="B658" s="31" t="s">
        <v>2695</v>
      </c>
      <c r="C658" s="152">
        <v>4</v>
      </c>
      <c r="D658" s="31" t="str">
        <f>"0"</f>
        <v>0</v>
      </c>
      <c r="E658" s="31" t="s">
        <v>2148</v>
      </c>
      <c r="F658" s="31" t="s">
        <v>1740</v>
      </c>
      <c r="G658" s="31" t="s">
        <v>3776</v>
      </c>
      <c r="H658" s="31" t="s">
        <v>2107</v>
      </c>
      <c r="I658" s="31" t="s">
        <v>1835</v>
      </c>
      <c r="J658" s="31" t="s">
        <v>2120</v>
      </c>
      <c r="K658" t="s">
        <v>2670</v>
      </c>
      <c r="L658">
        <v>4</v>
      </c>
      <c r="M658" t="s">
        <v>8</v>
      </c>
      <c r="N658" t="s">
        <v>8</v>
      </c>
      <c r="O658" t="s">
        <v>8</v>
      </c>
      <c r="P658" t="s">
        <v>8</v>
      </c>
      <c r="Q658" t="s">
        <v>8</v>
      </c>
      <c r="R658" t="s">
        <v>8</v>
      </c>
    </row>
    <row r="659" spans="1:18">
      <c r="A659" s="159" t="s">
        <v>2625</v>
      </c>
      <c r="B659" s="31" t="s">
        <v>2135</v>
      </c>
      <c r="C659" s="152">
        <v>4</v>
      </c>
      <c r="D659" s="31" t="str">
        <f>"0"</f>
        <v>0</v>
      </c>
      <c r="E659" s="31" t="s">
        <v>3092</v>
      </c>
      <c r="F659" s="31">
        <v>7</v>
      </c>
      <c r="G659" s="31" t="s">
        <v>3769</v>
      </c>
      <c r="H659" s="31" t="s">
        <v>2110</v>
      </c>
      <c r="I659" s="31" t="s">
        <v>1834</v>
      </c>
      <c r="J659" s="31" t="s">
        <v>2120</v>
      </c>
      <c r="K659" t="s">
        <v>2670</v>
      </c>
      <c r="L659">
        <v>4</v>
      </c>
      <c r="M659" t="s">
        <v>8</v>
      </c>
      <c r="N659" t="s">
        <v>8</v>
      </c>
      <c r="O659" t="s">
        <v>8</v>
      </c>
      <c r="P659" t="s">
        <v>8</v>
      </c>
      <c r="Q659" t="s">
        <v>8</v>
      </c>
      <c r="R659" t="s">
        <v>8</v>
      </c>
    </row>
    <row r="660" spans="1:18">
      <c r="A660" s="159" t="s">
        <v>2550</v>
      </c>
      <c r="B660" s="31" t="s">
        <v>718</v>
      </c>
      <c r="C660" s="152">
        <v>4</v>
      </c>
      <c r="D660" s="31" t="s">
        <v>2122</v>
      </c>
      <c r="E660" s="31" t="s">
        <v>3753</v>
      </c>
      <c r="F660" s="31">
        <v>6</v>
      </c>
      <c r="G660" s="31" t="s">
        <v>2403</v>
      </c>
      <c r="H660" s="31" t="s">
        <v>2107</v>
      </c>
      <c r="I660" s="31" t="s">
        <v>1834</v>
      </c>
      <c r="J660" s="31" t="s">
        <v>2108</v>
      </c>
      <c r="K660" t="s">
        <v>2671</v>
      </c>
      <c r="L660">
        <v>4</v>
      </c>
      <c r="M660" t="s">
        <v>8</v>
      </c>
      <c r="N660" t="s">
        <v>8</v>
      </c>
      <c r="O660" t="s">
        <v>8</v>
      </c>
      <c r="P660" t="s">
        <v>8</v>
      </c>
      <c r="Q660" t="s">
        <v>8</v>
      </c>
      <c r="R660" t="s">
        <v>8</v>
      </c>
    </row>
    <row r="661" spans="1:18">
      <c r="A661" s="159" t="s">
        <v>2551</v>
      </c>
      <c r="B661" s="31" t="s">
        <v>148</v>
      </c>
      <c r="C661" s="152">
        <v>4</v>
      </c>
      <c r="D661" s="31" t="s">
        <v>2122</v>
      </c>
      <c r="E661" s="31" t="s">
        <v>3765</v>
      </c>
      <c r="F661" s="31">
        <v>7</v>
      </c>
      <c r="G661" s="31" t="s">
        <v>3777</v>
      </c>
      <c r="H661" s="31" t="s">
        <v>2110</v>
      </c>
      <c r="I661" s="31" t="s">
        <v>1834</v>
      </c>
      <c r="J661" s="31" t="s">
        <v>2120</v>
      </c>
      <c r="K661" t="s">
        <v>2671</v>
      </c>
      <c r="L661">
        <v>4</v>
      </c>
      <c r="M661" t="s">
        <v>8</v>
      </c>
      <c r="N661" t="s">
        <v>8</v>
      </c>
      <c r="O661" t="s">
        <v>8</v>
      </c>
      <c r="P661" t="s">
        <v>8</v>
      </c>
      <c r="Q661" t="s">
        <v>8</v>
      </c>
      <c r="R661" t="s">
        <v>8</v>
      </c>
    </row>
    <row r="662" spans="1:18">
      <c r="A662" s="159" t="s">
        <v>2552</v>
      </c>
      <c r="B662" s="31" t="s">
        <v>718</v>
      </c>
      <c r="C662" s="152">
        <v>4</v>
      </c>
      <c r="D662" s="31" t="s">
        <v>2122</v>
      </c>
      <c r="E662" s="31" t="s">
        <v>3753</v>
      </c>
      <c r="F662" s="31" t="s">
        <v>1740</v>
      </c>
      <c r="G662" s="31" t="s">
        <v>3744</v>
      </c>
      <c r="H662" s="31" t="s">
        <v>2107</v>
      </c>
      <c r="I662" s="31" t="s">
        <v>1835</v>
      </c>
      <c r="J662" s="31" t="s">
        <v>2120</v>
      </c>
      <c r="K662" t="s">
        <v>2671</v>
      </c>
      <c r="L662">
        <v>4</v>
      </c>
      <c r="M662" t="s">
        <v>8</v>
      </c>
      <c r="N662" t="s">
        <v>8</v>
      </c>
      <c r="O662" t="s">
        <v>8</v>
      </c>
      <c r="P662" t="s">
        <v>8</v>
      </c>
      <c r="Q662" t="s">
        <v>8</v>
      </c>
      <c r="R662" t="s">
        <v>8</v>
      </c>
    </row>
    <row r="663" spans="1:18">
      <c r="A663" s="159" t="s">
        <v>2553</v>
      </c>
      <c r="B663" s="31" t="s">
        <v>2695</v>
      </c>
      <c r="C663" s="152">
        <v>4</v>
      </c>
      <c r="D663" s="31" t="s">
        <v>3756</v>
      </c>
      <c r="E663" s="31" t="s">
        <v>3753</v>
      </c>
      <c r="F663" s="31">
        <v>7</v>
      </c>
      <c r="G663" s="31" t="s">
        <v>2126</v>
      </c>
      <c r="H663" s="31" t="s">
        <v>2107</v>
      </c>
      <c r="I663" s="31" t="s">
        <v>1835</v>
      </c>
      <c r="J663" s="31" t="s">
        <v>2120</v>
      </c>
      <c r="K663" t="s">
        <v>2671</v>
      </c>
      <c r="L663">
        <v>4</v>
      </c>
      <c r="M663" t="s">
        <v>8</v>
      </c>
      <c r="N663" t="s">
        <v>8</v>
      </c>
      <c r="O663" t="s">
        <v>8</v>
      </c>
      <c r="P663" t="s">
        <v>8</v>
      </c>
      <c r="Q663" t="s">
        <v>8</v>
      </c>
      <c r="R663" t="s">
        <v>8</v>
      </c>
    </row>
    <row r="664" spans="1:18">
      <c r="A664" s="159" t="s">
        <v>2554</v>
      </c>
      <c r="B664" s="31" t="s">
        <v>2703</v>
      </c>
      <c r="C664" s="152">
        <v>4</v>
      </c>
      <c r="D664" s="31" t="s">
        <v>1121</v>
      </c>
      <c r="E664" s="31" t="s">
        <v>2111</v>
      </c>
      <c r="F664" s="31">
        <v>7</v>
      </c>
      <c r="G664" s="31" t="s">
        <v>3778</v>
      </c>
      <c r="H664" s="31" t="s">
        <v>2107</v>
      </c>
      <c r="I664" s="31" t="s">
        <v>1834</v>
      </c>
      <c r="J664" s="31" t="s">
        <v>2120</v>
      </c>
      <c r="K664" t="s">
        <v>2672</v>
      </c>
      <c r="L664">
        <v>4</v>
      </c>
      <c r="M664" t="s">
        <v>8</v>
      </c>
      <c r="N664" t="s">
        <v>8</v>
      </c>
      <c r="O664" t="s">
        <v>8</v>
      </c>
      <c r="P664" t="s">
        <v>8</v>
      </c>
      <c r="Q664" t="s">
        <v>8</v>
      </c>
      <c r="R664" t="s">
        <v>8</v>
      </c>
    </row>
    <row r="665" spans="1:18">
      <c r="A665" s="159" t="s">
        <v>2555</v>
      </c>
      <c r="B665" s="31" t="s">
        <v>2713</v>
      </c>
      <c r="C665" s="152">
        <v>4</v>
      </c>
      <c r="D665" s="31" t="s">
        <v>2122</v>
      </c>
      <c r="E665" s="31" t="s">
        <v>3753</v>
      </c>
      <c r="F665" s="31">
        <v>7</v>
      </c>
      <c r="G665" s="31" t="s">
        <v>2403</v>
      </c>
      <c r="H665" s="31" t="s">
        <v>2107</v>
      </c>
      <c r="I665" s="31" t="s">
        <v>1835</v>
      </c>
      <c r="J665" s="31" t="s">
        <v>2120</v>
      </c>
      <c r="K665" t="s">
        <v>2672</v>
      </c>
      <c r="L665">
        <v>4</v>
      </c>
      <c r="M665" t="s">
        <v>8</v>
      </c>
      <c r="N665" t="s">
        <v>8</v>
      </c>
      <c r="O665" t="s">
        <v>8</v>
      </c>
      <c r="P665" t="s">
        <v>8</v>
      </c>
      <c r="Q665" t="s">
        <v>8</v>
      </c>
      <c r="R665" t="s">
        <v>8</v>
      </c>
    </row>
    <row r="666" spans="1:18">
      <c r="A666" s="159" t="s">
        <v>2556</v>
      </c>
      <c r="B666" s="31" t="s">
        <v>2696</v>
      </c>
      <c r="C666" s="152">
        <v>4</v>
      </c>
      <c r="D666" s="31" t="s">
        <v>2122</v>
      </c>
      <c r="E666" s="31" t="s">
        <v>3097</v>
      </c>
      <c r="F666" s="31">
        <v>7</v>
      </c>
      <c r="G666" s="31" t="s">
        <v>2451</v>
      </c>
      <c r="H666" s="31" t="s">
        <v>2107</v>
      </c>
      <c r="I666" s="31" t="s">
        <v>1834</v>
      </c>
      <c r="J666" s="31" t="s">
        <v>2120</v>
      </c>
      <c r="K666" t="s">
        <v>2672</v>
      </c>
      <c r="L666">
        <v>4</v>
      </c>
      <c r="M666" t="s">
        <v>8</v>
      </c>
      <c r="N666" t="s">
        <v>8</v>
      </c>
      <c r="O666" t="s">
        <v>8</v>
      </c>
      <c r="P666" t="s">
        <v>8</v>
      </c>
      <c r="Q666" t="s">
        <v>8</v>
      </c>
      <c r="R666" t="s">
        <v>8</v>
      </c>
    </row>
    <row r="667" spans="1:18">
      <c r="A667" s="159" t="s">
        <v>2557</v>
      </c>
      <c r="B667" s="31" t="s">
        <v>2714</v>
      </c>
      <c r="C667" s="152">
        <v>4</v>
      </c>
      <c r="D667" s="31" t="str">
        <f>"0"</f>
        <v>0</v>
      </c>
      <c r="E667" s="31" t="s">
        <v>3097</v>
      </c>
      <c r="F667" s="31" t="s">
        <v>2111</v>
      </c>
      <c r="G667" s="31" t="s">
        <v>2118</v>
      </c>
      <c r="H667" s="31" t="s">
        <v>2107</v>
      </c>
      <c r="I667" s="31" t="s">
        <v>1835</v>
      </c>
      <c r="J667" s="31" t="s">
        <v>2120</v>
      </c>
      <c r="K667" t="s">
        <v>2672</v>
      </c>
      <c r="L667">
        <v>4</v>
      </c>
      <c r="M667" t="s">
        <v>8</v>
      </c>
      <c r="N667" t="s">
        <v>8</v>
      </c>
      <c r="O667" t="s">
        <v>8</v>
      </c>
      <c r="P667" t="s">
        <v>8</v>
      </c>
      <c r="Q667" t="s">
        <v>8</v>
      </c>
      <c r="R667" t="s">
        <v>8</v>
      </c>
    </row>
    <row r="668" spans="1:18">
      <c r="A668" s="159" t="s">
        <v>2558</v>
      </c>
      <c r="B668" s="31" t="s">
        <v>148</v>
      </c>
      <c r="C668" s="152">
        <v>4</v>
      </c>
      <c r="D668" s="31" t="s">
        <v>2122</v>
      </c>
      <c r="E668" s="31" t="s">
        <v>3765</v>
      </c>
      <c r="F668" s="31">
        <v>7</v>
      </c>
      <c r="G668" s="31" t="s">
        <v>2403</v>
      </c>
      <c r="H668" s="31" t="s">
        <v>2110</v>
      </c>
      <c r="I668" s="31" t="s">
        <v>1834</v>
      </c>
      <c r="J668" s="31" t="s">
        <v>2120</v>
      </c>
      <c r="K668" t="s">
        <v>2673</v>
      </c>
      <c r="L668">
        <v>4</v>
      </c>
      <c r="M668" t="s">
        <v>8</v>
      </c>
      <c r="N668" t="s">
        <v>8</v>
      </c>
      <c r="O668" t="s">
        <v>8</v>
      </c>
      <c r="P668" t="s">
        <v>8</v>
      </c>
      <c r="Q668" t="s">
        <v>8</v>
      </c>
      <c r="R668" t="s">
        <v>8</v>
      </c>
    </row>
    <row r="669" spans="1:18">
      <c r="A669" s="159" t="s">
        <v>2559</v>
      </c>
      <c r="B669" s="31" t="s">
        <v>2727</v>
      </c>
      <c r="C669" s="152">
        <v>5</v>
      </c>
      <c r="D669" s="31" t="s">
        <v>2128</v>
      </c>
      <c r="E669" s="162" t="s">
        <v>3759</v>
      </c>
      <c r="F669" s="162">
        <v>7</v>
      </c>
      <c r="G669" s="162" t="s">
        <v>3753</v>
      </c>
      <c r="H669" s="31" t="s">
        <v>2107</v>
      </c>
      <c r="I669" s="31" t="s">
        <v>1835</v>
      </c>
      <c r="J669" s="31" t="s">
        <v>2120</v>
      </c>
      <c r="K669" t="s">
        <v>2673</v>
      </c>
      <c r="L669">
        <v>5</v>
      </c>
      <c r="M669" t="s">
        <v>8</v>
      </c>
      <c r="N669" t="s">
        <v>8</v>
      </c>
      <c r="O669" t="s">
        <v>8</v>
      </c>
      <c r="P669" t="s">
        <v>8</v>
      </c>
      <c r="Q669" t="s">
        <v>8</v>
      </c>
      <c r="R669" t="s">
        <v>8</v>
      </c>
    </row>
    <row r="670" spans="1:18">
      <c r="A670" s="159" t="s">
        <v>2560</v>
      </c>
      <c r="B670" s="31" t="s">
        <v>2135</v>
      </c>
      <c r="C670" s="152">
        <v>5</v>
      </c>
      <c r="D670" s="31" t="s">
        <v>2122</v>
      </c>
      <c r="E670" s="162" t="s">
        <v>3753</v>
      </c>
      <c r="F670" s="162" t="s">
        <v>3779</v>
      </c>
      <c r="G670" s="162" t="s">
        <v>3753</v>
      </c>
      <c r="H670" s="31" t="s">
        <v>2107</v>
      </c>
      <c r="I670" s="31" t="s">
        <v>1835</v>
      </c>
      <c r="J670" s="31" t="s">
        <v>2120</v>
      </c>
      <c r="K670" t="s">
        <v>2673</v>
      </c>
      <c r="L670">
        <v>5</v>
      </c>
      <c r="M670" t="s">
        <v>8</v>
      </c>
      <c r="N670" t="s">
        <v>8</v>
      </c>
      <c r="O670" t="s">
        <v>8</v>
      </c>
      <c r="P670" t="s">
        <v>8</v>
      </c>
      <c r="Q670" t="s">
        <v>8</v>
      </c>
      <c r="R670" t="s">
        <v>8</v>
      </c>
    </row>
    <row r="671" spans="1:18">
      <c r="A671" s="159" t="s">
        <v>2561</v>
      </c>
      <c r="B671" s="31" t="s">
        <v>2715</v>
      </c>
      <c r="C671" s="152">
        <v>5</v>
      </c>
      <c r="D671" s="31" t="s">
        <v>2122</v>
      </c>
      <c r="E671" s="162" t="s">
        <v>3765</v>
      </c>
      <c r="F671" s="162">
        <v>8</v>
      </c>
      <c r="G671" s="162" t="s">
        <v>3780</v>
      </c>
      <c r="H671" s="31" t="s">
        <v>2107</v>
      </c>
      <c r="I671" s="31" t="s">
        <v>1835</v>
      </c>
      <c r="J671" s="31" t="s">
        <v>2108</v>
      </c>
      <c r="K671" t="s">
        <v>2673</v>
      </c>
      <c r="L671">
        <v>5</v>
      </c>
      <c r="M671" t="s">
        <v>8</v>
      </c>
      <c r="N671" t="s">
        <v>8</v>
      </c>
      <c r="O671" t="s">
        <v>8</v>
      </c>
      <c r="P671" t="s">
        <v>8</v>
      </c>
      <c r="Q671" t="s">
        <v>8</v>
      </c>
      <c r="R671" t="s">
        <v>8</v>
      </c>
    </row>
    <row r="672" spans="1:18">
      <c r="A672" s="159" t="s">
        <v>2562</v>
      </c>
      <c r="B672" s="31" t="s">
        <v>2701</v>
      </c>
      <c r="C672" s="152">
        <v>5</v>
      </c>
      <c r="D672" s="31" t="s">
        <v>1113</v>
      </c>
      <c r="E672" s="162" t="s">
        <v>3782</v>
      </c>
      <c r="F672" s="162">
        <v>8</v>
      </c>
      <c r="G672" s="162" t="s">
        <v>3783</v>
      </c>
      <c r="H672" s="31" t="s">
        <v>2107</v>
      </c>
      <c r="I672" s="31" t="s">
        <v>1835</v>
      </c>
      <c r="J672" s="31" t="s">
        <v>2267</v>
      </c>
      <c r="K672" t="s">
        <v>2674</v>
      </c>
      <c r="L672">
        <v>5</v>
      </c>
      <c r="M672" t="s">
        <v>8</v>
      </c>
      <c r="N672" t="s">
        <v>8</v>
      </c>
      <c r="O672" t="s">
        <v>8</v>
      </c>
      <c r="P672" t="s">
        <v>8</v>
      </c>
      <c r="Q672" t="s">
        <v>8</v>
      </c>
      <c r="R672" t="s">
        <v>8</v>
      </c>
    </row>
    <row r="673" spans="1:18">
      <c r="A673" s="159" t="s">
        <v>2563</v>
      </c>
      <c r="B673" s="31" t="s">
        <v>2135</v>
      </c>
      <c r="C673" s="152">
        <v>5</v>
      </c>
      <c r="D673" s="31" t="str">
        <f>"0"</f>
        <v>0</v>
      </c>
      <c r="E673" s="162" t="s">
        <v>3753</v>
      </c>
      <c r="F673" s="162" t="s">
        <v>1740</v>
      </c>
      <c r="G673" s="162" t="s">
        <v>3753</v>
      </c>
      <c r="H673" s="31" t="s">
        <v>2107</v>
      </c>
      <c r="I673" s="31" t="s">
        <v>1835</v>
      </c>
      <c r="J673" s="31" t="s">
        <v>2120</v>
      </c>
      <c r="K673" t="s">
        <v>2674</v>
      </c>
      <c r="L673">
        <v>5</v>
      </c>
      <c r="M673" t="s">
        <v>8</v>
      </c>
      <c r="N673" t="s">
        <v>8</v>
      </c>
      <c r="O673" t="s">
        <v>8</v>
      </c>
      <c r="P673" t="s">
        <v>8</v>
      </c>
      <c r="Q673" t="s">
        <v>8</v>
      </c>
      <c r="R673" t="s">
        <v>8</v>
      </c>
    </row>
    <row r="674" spans="1:18">
      <c r="A674" s="159" t="s">
        <v>2564</v>
      </c>
      <c r="B674" s="31" t="s">
        <v>2135</v>
      </c>
      <c r="C674" s="152">
        <v>5</v>
      </c>
      <c r="D674" s="31" t="str">
        <f>"0"</f>
        <v>0</v>
      </c>
      <c r="E674" s="162" t="s">
        <v>3753</v>
      </c>
      <c r="F674" s="162" t="s">
        <v>1740</v>
      </c>
      <c r="G674" s="162" t="s">
        <v>3753</v>
      </c>
      <c r="H674" s="31" t="s">
        <v>2110</v>
      </c>
      <c r="I674" s="31" t="s">
        <v>1835</v>
      </c>
      <c r="J674" s="31" t="s">
        <v>2120</v>
      </c>
      <c r="K674" t="s">
        <v>2674</v>
      </c>
      <c r="L674">
        <v>5</v>
      </c>
      <c r="M674" t="s">
        <v>8</v>
      </c>
      <c r="N674" t="s">
        <v>8</v>
      </c>
      <c r="O674" t="s">
        <v>8</v>
      </c>
      <c r="P674" t="s">
        <v>8</v>
      </c>
      <c r="Q674" t="s">
        <v>8</v>
      </c>
      <c r="R674" t="s">
        <v>8</v>
      </c>
    </row>
    <row r="675" spans="1:18">
      <c r="A675" s="159" t="s">
        <v>2565</v>
      </c>
      <c r="B675" s="31" t="s">
        <v>2712</v>
      </c>
      <c r="C675" s="152">
        <v>5</v>
      </c>
      <c r="D675" s="31" t="s">
        <v>3827</v>
      </c>
      <c r="E675" s="162" t="s">
        <v>3753</v>
      </c>
      <c r="F675" s="162">
        <v>8</v>
      </c>
      <c r="G675" s="162" t="s">
        <v>3753</v>
      </c>
      <c r="H675" s="31" t="s">
        <v>2110</v>
      </c>
      <c r="I675" s="31" t="s">
        <v>1835</v>
      </c>
      <c r="J675" s="31" t="s">
        <v>2120</v>
      </c>
      <c r="K675" t="s">
        <v>2674</v>
      </c>
      <c r="L675">
        <v>5</v>
      </c>
      <c r="M675" t="s">
        <v>8</v>
      </c>
      <c r="N675" t="s">
        <v>8</v>
      </c>
      <c r="O675" t="s">
        <v>8</v>
      </c>
      <c r="P675" t="s">
        <v>8</v>
      </c>
      <c r="Q675" t="s">
        <v>8</v>
      </c>
      <c r="R675" t="s">
        <v>8</v>
      </c>
    </row>
    <row r="676" spans="1:18">
      <c r="A676" s="159" t="s">
        <v>2566</v>
      </c>
      <c r="B676" s="31" t="s">
        <v>2700</v>
      </c>
      <c r="C676" s="152">
        <v>5</v>
      </c>
      <c r="D676" s="31" t="str">
        <f>"0"</f>
        <v>0</v>
      </c>
      <c r="E676" s="162" t="s">
        <v>3752</v>
      </c>
      <c r="F676" s="162">
        <v>8</v>
      </c>
      <c r="G676" s="162" t="s">
        <v>3784</v>
      </c>
      <c r="H676" s="31" t="s">
        <v>2110</v>
      </c>
      <c r="I676" s="31" t="s">
        <v>1835</v>
      </c>
      <c r="J676" s="31" t="s">
        <v>2120</v>
      </c>
      <c r="K676" t="s">
        <v>2674</v>
      </c>
      <c r="L676">
        <v>5</v>
      </c>
      <c r="M676" t="s">
        <v>8</v>
      </c>
      <c r="N676" t="s">
        <v>8</v>
      </c>
      <c r="O676" t="s">
        <v>8</v>
      </c>
      <c r="P676" t="s">
        <v>8</v>
      </c>
      <c r="Q676" t="s">
        <v>8</v>
      </c>
      <c r="R676" t="s">
        <v>8</v>
      </c>
    </row>
    <row r="677" spans="1:18">
      <c r="A677" s="159" t="s">
        <v>2567</v>
      </c>
      <c r="B677" s="31" t="s">
        <v>718</v>
      </c>
      <c r="C677" s="152">
        <v>5</v>
      </c>
      <c r="D677" s="31" t="s">
        <v>1113</v>
      </c>
      <c r="E677" s="162" t="s">
        <v>3785</v>
      </c>
      <c r="F677" s="162">
        <v>8</v>
      </c>
      <c r="G677" s="162" t="s">
        <v>2127</v>
      </c>
      <c r="H677" s="31" t="s">
        <v>2107</v>
      </c>
      <c r="I677" s="31" t="s">
        <v>1835</v>
      </c>
      <c r="J677" s="31" t="s">
        <v>2108</v>
      </c>
      <c r="K677" t="s">
        <v>2675</v>
      </c>
      <c r="L677">
        <v>5</v>
      </c>
      <c r="M677" t="s">
        <v>8</v>
      </c>
      <c r="N677" t="s">
        <v>8</v>
      </c>
      <c r="O677" t="s">
        <v>8</v>
      </c>
      <c r="P677" t="s">
        <v>8</v>
      </c>
      <c r="Q677" t="s">
        <v>8</v>
      </c>
      <c r="R677" t="s">
        <v>8</v>
      </c>
    </row>
    <row r="678" spans="1:18">
      <c r="A678" s="159" t="s">
        <v>2624</v>
      </c>
      <c r="B678" s="31" t="s">
        <v>2692</v>
      </c>
      <c r="C678" s="152">
        <v>5</v>
      </c>
      <c r="D678" s="31" t="s">
        <v>1383</v>
      </c>
      <c r="E678" s="162" t="s">
        <v>3762</v>
      </c>
      <c r="F678" s="162">
        <v>8</v>
      </c>
      <c r="G678" s="162" t="s">
        <v>3786</v>
      </c>
      <c r="H678" s="31" t="s">
        <v>2107</v>
      </c>
      <c r="I678" s="31" t="s">
        <v>1834</v>
      </c>
      <c r="J678" s="31" t="s">
        <v>2120</v>
      </c>
      <c r="K678" t="s">
        <v>2675</v>
      </c>
      <c r="L678">
        <v>5</v>
      </c>
      <c r="M678" t="s">
        <v>8</v>
      </c>
      <c r="N678" t="s">
        <v>8</v>
      </c>
      <c r="O678" t="s">
        <v>8</v>
      </c>
      <c r="P678" t="s">
        <v>8</v>
      </c>
      <c r="Q678" t="s">
        <v>8</v>
      </c>
      <c r="R678" t="s">
        <v>8</v>
      </c>
    </row>
    <row r="679" spans="1:18">
      <c r="A679" s="159" t="s">
        <v>2568</v>
      </c>
      <c r="B679" s="31" t="s">
        <v>2716</v>
      </c>
      <c r="C679" s="152">
        <v>5</v>
      </c>
      <c r="D679" s="31" t="s">
        <v>2122</v>
      </c>
      <c r="E679" s="162" t="s">
        <v>3759</v>
      </c>
      <c r="F679" s="162">
        <v>8</v>
      </c>
      <c r="G679" s="162" t="s">
        <v>3757</v>
      </c>
      <c r="H679" s="31" t="s">
        <v>2107</v>
      </c>
      <c r="I679" s="31" t="s">
        <v>1834</v>
      </c>
      <c r="J679" s="31" t="s">
        <v>2108</v>
      </c>
      <c r="K679" t="s">
        <v>2675</v>
      </c>
      <c r="L679">
        <v>5</v>
      </c>
      <c r="M679" t="s">
        <v>8</v>
      </c>
      <c r="N679" t="s">
        <v>8</v>
      </c>
      <c r="O679" t="s">
        <v>8</v>
      </c>
      <c r="P679" t="s">
        <v>8</v>
      </c>
      <c r="Q679" t="s">
        <v>8</v>
      </c>
      <c r="R679" t="s">
        <v>8</v>
      </c>
    </row>
    <row r="680" spans="1:18">
      <c r="A680" s="159" t="s">
        <v>2569</v>
      </c>
      <c r="B680" s="31" t="s">
        <v>2701</v>
      </c>
      <c r="C680" s="152">
        <v>5</v>
      </c>
      <c r="D680" s="31" t="s">
        <v>2128</v>
      </c>
      <c r="E680" s="162" t="s">
        <v>3762</v>
      </c>
      <c r="F680" s="162" t="s">
        <v>1740</v>
      </c>
      <c r="G680" s="162" t="s">
        <v>3787</v>
      </c>
      <c r="H680" s="31" t="s">
        <v>2107</v>
      </c>
      <c r="I680" s="31" t="s">
        <v>1835</v>
      </c>
      <c r="J680" s="31" t="s">
        <v>2120</v>
      </c>
      <c r="K680" t="s">
        <v>2676</v>
      </c>
      <c r="L680">
        <v>5</v>
      </c>
      <c r="M680" t="s">
        <v>8</v>
      </c>
      <c r="N680" t="s">
        <v>8</v>
      </c>
      <c r="O680" t="s">
        <v>8</v>
      </c>
      <c r="P680" t="s">
        <v>8</v>
      </c>
      <c r="Q680" t="s">
        <v>8</v>
      </c>
      <c r="R680" t="s">
        <v>8</v>
      </c>
    </row>
    <row r="681" spans="1:18">
      <c r="A681" s="159" t="s">
        <v>2570</v>
      </c>
      <c r="B681" s="31" t="s">
        <v>2702</v>
      </c>
      <c r="C681" s="152">
        <v>5</v>
      </c>
      <c r="D681" s="31" t="s">
        <v>2122</v>
      </c>
      <c r="E681" s="162" t="s">
        <v>3788</v>
      </c>
      <c r="F681" s="162">
        <v>8</v>
      </c>
      <c r="G681" s="162" t="s">
        <v>3757</v>
      </c>
      <c r="H681" s="31" t="s">
        <v>2107</v>
      </c>
      <c r="I681" s="31" t="s">
        <v>1835</v>
      </c>
      <c r="J681" s="31" t="s">
        <v>2120</v>
      </c>
      <c r="K681" t="s">
        <v>2676</v>
      </c>
      <c r="L681">
        <v>5</v>
      </c>
      <c r="M681" t="s">
        <v>8</v>
      </c>
      <c r="N681" t="s">
        <v>8</v>
      </c>
      <c r="O681" t="s">
        <v>8</v>
      </c>
      <c r="P681" t="s">
        <v>8</v>
      </c>
      <c r="Q681" t="s">
        <v>8</v>
      </c>
      <c r="R681" t="s">
        <v>8</v>
      </c>
    </row>
    <row r="682" spans="1:18">
      <c r="A682" s="159" t="s">
        <v>2623</v>
      </c>
      <c r="B682" s="31" t="s">
        <v>2703</v>
      </c>
      <c r="C682" s="152">
        <v>5</v>
      </c>
      <c r="D682" s="31" t="s">
        <v>1383</v>
      </c>
      <c r="E682" s="162" t="s">
        <v>3753</v>
      </c>
      <c r="F682" s="162">
        <v>8</v>
      </c>
      <c r="G682" s="162" t="s">
        <v>3753</v>
      </c>
      <c r="H682" s="31" t="s">
        <v>2107</v>
      </c>
      <c r="I682" s="31" t="s">
        <v>1835</v>
      </c>
      <c r="J682" s="31" t="s">
        <v>2120</v>
      </c>
      <c r="K682" t="s">
        <v>2676</v>
      </c>
      <c r="L682">
        <v>5</v>
      </c>
      <c r="M682" t="s">
        <v>8</v>
      </c>
      <c r="N682" t="s">
        <v>8</v>
      </c>
      <c r="O682" t="s">
        <v>8</v>
      </c>
      <c r="P682" t="s">
        <v>8</v>
      </c>
      <c r="Q682" t="s">
        <v>8</v>
      </c>
      <c r="R682" t="s">
        <v>8</v>
      </c>
    </row>
    <row r="683" spans="1:18">
      <c r="A683" s="159" t="s">
        <v>2571</v>
      </c>
      <c r="B683" s="31" t="s">
        <v>2695</v>
      </c>
      <c r="C683" s="152">
        <v>5</v>
      </c>
      <c r="D683" s="31" t="s">
        <v>2122</v>
      </c>
      <c r="E683" s="162" t="s">
        <v>2126</v>
      </c>
      <c r="F683" s="162">
        <v>8</v>
      </c>
      <c r="G683" s="162" t="s">
        <v>3753</v>
      </c>
      <c r="H683" s="31" t="s">
        <v>2107</v>
      </c>
      <c r="I683" s="31" t="s">
        <v>1835</v>
      </c>
      <c r="J683" s="31" t="s">
        <v>2120</v>
      </c>
      <c r="K683" t="s">
        <v>2676</v>
      </c>
      <c r="L683">
        <v>5</v>
      </c>
      <c r="M683" t="s">
        <v>8</v>
      </c>
      <c r="N683" t="s">
        <v>8</v>
      </c>
      <c r="O683" t="s">
        <v>8</v>
      </c>
      <c r="P683" t="s">
        <v>8</v>
      </c>
      <c r="Q683" t="s">
        <v>8</v>
      </c>
      <c r="R683" t="s">
        <v>8</v>
      </c>
    </row>
    <row r="684" spans="1:18">
      <c r="A684" s="159" t="s">
        <v>2572</v>
      </c>
      <c r="B684" s="31" t="s">
        <v>2693</v>
      </c>
      <c r="C684" s="152">
        <v>5</v>
      </c>
      <c r="D684" s="31" t="s">
        <v>2122</v>
      </c>
      <c r="E684" s="162" t="s">
        <v>3765</v>
      </c>
      <c r="F684" s="162">
        <v>1</v>
      </c>
      <c r="G684" s="162" t="s">
        <v>2132</v>
      </c>
      <c r="H684" s="31" t="s">
        <v>2107</v>
      </c>
      <c r="I684" s="31" t="s">
        <v>1835</v>
      </c>
      <c r="J684" s="31" t="s">
        <v>2120</v>
      </c>
      <c r="K684" t="s">
        <v>2677</v>
      </c>
      <c r="L684">
        <v>5</v>
      </c>
      <c r="M684" t="s">
        <v>8</v>
      </c>
      <c r="N684" t="s">
        <v>8</v>
      </c>
      <c r="O684" t="s">
        <v>8</v>
      </c>
      <c r="P684" t="s">
        <v>8</v>
      </c>
      <c r="Q684" t="s">
        <v>8</v>
      </c>
      <c r="R684" t="s">
        <v>8</v>
      </c>
    </row>
    <row r="685" spans="1:18">
      <c r="A685" s="159" t="s">
        <v>2573</v>
      </c>
      <c r="B685" s="31" t="s">
        <v>2708</v>
      </c>
      <c r="C685" s="152">
        <v>5</v>
      </c>
      <c r="D685" s="31" t="s">
        <v>1118</v>
      </c>
      <c r="E685" s="162" t="s">
        <v>3789</v>
      </c>
      <c r="F685" s="162">
        <v>6</v>
      </c>
      <c r="G685" s="162" t="s">
        <v>3790</v>
      </c>
      <c r="H685" s="31" t="s">
        <v>2107</v>
      </c>
      <c r="I685" s="31" t="s">
        <v>1835</v>
      </c>
      <c r="J685" s="31" t="s">
        <v>2120</v>
      </c>
      <c r="K685" t="s">
        <v>2677</v>
      </c>
      <c r="L685">
        <v>5</v>
      </c>
      <c r="M685" t="s">
        <v>8</v>
      </c>
      <c r="N685" t="s">
        <v>8</v>
      </c>
      <c r="O685" t="s">
        <v>8</v>
      </c>
      <c r="P685" t="s">
        <v>8</v>
      </c>
      <c r="Q685" t="s">
        <v>8</v>
      </c>
      <c r="R685" t="s">
        <v>8</v>
      </c>
    </row>
    <row r="686" spans="1:18">
      <c r="A686" s="159" t="s">
        <v>2574</v>
      </c>
      <c r="B686" s="31" t="s">
        <v>2705</v>
      </c>
      <c r="C686" s="152">
        <v>5</v>
      </c>
      <c r="D686" s="31" t="str">
        <f>"0"</f>
        <v>0</v>
      </c>
      <c r="E686" s="162" t="s">
        <v>3752</v>
      </c>
      <c r="F686" s="162">
        <v>8</v>
      </c>
      <c r="G686" s="162" t="s">
        <v>3791</v>
      </c>
      <c r="H686" s="31" t="s">
        <v>2110</v>
      </c>
      <c r="I686" s="31" t="s">
        <v>1835</v>
      </c>
      <c r="J686" s="31" t="s">
        <v>2120</v>
      </c>
      <c r="K686" t="s">
        <v>2677</v>
      </c>
      <c r="L686">
        <v>5</v>
      </c>
      <c r="M686" t="s">
        <v>8</v>
      </c>
      <c r="N686" t="s">
        <v>8</v>
      </c>
      <c r="O686" t="s">
        <v>8</v>
      </c>
      <c r="P686" t="s">
        <v>8</v>
      </c>
      <c r="Q686" t="s">
        <v>8</v>
      </c>
      <c r="R686" t="s">
        <v>8</v>
      </c>
    </row>
    <row r="687" spans="1:18">
      <c r="A687" s="159" t="s">
        <v>2575</v>
      </c>
      <c r="B687" s="31" t="s">
        <v>2698</v>
      </c>
      <c r="C687" s="152">
        <v>5</v>
      </c>
      <c r="D687" s="31" t="s">
        <v>1118</v>
      </c>
      <c r="E687" s="162" t="s">
        <v>3765</v>
      </c>
      <c r="F687" s="162">
        <v>1</v>
      </c>
      <c r="G687" s="162" t="s">
        <v>2132</v>
      </c>
      <c r="H687" s="31" t="s">
        <v>2110</v>
      </c>
      <c r="I687" s="31" t="s">
        <v>1834</v>
      </c>
      <c r="J687" s="31" t="s">
        <v>270</v>
      </c>
      <c r="K687" t="s">
        <v>2677</v>
      </c>
      <c r="L687">
        <v>5</v>
      </c>
      <c r="M687" t="s">
        <v>8</v>
      </c>
      <c r="N687" t="s">
        <v>8</v>
      </c>
      <c r="O687" t="s">
        <v>8</v>
      </c>
      <c r="P687" t="s">
        <v>8</v>
      </c>
      <c r="Q687" t="s">
        <v>8</v>
      </c>
      <c r="R687" t="s">
        <v>8</v>
      </c>
    </row>
    <row r="688" spans="1:18">
      <c r="A688" s="159" t="s">
        <v>2576</v>
      </c>
      <c r="B688" s="31" t="s">
        <v>2726</v>
      </c>
      <c r="C688" s="152">
        <v>5</v>
      </c>
      <c r="D688" s="31" t="s">
        <v>3828</v>
      </c>
      <c r="E688" s="162" t="s">
        <v>3759</v>
      </c>
      <c r="F688" s="162">
        <v>7</v>
      </c>
      <c r="G688" s="162" t="s">
        <v>3792</v>
      </c>
      <c r="H688" s="31" t="s">
        <v>2107</v>
      </c>
      <c r="I688" s="31" t="s">
        <v>1835</v>
      </c>
      <c r="J688" s="31" t="s">
        <v>2120</v>
      </c>
      <c r="K688" t="s">
        <v>2678</v>
      </c>
      <c r="L688">
        <v>5</v>
      </c>
      <c r="M688" t="s">
        <v>8</v>
      </c>
      <c r="N688" t="s">
        <v>8</v>
      </c>
      <c r="O688" t="s">
        <v>8</v>
      </c>
      <c r="P688" t="s">
        <v>8</v>
      </c>
      <c r="Q688" t="s">
        <v>8</v>
      </c>
      <c r="R688" t="s">
        <v>8</v>
      </c>
    </row>
    <row r="689" spans="1:18">
      <c r="A689" s="159" t="s">
        <v>2577</v>
      </c>
      <c r="B689" s="31" t="s">
        <v>148</v>
      </c>
      <c r="C689" s="152">
        <v>5</v>
      </c>
      <c r="D689" s="31" t="s">
        <v>2122</v>
      </c>
      <c r="E689" s="162" t="s">
        <v>3765</v>
      </c>
      <c r="F689" s="162">
        <v>8</v>
      </c>
      <c r="G689" s="162" t="s">
        <v>3757</v>
      </c>
      <c r="H689" s="31" t="s">
        <v>2110</v>
      </c>
      <c r="I689" s="31" t="s">
        <v>1834</v>
      </c>
      <c r="J689" s="31" t="s">
        <v>2120</v>
      </c>
      <c r="K689" t="s">
        <v>2678</v>
      </c>
      <c r="L689">
        <v>5</v>
      </c>
      <c r="M689" t="s">
        <v>8</v>
      </c>
      <c r="N689" t="s">
        <v>8</v>
      </c>
      <c r="O689" t="s">
        <v>8</v>
      </c>
      <c r="P689" t="s">
        <v>8</v>
      </c>
      <c r="Q689" t="s">
        <v>8</v>
      </c>
      <c r="R689" t="s">
        <v>8</v>
      </c>
    </row>
    <row r="690" spans="1:18">
      <c r="A690" s="159" t="s">
        <v>2622</v>
      </c>
      <c r="B690" s="31" t="s">
        <v>2717</v>
      </c>
      <c r="C690" s="152">
        <v>5</v>
      </c>
      <c r="D690" s="31" t="s">
        <v>3679</v>
      </c>
      <c r="E690" s="162" t="s">
        <v>3753</v>
      </c>
      <c r="F690" s="162">
        <v>8</v>
      </c>
      <c r="G690" s="162" t="s">
        <v>3794</v>
      </c>
      <c r="H690" s="31" t="s">
        <v>2107</v>
      </c>
      <c r="I690" s="31" t="s">
        <v>1834</v>
      </c>
      <c r="J690" s="31" t="s">
        <v>2120</v>
      </c>
      <c r="K690" t="s">
        <v>2678</v>
      </c>
      <c r="L690">
        <v>5</v>
      </c>
      <c r="M690" t="s">
        <v>8</v>
      </c>
      <c r="N690" t="s">
        <v>8</v>
      </c>
      <c r="O690" t="s">
        <v>8</v>
      </c>
      <c r="P690" t="s">
        <v>8</v>
      </c>
      <c r="Q690" t="s">
        <v>8</v>
      </c>
      <c r="R690" t="s">
        <v>8</v>
      </c>
    </row>
    <row r="691" spans="1:18">
      <c r="A691" s="159" t="s">
        <v>2621</v>
      </c>
      <c r="B691" s="31" t="s">
        <v>2135</v>
      </c>
      <c r="C691" s="152">
        <v>5</v>
      </c>
      <c r="D691" s="31" t="s">
        <v>2122</v>
      </c>
      <c r="E691" s="162" t="s">
        <v>3759</v>
      </c>
      <c r="F691" s="162">
        <v>8</v>
      </c>
      <c r="G691" s="162" t="s">
        <v>3757</v>
      </c>
      <c r="H691" s="31" t="s">
        <v>2107</v>
      </c>
      <c r="I691" s="31" t="s">
        <v>1834</v>
      </c>
      <c r="J691" s="31" t="s">
        <v>2120</v>
      </c>
      <c r="K691" t="s">
        <v>2678</v>
      </c>
      <c r="L691">
        <v>5</v>
      </c>
      <c r="M691" t="s">
        <v>8</v>
      </c>
      <c r="N691" t="s">
        <v>8</v>
      </c>
      <c r="O691" t="s">
        <v>8</v>
      </c>
      <c r="P691" t="s">
        <v>8</v>
      </c>
      <c r="Q691" t="s">
        <v>8</v>
      </c>
      <c r="R691" t="s">
        <v>8</v>
      </c>
    </row>
    <row r="692" spans="1:18">
      <c r="A692" s="159" t="s">
        <v>2578</v>
      </c>
      <c r="B692" s="31" t="s">
        <v>2718</v>
      </c>
      <c r="C692" s="152">
        <v>6</v>
      </c>
      <c r="D692" s="162" t="s">
        <v>3761</v>
      </c>
      <c r="E692" s="162" t="s">
        <v>3759</v>
      </c>
      <c r="F692" s="162">
        <v>9</v>
      </c>
      <c r="G692" s="162" t="s">
        <v>3795</v>
      </c>
      <c r="H692" s="31" t="s">
        <v>2110</v>
      </c>
      <c r="I692" s="31" t="s">
        <v>1835</v>
      </c>
      <c r="J692" s="31" t="s">
        <v>2120</v>
      </c>
      <c r="K692" t="s">
        <v>2679</v>
      </c>
      <c r="L692">
        <v>6</v>
      </c>
      <c r="M692" t="s">
        <v>8</v>
      </c>
      <c r="N692" t="s">
        <v>8</v>
      </c>
      <c r="O692" t="s">
        <v>8</v>
      </c>
      <c r="P692" t="s">
        <v>8</v>
      </c>
      <c r="Q692" t="s">
        <v>8</v>
      </c>
      <c r="R692" t="s">
        <v>8</v>
      </c>
    </row>
    <row r="693" spans="1:18">
      <c r="A693" s="159" t="s">
        <v>2579</v>
      </c>
      <c r="B693" s="31" t="s">
        <v>2003</v>
      </c>
      <c r="C693" s="152">
        <v>6</v>
      </c>
      <c r="D693" s="162" t="s">
        <v>3761</v>
      </c>
      <c r="E693" s="162" t="s">
        <v>3762</v>
      </c>
      <c r="F693" s="162">
        <v>9</v>
      </c>
      <c r="G693" s="162" t="s">
        <v>3753</v>
      </c>
      <c r="H693" s="31" t="s">
        <v>2110</v>
      </c>
      <c r="I693" s="31" t="s">
        <v>1835</v>
      </c>
      <c r="J693" s="31" t="s">
        <v>2120</v>
      </c>
      <c r="K693" t="s">
        <v>2679</v>
      </c>
      <c r="L693">
        <v>6</v>
      </c>
      <c r="M693" t="s">
        <v>8</v>
      </c>
      <c r="N693" t="s">
        <v>8</v>
      </c>
      <c r="O693" t="s">
        <v>8</v>
      </c>
      <c r="P693" t="s">
        <v>8</v>
      </c>
      <c r="Q693" t="s">
        <v>8</v>
      </c>
      <c r="R693" t="s">
        <v>8</v>
      </c>
    </row>
    <row r="694" spans="1:18">
      <c r="A694" s="159" t="s">
        <v>2580</v>
      </c>
      <c r="B694" s="31" t="s">
        <v>2719</v>
      </c>
      <c r="C694" s="152">
        <v>6</v>
      </c>
      <c r="D694" s="162" t="s">
        <v>3761</v>
      </c>
      <c r="E694" s="162" t="s">
        <v>3796</v>
      </c>
      <c r="F694" s="162">
        <v>9</v>
      </c>
      <c r="G694" s="162" t="s">
        <v>3753</v>
      </c>
      <c r="H694" s="31" t="s">
        <v>2110</v>
      </c>
      <c r="I694" s="31" t="s">
        <v>1835</v>
      </c>
      <c r="J694" s="31" t="s">
        <v>270</v>
      </c>
      <c r="K694" t="s">
        <v>2679</v>
      </c>
      <c r="L694">
        <v>6</v>
      </c>
      <c r="M694" t="s">
        <v>8</v>
      </c>
      <c r="N694" t="s">
        <v>8</v>
      </c>
      <c r="O694" t="s">
        <v>8</v>
      </c>
      <c r="P694" t="s">
        <v>8</v>
      </c>
      <c r="Q694" t="s">
        <v>8</v>
      </c>
      <c r="R694" t="s">
        <v>8</v>
      </c>
    </row>
    <row r="695" spans="1:18">
      <c r="A695" s="159" t="s">
        <v>2581</v>
      </c>
      <c r="B695" s="31" t="s">
        <v>2695</v>
      </c>
      <c r="C695" s="152">
        <v>6</v>
      </c>
      <c r="D695" s="162" t="s">
        <v>3756</v>
      </c>
      <c r="E695" s="162" t="s">
        <v>3797</v>
      </c>
      <c r="F695" s="162">
        <v>1</v>
      </c>
      <c r="G695" s="162" t="s">
        <v>3798</v>
      </c>
      <c r="H695" s="31" t="s">
        <v>2107</v>
      </c>
      <c r="I695" s="31" t="s">
        <v>1835</v>
      </c>
      <c r="J695" s="31" t="s">
        <v>2120</v>
      </c>
      <c r="K695" t="s">
        <v>2680</v>
      </c>
      <c r="L695">
        <v>6</v>
      </c>
      <c r="M695" t="s">
        <v>8</v>
      </c>
      <c r="N695" t="s">
        <v>8</v>
      </c>
      <c r="O695" t="s">
        <v>8</v>
      </c>
      <c r="P695" t="s">
        <v>8</v>
      </c>
      <c r="Q695" t="s">
        <v>8</v>
      </c>
      <c r="R695" t="s">
        <v>8</v>
      </c>
    </row>
    <row r="696" spans="1:18">
      <c r="A696" s="159" t="s">
        <v>2582</v>
      </c>
      <c r="B696" s="31" t="s">
        <v>2712</v>
      </c>
      <c r="C696" s="152">
        <v>6</v>
      </c>
      <c r="D696" s="162" t="s">
        <v>3799</v>
      </c>
      <c r="E696" s="162" t="s">
        <v>3753</v>
      </c>
      <c r="F696" s="162">
        <v>9</v>
      </c>
      <c r="G696" s="162" t="s">
        <v>3753</v>
      </c>
      <c r="H696" s="31" t="s">
        <v>2110</v>
      </c>
      <c r="I696" s="31" t="s">
        <v>1835</v>
      </c>
      <c r="J696" s="31" t="s">
        <v>2120</v>
      </c>
      <c r="K696" t="s">
        <v>2680</v>
      </c>
      <c r="L696">
        <v>6</v>
      </c>
      <c r="M696" t="s">
        <v>8</v>
      </c>
      <c r="N696" t="s">
        <v>8</v>
      </c>
      <c r="O696" t="s">
        <v>8</v>
      </c>
      <c r="P696" t="s">
        <v>8</v>
      </c>
      <c r="Q696" t="s">
        <v>8</v>
      </c>
      <c r="R696" t="s">
        <v>8</v>
      </c>
    </row>
    <row r="697" spans="1:18">
      <c r="A697" s="159" t="s">
        <v>2583</v>
      </c>
      <c r="B697" s="31" t="s">
        <v>2700</v>
      </c>
      <c r="C697" s="152">
        <v>6</v>
      </c>
      <c r="D697" s="162" t="s">
        <v>3764</v>
      </c>
      <c r="E697" s="162" t="s">
        <v>3752</v>
      </c>
      <c r="F697" s="162">
        <v>6</v>
      </c>
      <c r="G697" s="162" t="s">
        <v>3753</v>
      </c>
      <c r="H697" s="31" t="s">
        <v>2110</v>
      </c>
      <c r="I697" s="31" t="s">
        <v>1835</v>
      </c>
      <c r="J697" s="31" t="s">
        <v>2120</v>
      </c>
      <c r="K697" t="s">
        <v>2680</v>
      </c>
      <c r="L697">
        <v>6</v>
      </c>
      <c r="M697" t="s">
        <v>8</v>
      </c>
      <c r="N697" t="s">
        <v>8</v>
      </c>
      <c r="O697" t="s">
        <v>8</v>
      </c>
      <c r="P697" t="s">
        <v>8</v>
      </c>
      <c r="Q697" t="s">
        <v>8</v>
      </c>
      <c r="R697" t="s">
        <v>8</v>
      </c>
    </row>
    <row r="698" spans="1:18">
      <c r="A698" s="159" t="s">
        <v>2602</v>
      </c>
      <c r="B698" s="31" t="s">
        <v>2703</v>
      </c>
      <c r="C698" s="152">
        <v>6</v>
      </c>
      <c r="D698" s="162" t="s">
        <v>3763</v>
      </c>
      <c r="E698" s="162" t="s">
        <v>3753</v>
      </c>
      <c r="F698" s="162">
        <v>1</v>
      </c>
      <c r="G698" s="162" t="s">
        <v>3753</v>
      </c>
      <c r="H698" s="31" t="s">
        <v>2110</v>
      </c>
      <c r="I698" s="31" t="s">
        <v>1834</v>
      </c>
      <c r="J698" s="31" t="s">
        <v>2120</v>
      </c>
      <c r="K698" t="s">
        <v>2681</v>
      </c>
      <c r="L698">
        <v>6</v>
      </c>
      <c r="M698" t="s">
        <v>8</v>
      </c>
      <c r="N698" t="s">
        <v>8</v>
      </c>
      <c r="O698" t="s">
        <v>8</v>
      </c>
      <c r="P698" t="s">
        <v>8</v>
      </c>
      <c r="Q698" t="s">
        <v>8</v>
      </c>
      <c r="R698" t="s">
        <v>8</v>
      </c>
    </row>
    <row r="699" spans="1:18">
      <c r="A699" s="159" t="s">
        <v>2584</v>
      </c>
      <c r="B699" s="31" t="s">
        <v>2714</v>
      </c>
      <c r="C699" s="152">
        <v>6</v>
      </c>
      <c r="D699" s="162" t="s">
        <v>3763</v>
      </c>
      <c r="E699" s="162" t="s">
        <v>3752</v>
      </c>
      <c r="F699" s="162">
        <v>1</v>
      </c>
      <c r="G699" s="162" t="s">
        <v>3800</v>
      </c>
      <c r="H699" s="31" t="s">
        <v>2107</v>
      </c>
      <c r="I699" s="31" t="s">
        <v>1835</v>
      </c>
      <c r="J699" s="31" t="s">
        <v>2120</v>
      </c>
      <c r="K699" t="s">
        <v>2681</v>
      </c>
      <c r="L699">
        <v>6</v>
      </c>
      <c r="M699" t="s">
        <v>8</v>
      </c>
      <c r="N699" t="s">
        <v>8</v>
      </c>
      <c r="O699" t="s">
        <v>8</v>
      </c>
      <c r="P699" t="s">
        <v>8</v>
      </c>
      <c r="Q699" t="s">
        <v>8</v>
      </c>
      <c r="R699" t="s">
        <v>8</v>
      </c>
    </row>
    <row r="700" spans="1:18">
      <c r="A700" s="159" t="s">
        <v>2585</v>
      </c>
      <c r="B700" s="31" t="s">
        <v>2707</v>
      </c>
      <c r="C700" s="152">
        <v>6</v>
      </c>
      <c r="D700" s="162" t="s">
        <v>3754</v>
      </c>
      <c r="E700" s="162" t="s">
        <v>3779</v>
      </c>
      <c r="F700" s="162">
        <v>1</v>
      </c>
      <c r="G700" s="162" t="s">
        <v>3801</v>
      </c>
      <c r="H700" s="31" t="s">
        <v>2107</v>
      </c>
      <c r="I700" s="31" t="s">
        <v>1835</v>
      </c>
      <c r="J700" s="31" t="s">
        <v>2120</v>
      </c>
      <c r="K700" t="s">
        <v>2681</v>
      </c>
      <c r="L700">
        <v>6</v>
      </c>
      <c r="M700" t="s">
        <v>8</v>
      </c>
      <c r="N700" t="s">
        <v>8</v>
      </c>
      <c r="O700" t="s">
        <v>8</v>
      </c>
      <c r="P700" t="s">
        <v>8</v>
      </c>
      <c r="Q700" t="s">
        <v>8</v>
      </c>
      <c r="R700" t="s">
        <v>8</v>
      </c>
    </row>
    <row r="701" spans="1:18">
      <c r="A701" s="159" t="s">
        <v>2586</v>
      </c>
      <c r="B701" s="31" t="s">
        <v>148</v>
      </c>
      <c r="C701" s="152">
        <v>6</v>
      </c>
      <c r="D701" s="162" t="s">
        <v>3756</v>
      </c>
      <c r="E701" s="162" t="s">
        <v>3765</v>
      </c>
      <c r="F701" s="162">
        <v>1</v>
      </c>
      <c r="G701" s="162" t="s">
        <v>3757</v>
      </c>
      <c r="H701" s="31" t="s">
        <v>2110</v>
      </c>
      <c r="I701" s="31" t="s">
        <v>1834</v>
      </c>
      <c r="J701" s="31" t="s">
        <v>2120</v>
      </c>
      <c r="K701" t="s">
        <v>2681</v>
      </c>
      <c r="L701">
        <v>6</v>
      </c>
      <c r="M701" t="s">
        <v>8</v>
      </c>
      <c r="N701" t="s">
        <v>8</v>
      </c>
      <c r="O701" t="s">
        <v>8</v>
      </c>
      <c r="P701" t="s">
        <v>8</v>
      </c>
      <c r="Q701" t="s">
        <v>8</v>
      </c>
      <c r="R701" t="s">
        <v>8</v>
      </c>
    </row>
    <row r="702" spans="1:18">
      <c r="A702" s="159" t="s">
        <v>2587</v>
      </c>
      <c r="B702" s="31" t="s">
        <v>2696</v>
      </c>
      <c r="C702" s="152">
        <v>6</v>
      </c>
      <c r="D702" s="162" t="s">
        <v>3761</v>
      </c>
      <c r="E702" s="162" t="s">
        <v>3765</v>
      </c>
      <c r="F702" s="162">
        <v>6</v>
      </c>
      <c r="G702" s="162" t="s">
        <v>3802</v>
      </c>
      <c r="H702" s="31" t="s">
        <v>2107</v>
      </c>
      <c r="I702" s="31" t="s">
        <v>1835</v>
      </c>
      <c r="J702" s="31" t="s">
        <v>270</v>
      </c>
      <c r="K702" t="s">
        <v>2681</v>
      </c>
      <c r="L702">
        <v>6</v>
      </c>
      <c r="M702" t="s">
        <v>8</v>
      </c>
      <c r="N702" t="s">
        <v>8</v>
      </c>
      <c r="O702" t="s">
        <v>8</v>
      </c>
      <c r="P702" t="s">
        <v>8</v>
      </c>
      <c r="Q702" t="s">
        <v>8</v>
      </c>
      <c r="R702" t="s">
        <v>8</v>
      </c>
    </row>
    <row r="703" spans="1:18">
      <c r="A703" s="159" t="s">
        <v>2588</v>
      </c>
      <c r="B703" s="31" t="s">
        <v>2135</v>
      </c>
      <c r="C703" s="152">
        <v>6</v>
      </c>
      <c r="D703" s="162" t="s">
        <v>3761</v>
      </c>
      <c r="E703" s="162" t="s">
        <v>3762</v>
      </c>
      <c r="F703" s="162">
        <v>9</v>
      </c>
      <c r="G703" s="162" t="s">
        <v>3803</v>
      </c>
      <c r="H703" s="31" t="s">
        <v>2110</v>
      </c>
      <c r="I703" s="31" t="s">
        <v>1835</v>
      </c>
      <c r="J703" s="31" t="s">
        <v>2120</v>
      </c>
      <c r="K703" t="s">
        <v>2682</v>
      </c>
      <c r="L703">
        <v>6</v>
      </c>
      <c r="M703" t="s">
        <v>8</v>
      </c>
      <c r="N703" t="s">
        <v>8</v>
      </c>
      <c r="O703" t="s">
        <v>8</v>
      </c>
      <c r="P703" t="s">
        <v>8</v>
      </c>
      <c r="Q703" t="s">
        <v>8</v>
      </c>
      <c r="R703" t="s">
        <v>8</v>
      </c>
    </row>
    <row r="704" spans="1:18">
      <c r="A704" s="159" t="s">
        <v>2589</v>
      </c>
      <c r="B704" s="31" t="s">
        <v>2003</v>
      </c>
      <c r="C704" s="152">
        <v>6</v>
      </c>
      <c r="D704" s="162" t="s">
        <v>3763</v>
      </c>
      <c r="E704" s="162" t="s">
        <v>3753</v>
      </c>
      <c r="F704" s="162">
        <v>1</v>
      </c>
      <c r="G704" s="162" t="s">
        <v>3753</v>
      </c>
      <c r="H704" s="31" t="s">
        <v>2151</v>
      </c>
      <c r="I704" s="31" t="s">
        <v>1835</v>
      </c>
      <c r="J704" s="31" t="s">
        <v>2120</v>
      </c>
      <c r="K704" t="s">
        <v>2682</v>
      </c>
      <c r="L704">
        <v>6</v>
      </c>
      <c r="M704" t="s">
        <v>8</v>
      </c>
      <c r="N704" t="s">
        <v>8</v>
      </c>
      <c r="O704" t="s">
        <v>8</v>
      </c>
      <c r="P704" t="s">
        <v>8</v>
      </c>
      <c r="Q704" t="s">
        <v>8</v>
      </c>
      <c r="R704" t="s">
        <v>8</v>
      </c>
    </row>
    <row r="705" spans="1:18">
      <c r="A705" s="159" t="s">
        <v>2590</v>
      </c>
      <c r="B705" s="31" t="s">
        <v>2720</v>
      </c>
      <c r="C705" s="152">
        <v>6</v>
      </c>
      <c r="D705" s="162" t="s">
        <v>3764</v>
      </c>
      <c r="E705" s="162" t="s">
        <v>3752</v>
      </c>
      <c r="F705" s="162">
        <v>9</v>
      </c>
      <c r="G705" s="162" t="s">
        <v>3804</v>
      </c>
      <c r="H705" s="31" t="s">
        <v>2110</v>
      </c>
      <c r="I705" s="31" t="s">
        <v>1835</v>
      </c>
      <c r="J705" s="31" t="s">
        <v>2120</v>
      </c>
      <c r="K705" t="s">
        <v>2682</v>
      </c>
      <c r="L705">
        <v>6</v>
      </c>
      <c r="M705" t="s">
        <v>8</v>
      </c>
      <c r="N705" t="s">
        <v>8</v>
      </c>
      <c r="O705" t="s">
        <v>8</v>
      </c>
      <c r="P705" t="s">
        <v>8</v>
      </c>
      <c r="Q705" t="s">
        <v>8</v>
      </c>
      <c r="R705" t="s">
        <v>8</v>
      </c>
    </row>
    <row r="706" spans="1:18">
      <c r="A706" s="159" t="s">
        <v>2591</v>
      </c>
      <c r="B706" s="31" t="s">
        <v>2135</v>
      </c>
      <c r="C706" s="152">
        <v>6</v>
      </c>
      <c r="D706" s="162" t="s">
        <v>3756</v>
      </c>
      <c r="E706" s="162" t="s">
        <v>3752</v>
      </c>
      <c r="F706" s="162">
        <v>3</v>
      </c>
      <c r="G706" s="162" t="s">
        <v>3757</v>
      </c>
      <c r="H706" s="31" t="s">
        <v>2107</v>
      </c>
      <c r="I706" s="31" t="s">
        <v>1834</v>
      </c>
      <c r="J706" s="31" t="s">
        <v>2120</v>
      </c>
      <c r="K706" t="s">
        <v>2682</v>
      </c>
      <c r="L706">
        <v>6</v>
      </c>
      <c r="M706" t="s">
        <v>8</v>
      </c>
      <c r="N706" t="s">
        <v>8</v>
      </c>
      <c r="O706" t="s">
        <v>8</v>
      </c>
      <c r="P706" t="s">
        <v>8</v>
      </c>
      <c r="Q706" t="s">
        <v>8</v>
      </c>
      <c r="R706" t="s">
        <v>8</v>
      </c>
    </row>
    <row r="707" spans="1:18">
      <c r="A707" s="159" t="s">
        <v>2592</v>
      </c>
      <c r="B707" s="31" t="s">
        <v>2721</v>
      </c>
      <c r="C707" s="152">
        <v>6</v>
      </c>
      <c r="D707" s="162" t="s">
        <v>3756</v>
      </c>
      <c r="E707" s="162" t="s">
        <v>1740</v>
      </c>
      <c r="F707" s="162">
        <v>1</v>
      </c>
      <c r="G707" s="162" t="s">
        <v>3805</v>
      </c>
      <c r="H707" s="31" t="s">
        <v>2107</v>
      </c>
      <c r="I707" s="31" t="s">
        <v>1835</v>
      </c>
      <c r="J707" s="31" t="s">
        <v>2120</v>
      </c>
      <c r="K707" t="s">
        <v>2683</v>
      </c>
      <c r="L707">
        <v>6</v>
      </c>
      <c r="M707" t="s">
        <v>8</v>
      </c>
      <c r="N707" t="s">
        <v>8</v>
      </c>
      <c r="O707" t="s">
        <v>8</v>
      </c>
      <c r="P707" t="s">
        <v>8</v>
      </c>
      <c r="Q707" t="s">
        <v>8</v>
      </c>
      <c r="R707" t="s">
        <v>8</v>
      </c>
    </row>
    <row r="708" spans="1:18">
      <c r="A708" s="159" t="s">
        <v>2593</v>
      </c>
      <c r="B708" s="31" t="s">
        <v>2695</v>
      </c>
      <c r="C708" s="152">
        <v>6</v>
      </c>
      <c r="D708" s="162" t="s">
        <v>3763</v>
      </c>
      <c r="E708" s="162" t="s">
        <v>3759</v>
      </c>
      <c r="F708" s="162">
        <v>9</v>
      </c>
      <c r="G708" s="162" t="s">
        <v>3806</v>
      </c>
      <c r="H708" s="31" t="s">
        <v>2110</v>
      </c>
      <c r="I708" s="31" t="s">
        <v>1835</v>
      </c>
      <c r="J708" s="31" t="s">
        <v>2120</v>
      </c>
      <c r="K708" t="s">
        <v>2683</v>
      </c>
      <c r="L708">
        <v>6</v>
      </c>
      <c r="M708" t="s">
        <v>8</v>
      </c>
      <c r="N708" t="s">
        <v>8</v>
      </c>
      <c r="O708" t="s">
        <v>8</v>
      </c>
      <c r="P708" t="s">
        <v>8</v>
      </c>
      <c r="Q708" t="s">
        <v>8</v>
      </c>
      <c r="R708" t="s">
        <v>8</v>
      </c>
    </row>
    <row r="709" spans="1:18">
      <c r="A709" s="159" t="s">
        <v>2594</v>
      </c>
      <c r="B709" s="31" t="s">
        <v>2703</v>
      </c>
      <c r="C709" s="152">
        <v>6</v>
      </c>
      <c r="D709" s="162" t="s">
        <v>3756</v>
      </c>
      <c r="E709" s="162" t="s">
        <v>3753</v>
      </c>
      <c r="F709" s="162">
        <v>1</v>
      </c>
      <c r="G709" s="162" t="s">
        <v>3753</v>
      </c>
      <c r="H709" s="31" t="s">
        <v>2107</v>
      </c>
      <c r="I709" s="31" t="s">
        <v>1835</v>
      </c>
      <c r="J709" s="31" t="s">
        <v>2267</v>
      </c>
      <c r="K709" t="s">
        <v>2683</v>
      </c>
      <c r="L709">
        <v>6</v>
      </c>
      <c r="M709" t="s">
        <v>8</v>
      </c>
      <c r="N709" t="s">
        <v>8</v>
      </c>
      <c r="O709" t="s">
        <v>8</v>
      </c>
      <c r="P709" t="s">
        <v>8</v>
      </c>
      <c r="Q709" t="s">
        <v>8</v>
      </c>
      <c r="R709" t="s">
        <v>8</v>
      </c>
    </row>
    <row r="710" spans="1:18">
      <c r="A710" s="159" t="s">
        <v>2620</v>
      </c>
      <c r="B710" s="31" t="s">
        <v>2694</v>
      </c>
      <c r="C710" s="152">
        <v>6</v>
      </c>
      <c r="D710" s="162" t="s">
        <v>3807</v>
      </c>
      <c r="E710" s="162" t="s">
        <v>3752</v>
      </c>
      <c r="F710" s="162">
        <v>1</v>
      </c>
      <c r="G710" s="162" t="s">
        <v>3753</v>
      </c>
      <c r="H710" s="31" t="s">
        <v>2107</v>
      </c>
      <c r="I710" s="31" t="s">
        <v>1835</v>
      </c>
      <c r="J710" s="31" t="s">
        <v>2120</v>
      </c>
      <c r="K710" t="s">
        <v>2684</v>
      </c>
      <c r="L710">
        <v>6</v>
      </c>
      <c r="M710" t="s">
        <v>8</v>
      </c>
      <c r="N710" t="s">
        <v>8</v>
      </c>
      <c r="O710" t="s">
        <v>8</v>
      </c>
      <c r="P710" t="s">
        <v>8</v>
      </c>
      <c r="Q710" t="s">
        <v>8</v>
      </c>
      <c r="R710" t="s">
        <v>8</v>
      </c>
    </row>
    <row r="711" spans="1:18">
      <c r="A711" s="159" t="s">
        <v>2595</v>
      </c>
      <c r="B711" s="31" t="s">
        <v>2003</v>
      </c>
      <c r="C711" s="152">
        <v>6</v>
      </c>
      <c r="D711" s="162" t="s">
        <v>3754</v>
      </c>
      <c r="E711" s="162" t="s">
        <v>3797</v>
      </c>
      <c r="F711" s="162">
        <v>9</v>
      </c>
      <c r="G711" s="162" t="s">
        <v>3753</v>
      </c>
      <c r="H711" s="31" t="s">
        <v>2110</v>
      </c>
      <c r="I711" s="31" t="s">
        <v>1835</v>
      </c>
      <c r="J711" s="31" t="s">
        <v>2120</v>
      </c>
      <c r="K711" t="s">
        <v>2684</v>
      </c>
      <c r="L711">
        <v>6</v>
      </c>
      <c r="M711" t="s">
        <v>8</v>
      </c>
      <c r="N711" t="s">
        <v>8</v>
      </c>
      <c r="O711" t="s">
        <v>8</v>
      </c>
      <c r="P711" t="s">
        <v>8</v>
      </c>
      <c r="Q711" t="s">
        <v>8</v>
      </c>
      <c r="R711" t="s">
        <v>8</v>
      </c>
    </row>
    <row r="712" spans="1:18">
      <c r="A712" s="159" t="s">
        <v>2596</v>
      </c>
      <c r="B712" s="31" t="s">
        <v>2722</v>
      </c>
      <c r="C712" s="152">
        <v>6</v>
      </c>
      <c r="D712" s="162" t="s">
        <v>3781</v>
      </c>
      <c r="E712" s="162" t="s">
        <v>3765</v>
      </c>
      <c r="F712" s="162">
        <v>8</v>
      </c>
      <c r="G712" s="162" t="s">
        <v>3808</v>
      </c>
      <c r="H712" s="31" t="s">
        <v>2107</v>
      </c>
      <c r="I712" s="31" t="s">
        <v>1834</v>
      </c>
      <c r="J712" s="31" t="s">
        <v>270</v>
      </c>
      <c r="K712" t="s">
        <v>2684</v>
      </c>
      <c r="L712">
        <v>6</v>
      </c>
      <c r="M712" t="s">
        <v>8</v>
      </c>
      <c r="N712" t="s">
        <v>8</v>
      </c>
      <c r="O712" t="s">
        <v>8</v>
      </c>
      <c r="P712" t="s">
        <v>8</v>
      </c>
      <c r="Q712" t="s">
        <v>8</v>
      </c>
      <c r="R712" t="s">
        <v>8</v>
      </c>
    </row>
    <row r="713" spans="1:18">
      <c r="A713" s="159" t="s">
        <v>2597</v>
      </c>
      <c r="B713" s="31" t="s">
        <v>2695</v>
      </c>
      <c r="C713" s="152">
        <v>6</v>
      </c>
      <c r="D713" s="162" t="s">
        <v>3756</v>
      </c>
      <c r="E713" s="162" t="s">
        <v>3753</v>
      </c>
      <c r="F713" s="162">
        <v>4</v>
      </c>
      <c r="G713" s="162" t="s">
        <v>3753</v>
      </c>
      <c r="H713" s="31" t="s">
        <v>2110</v>
      </c>
      <c r="I713" s="31" t="s">
        <v>1835</v>
      </c>
      <c r="J713" s="31" t="s">
        <v>2120</v>
      </c>
      <c r="K713" t="s">
        <v>2684</v>
      </c>
      <c r="L713">
        <v>6</v>
      </c>
      <c r="M713" t="s">
        <v>8</v>
      </c>
      <c r="N713" t="s">
        <v>8</v>
      </c>
      <c r="O713" t="s">
        <v>8</v>
      </c>
      <c r="P713" t="s">
        <v>8</v>
      </c>
      <c r="Q713" t="s">
        <v>8</v>
      </c>
      <c r="R713" t="s">
        <v>8</v>
      </c>
    </row>
    <row r="714" spans="1:18">
      <c r="A714" s="159" t="s">
        <v>2598</v>
      </c>
      <c r="B714" s="31" t="s">
        <v>2003</v>
      </c>
      <c r="C714" s="152">
        <v>7</v>
      </c>
      <c r="D714" s="162" t="s">
        <v>3770</v>
      </c>
      <c r="E714" s="162" t="s">
        <v>3759</v>
      </c>
      <c r="F714" s="162">
        <v>1</v>
      </c>
      <c r="G714" s="162" t="s">
        <v>3809</v>
      </c>
      <c r="H714" s="31" t="s">
        <v>2107</v>
      </c>
      <c r="I714" s="31" t="s">
        <v>1835</v>
      </c>
      <c r="J714" s="31" t="s">
        <v>2120</v>
      </c>
      <c r="K714" t="s">
        <v>2685</v>
      </c>
      <c r="L714">
        <v>7</v>
      </c>
      <c r="M714" t="s">
        <v>8</v>
      </c>
      <c r="N714" t="s">
        <v>8</v>
      </c>
      <c r="O714" t="s">
        <v>8</v>
      </c>
      <c r="P714" t="s">
        <v>8</v>
      </c>
      <c r="Q714" t="s">
        <v>8</v>
      </c>
      <c r="R714" t="s">
        <v>8</v>
      </c>
    </row>
    <row r="715" spans="1:18">
      <c r="A715" s="159" t="s">
        <v>2619</v>
      </c>
      <c r="B715" s="31" t="s">
        <v>2708</v>
      </c>
      <c r="C715" s="152">
        <v>7</v>
      </c>
      <c r="D715" s="162" t="s">
        <v>3756</v>
      </c>
      <c r="E715" s="162" t="s">
        <v>3753</v>
      </c>
      <c r="F715" s="162" t="s">
        <v>3810</v>
      </c>
      <c r="G715" s="162" t="s">
        <v>3753</v>
      </c>
      <c r="H715" s="31" t="s">
        <v>2107</v>
      </c>
      <c r="I715" s="31" t="s">
        <v>1834</v>
      </c>
      <c r="J715" s="31" t="s">
        <v>2120</v>
      </c>
      <c r="K715" t="s">
        <v>2685</v>
      </c>
      <c r="L715">
        <v>7</v>
      </c>
      <c r="M715" t="s">
        <v>8</v>
      </c>
      <c r="N715" t="s">
        <v>8</v>
      </c>
      <c r="O715" t="s">
        <v>8</v>
      </c>
      <c r="P715" t="s">
        <v>8</v>
      </c>
      <c r="Q715" t="s">
        <v>8</v>
      </c>
      <c r="R715" t="s">
        <v>8</v>
      </c>
    </row>
    <row r="716" spans="1:18">
      <c r="A716" s="159" t="s">
        <v>2599</v>
      </c>
      <c r="B716" s="31" t="s">
        <v>2720</v>
      </c>
      <c r="C716" s="152">
        <v>7</v>
      </c>
      <c r="D716" s="162" t="s">
        <v>3756</v>
      </c>
      <c r="E716" s="162" t="s">
        <v>3753</v>
      </c>
      <c r="F716" s="162">
        <v>4</v>
      </c>
      <c r="G716" s="162" t="s">
        <v>3811</v>
      </c>
      <c r="H716" s="31" t="s">
        <v>2107</v>
      </c>
      <c r="I716" s="31" t="s">
        <v>1835</v>
      </c>
      <c r="J716" s="31" t="s">
        <v>2120</v>
      </c>
      <c r="K716" t="s">
        <v>2685</v>
      </c>
      <c r="L716">
        <v>7</v>
      </c>
      <c r="M716" t="s">
        <v>8</v>
      </c>
      <c r="N716" t="s">
        <v>8</v>
      </c>
      <c r="O716" t="s">
        <v>8</v>
      </c>
      <c r="P716" t="s">
        <v>8</v>
      </c>
      <c r="Q716" t="s">
        <v>8</v>
      </c>
      <c r="R716" t="s">
        <v>8</v>
      </c>
    </row>
    <row r="717" spans="1:18">
      <c r="A717" s="159" t="s">
        <v>2600</v>
      </c>
      <c r="B717" s="31" t="s">
        <v>2723</v>
      </c>
      <c r="C717" s="152">
        <v>7</v>
      </c>
      <c r="D717" s="162" t="s">
        <v>3754</v>
      </c>
      <c r="E717" s="162" t="s">
        <v>3812</v>
      </c>
      <c r="F717" s="162" t="s">
        <v>1740</v>
      </c>
      <c r="G717" s="162" t="s">
        <v>3753</v>
      </c>
      <c r="H717" s="31" t="s">
        <v>2107</v>
      </c>
      <c r="I717" s="31" t="s">
        <v>1835</v>
      </c>
      <c r="J717" s="31" t="s">
        <v>2120</v>
      </c>
      <c r="K717" t="s">
        <v>2686</v>
      </c>
      <c r="L717">
        <v>7</v>
      </c>
      <c r="M717" t="s">
        <v>8</v>
      </c>
      <c r="N717" t="s">
        <v>8</v>
      </c>
      <c r="O717" t="s">
        <v>8</v>
      </c>
      <c r="P717" t="s">
        <v>8</v>
      </c>
      <c r="Q717" t="s">
        <v>8</v>
      </c>
      <c r="R717" t="s">
        <v>8</v>
      </c>
    </row>
    <row r="718" spans="1:18">
      <c r="A718" s="159" t="s">
        <v>2618</v>
      </c>
      <c r="B718" s="31" t="s">
        <v>718</v>
      </c>
      <c r="C718" s="152">
        <v>7</v>
      </c>
      <c r="D718" s="162" t="s">
        <v>3764</v>
      </c>
      <c r="E718" s="162" t="s">
        <v>3759</v>
      </c>
      <c r="F718" s="162" t="s">
        <v>3755</v>
      </c>
      <c r="G718" s="162" t="s">
        <v>3813</v>
      </c>
      <c r="H718" s="31" t="s">
        <v>2107</v>
      </c>
      <c r="I718" s="31" t="s">
        <v>1835</v>
      </c>
      <c r="J718" s="31" t="s">
        <v>270</v>
      </c>
      <c r="K718" t="s">
        <v>2686</v>
      </c>
      <c r="L718">
        <v>7</v>
      </c>
      <c r="M718" t="s">
        <v>8</v>
      </c>
      <c r="N718" t="s">
        <v>8</v>
      </c>
      <c r="O718" t="s">
        <v>8</v>
      </c>
      <c r="P718" t="s">
        <v>8</v>
      </c>
      <c r="Q718" t="s">
        <v>8</v>
      </c>
      <c r="R718" t="s">
        <v>8</v>
      </c>
    </row>
    <row r="719" spans="1:18">
      <c r="A719" s="159" t="s">
        <v>2601</v>
      </c>
      <c r="B719" s="31" t="s">
        <v>2724</v>
      </c>
      <c r="C719" s="152">
        <v>7</v>
      </c>
      <c r="D719" s="162" t="s">
        <v>3770</v>
      </c>
      <c r="E719" s="162" t="s">
        <v>3752</v>
      </c>
      <c r="F719" s="162" t="s">
        <v>1740</v>
      </c>
      <c r="G719" s="162" t="s">
        <v>3753</v>
      </c>
      <c r="H719" s="31" t="s">
        <v>2110</v>
      </c>
      <c r="I719" s="31" t="s">
        <v>1835</v>
      </c>
      <c r="J719" s="31" t="s">
        <v>2120</v>
      </c>
      <c r="K719" t="s">
        <v>2686</v>
      </c>
      <c r="L719">
        <v>7</v>
      </c>
      <c r="M719" t="s">
        <v>8</v>
      </c>
      <c r="N719" t="s">
        <v>8</v>
      </c>
      <c r="O719" t="s">
        <v>8</v>
      </c>
      <c r="P719" t="s">
        <v>8</v>
      </c>
      <c r="Q719" t="s">
        <v>8</v>
      </c>
      <c r="R719" t="s">
        <v>8</v>
      </c>
    </row>
    <row r="720" spans="1:18">
      <c r="A720" s="159" t="s">
        <v>2603</v>
      </c>
      <c r="B720" s="31" t="s">
        <v>2700</v>
      </c>
      <c r="C720" s="152">
        <v>7</v>
      </c>
      <c r="D720" s="162" t="s">
        <v>3763</v>
      </c>
      <c r="E720" s="162" t="s">
        <v>3814</v>
      </c>
      <c r="F720" s="162" t="s">
        <v>1740</v>
      </c>
      <c r="G720" s="162" t="s">
        <v>3815</v>
      </c>
      <c r="H720" s="31" t="s">
        <v>2107</v>
      </c>
      <c r="I720" s="31" t="s">
        <v>1835</v>
      </c>
      <c r="J720" s="31" t="s">
        <v>2120</v>
      </c>
      <c r="K720" t="s">
        <v>2687</v>
      </c>
      <c r="L720">
        <v>7</v>
      </c>
      <c r="M720" t="s">
        <v>8</v>
      </c>
      <c r="N720" t="s">
        <v>8</v>
      </c>
      <c r="O720" t="s">
        <v>8</v>
      </c>
      <c r="P720" t="s">
        <v>8</v>
      </c>
      <c r="Q720" t="s">
        <v>8</v>
      </c>
      <c r="R720" t="s">
        <v>8</v>
      </c>
    </row>
    <row r="721" spans="1:18">
      <c r="A721" s="159" t="s">
        <v>2604</v>
      </c>
      <c r="B721" s="31" t="s">
        <v>2712</v>
      </c>
      <c r="C721" s="152">
        <v>7</v>
      </c>
      <c r="D721" s="162" t="s">
        <v>3763</v>
      </c>
      <c r="E721" s="162" t="s">
        <v>3816</v>
      </c>
      <c r="F721" s="162">
        <v>1</v>
      </c>
      <c r="G721" s="162" t="s">
        <v>3753</v>
      </c>
      <c r="H721" s="31" t="s">
        <v>2110</v>
      </c>
      <c r="I721" s="31" t="s">
        <v>1835</v>
      </c>
      <c r="J721" s="31" t="s">
        <v>2120</v>
      </c>
      <c r="K721" t="s">
        <v>2687</v>
      </c>
      <c r="L721">
        <v>7</v>
      </c>
      <c r="M721" t="s">
        <v>8</v>
      </c>
      <c r="N721" t="s">
        <v>8</v>
      </c>
      <c r="O721" t="s">
        <v>8</v>
      </c>
      <c r="P721" t="s">
        <v>8</v>
      </c>
      <c r="Q721" t="s">
        <v>8</v>
      </c>
      <c r="R721" t="s">
        <v>8</v>
      </c>
    </row>
    <row r="722" spans="1:18">
      <c r="A722" s="159" t="s">
        <v>2605</v>
      </c>
      <c r="B722" s="31" t="s">
        <v>2725</v>
      </c>
      <c r="C722" s="152">
        <v>7</v>
      </c>
      <c r="D722" s="162" t="s">
        <v>3754</v>
      </c>
      <c r="E722" s="162" t="s">
        <v>3753</v>
      </c>
      <c r="F722" s="162">
        <v>1</v>
      </c>
      <c r="G722" s="162" t="s">
        <v>2127</v>
      </c>
      <c r="H722" s="31" t="s">
        <v>2107</v>
      </c>
      <c r="I722" s="31" t="s">
        <v>1835</v>
      </c>
      <c r="J722" s="31" t="s">
        <v>2120</v>
      </c>
      <c r="K722" t="s">
        <v>2687</v>
      </c>
      <c r="L722">
        <v>7</v>
      </c>
      <c r="M722" t="s">
        <v>8</v>
      </c>
      <c r="N722" t="s">
        <v>8</v>
      </c>
      <c r="O722" t="s">
        <v>8</v>
      </c>
      <c r="P722" t="s">
        <v>8</v>
      </c>
      <c r="Q722" t="s">
        <v>8</v>
      </c>
      <c r="R722" t="s">
        <v>8</v>
      </c>
    </row>
    <row r="723" spans="1:18">
      <c r="A723" s="159" t="s">
        <v>2606</v>
      </c>
      <c r="B723" s="31" t="s">
        <v>2701</v>
      </c>
      <c r="C723" s="152">
        <v>7</v>
      </c>
      <c r="D723" s="162" t="s">
        <v>3763</v>
      </c>
      <c r="E723" s="162" t="s">
        <v>3753</v>
      </c>
      <c r="F723" s="162">
        <v>1</v>
      </c>
      <c r="G723" s="162" t="s">
        <v>3768</v>
      </c>
      <c r="H723" s="31" t="s">
        <v>2151</v>
      </c>
      <c r="I723" s="31" t="s">
        <v>1834</v>
      </c>
      <c r="J723" s="31" t="s">
        <v>2120</v>
      </c>
      <c r="K723" t="s">
        <v>2688</v>
      </c>
      <c r="L723">
        <v>7</v>
      </c>
      <c r="M723" t="s">
        <v>8</v>
      </c>
      <c r="N723" t="s">
        <v>8</v>
      </c>
      <c r="O723" t="s">
        <v>8</v>
      </c>
      <c r="P723" t="s">
        <v>8</v>
      </c>
      <c r="Q723" t="s">
        <v>8</v>
      </c>
      <c r="R723" t="s">
        <v>8</v>
      </c>
    </row>
    <row r="724" spans="1:18">
      <c r="A724" s="159" t="s">
        <v>2607</v>
      </c>
      <c r="B724" s="31" t="s">
        <v>2003</v>
      </c>
      <c r="C724" s="152">
        <v>7</v>
      </c>
      <c r="D724" s="162" t="s">
        <v>3761</v>
      </c>
      <c r="E724" s="162" t="s">
        <v>3753</v>
      </c>
      <c r="F724" s="162">
        <v>5</v>
      </c>
      <c r="G724" s="162" t="s">
        <v>3753</v>
      </c>
      <c r="H724" s="31" t="s">
        <v>2110</v>
      </c>
      <c r="I724" s="31" t="s">
        <v>1835</v>
      </c>
      <c r="J724" s="31" t="s">
        <v>2120</v>
      </c>
      <c r="K724" t="s">
        <v>2688</v>
      </c>
      <c r="L724">
        <v>7</v>
      </c>
      <c r="M724" t="s">
        <v>8</v>
      </c>
      <c r="N724" t="s">
        <v>8</v>
      </c>
      <c r="O724" t="s">
        <v>8</v>
      </c>
      <c r="P724" t="s">
        <v>8</v>
      </c>
      <c r="Q724" t="s">
        <v>8</v>
      </c>
      <c r="R724" t="s">
        <v>8</v>
      </c>
    </row>
    <row r="725" spans="1:18">
      <c r="A725" s="159" t="s">
        <v>2617</v>
      </c>
      <c r="B725" s="31" t="s">
        <v>2715</v>
      </c>
      <c r="C725" s="152">
        <v>7</v>
      </c>
      <c r="D725" s="162" t="s">
        <v>3756</v>
      </c>
      <c r="E725" s="162" t="s">
        <v>3753</v>
      </c>
      <c r="F725" s="162" t="s">
        <v>3817</v>
      </c>
      <c r="G725" s="162" t="s">
        <v>3753</v>
      </c>
      <c r="H725" s="31" t="s">
        <v>2110</v>
      </c>
      <c r="I725" s="31" t="s">
        <v>1835</v>
      </c>
      <c r="J725" s="31" t="s">
        <v>2120</v>
      </c>
      <c r="K725" t="s">
        <v>2688</v>
      </c>
      <c r="L725">
        <v>7</v>
      </c>
      <c r="M725" t="s">
        <v>8</v>
      </c>
      <c r="N725" t="s">
        <v>8</v>
      </c>
      <c r="O725" t="s">
        <v>8</v>
      </c>
      <c r="P725" t="s">
        <v>8</v>
      </c>
      <c r="Q725" t="s">
        <v>8</v>
      </c>
      <c r="R725" t="s">
        <v>8</v>
      </c>
    </row>
    <row r="726" spans="1:18">
      <c r="A726" s="159" t="s">
        <v>2608</v>
      </c>
      <c r="B726" s="31" t="s">
        <v>2726</v>
      </c>
      <c r="C726" s="152">
        <v>7</v>
      </c>
      <c r="D726" s="162" t="s">
        <v>3818</v>
      </c>
      <c r="E726" s="162" t="s">
        <v>3819</v>
      </c>
      <c r="F726" s="162">
        <v>4</v>
      </c>
      <c r="G726" s="162" t="s">
        <v>3820</v>
      </c>
      <c r="H726" s="31" t="s">
        <v>2107</v>
      </c>
      <c r="I726" s="31" t="s">
        <v>1835</v>
      </c>
      <c r="J726" s="31" t="s">
        <v>270</v>
      </c>
      <c r="K726" t="s">
        <v>2689</v>
      </c>
      <c r="L726">
        <v>7</v>
      </c>
      <c r="M726" t="s">
        <v>8</v>
      </c>
      <c r="N726" t="s">
        <v>8</v>
      </c>
      <c r="O726" t="s">
        <v>8</v>
      </c>
      <c r="P726" t="s">
        <v>8</v>
      </c>
      <c r="Q726" t="s">
        <v>8</v>
      </c>
      <c r="R726" t="s">
        <v>8</v>
      </c>
    </row>
    <row r="727" spans="1:18">
      <c r="A727" s="159" t="s">
        <v>38</v>
      </c>
      <c r="B727" s="31" t="s">
        <v>2698</v>
      </c>
      <c r="C727" s="152">
        <v>7</v>
      </c>
      <c r="D727" s="162" t="s">
        <v>3756</v>
      </c>
      <c r="E727" s="162" t="s">
        <v>3765</v>
      </c>
      <c r="F727" s="162" t="s">
        <v>3821</v>
      </c>
      <c r="G727" s="162" t="s">
        <v>3757</v>
      </c>
      <c r="H727" s="31" t="s">
        <v>2107</v>
      </c>
      <c r="I727" s="31" t="s">
        <v>1834</v>
      </c>
      <c r="J727" s="31" t="s">
        <v>2120</v>
      </c>
      <c r="K727" t="s">
        <v>2689</v>
      </c>
      <c r="L727">
        <v>7</v>
      </c>
      <c r="M727" t="s">
        <v>8</v>
      </c>
      <c r="N727" t="s">
        <v>8</v>
      </c>
      <c r="O727" t="s">
        <v>8</v>
      </c>
      <c r="P727" t="s">
        <v>8</v>
      </c>
      <c r="Q727" t="s">
        <v>8</v>
      </c>
      <c r="R727" t="s">
        <v>8</v>
      </c>
    </row>
    <row r="728" spans="1:18">
      <c r="A728" s="159" t="s">
        <v>2616</v>
      </c>
      <c r="B728" s="31" t="s">
        <v>2698</v>
      </c>
      <c r="C728" s="152">
        <v>7</v>
      </c>
      <c r="D728" s="162" t="s">
        <v>3756</v>
      </c>
      <c r="E728" s="162" t="s">
        <v>3765</v>
      </c>
      <c r="F728" s="162" t="s">
        <v>1740</v>
      </c>
      <c r="G728" s="162" t="s">
        <v>3743</v>
      </c>
      <c r="H728" s="31" t="s">
        <v>2110</v>
      </c>
      <c r="I728" s="31" t="s">
        <v>1835</v>
      </c>
      <c r="J728" s="31" t="s">
        <v>2120</v>
      </c>
      <c r="K728" t="s">
        <v>2689</v>
      </c>
      <c r="L728">
        <v>7</v>
      </c>
      <c r="M728" t="s">
        <v>8</v>
      </c>
      <c r="N728" t="s">
        <v>8</v>
      </c>
      <c r="O728" t="s">
        <v>8</v>
      </c>
      <c r="P728" t="s">
        <v>8</v>
      </c>
      <c r="Q728" t="s">
        <v>8</v>
      </c>
      <c r="R728" t="s">
        <v>8</v>
      </c>
    </row>
    <row r="729" spans="1:18">
      <c r="A729" s="159" t="s">
        <v>2609</v>
      </c>
      <c r="B729" s="31" t="s">
        <v>2698</v>
      </c>
      <c r="C729" s="152">
        <v>7</v>
      </c>
      <c r="D729" s="162" t="s">
        <v>3756</v>
      </c>
      <c r="E729" s="162" t="s">
        <v>3765</v>
      </c>
      <c r="F729" s="162" t="s">
        <v>3821</v>
      </c>
      <c r="G729" s="162" t="s">
        <v>3757</v>
      </c>
      <c r="H729" s="31" t="s">
        <v>2110</v>
      </c>
      <c r="I729" s="31" t="s">
        <v>1834</v>
      </c>
      <c r="J729" s="31" t="s">
        <v>2120</v>
      </c>
      <c r="K729" t="s">
        <v>2690</v>
      </c>
      <c r="L729">
        <v>7</v>
      </c>
      <c r="M729" t="s">
        <v>8</v>
      </c>
      <c r="N729" t="s">
        <v>8</v>
      </c>
      <c r="O729" t="s">
        <v>8</v>
      </c>
      <c r="P729" t="s">
        <v>8</v>
      </c>
      <c r="Q729" t="s">
        <v>8</v>
      </c>
      <c r="R729" t="s">
        <v>8</v>
      </c>
    </row>
    <row r="730" spans="1:18">
      <c r="A730" s="159" t="s">
        <v>2610</v>
      </c>
      <c r="B730" s="31" t="s">
        <v>2698</v>
      </c>
      <c r="C730" s="152">
        <v>7</v>
      </c>
      <c r="D730" s="162" t="s">
        <v>3756</v>
      </c>
      <c r="E730" s="162" t="s">
        <v>3765</v>
      </c>
      <c r="F730" s="162" t="s">
        <v>1740</v>
      </c>
      <c r="G730" s="162" t="s">
        <v>3757</v>
      </c>
      <c r="H730" s="31" t="s">
        <v>2107</v>
      </c>
      <c r="I730" s="31" t="s">
        <v>1834</v>
      </c>
      <c r="J730" s="31" t="s">
        <v>2120</v>
      </c>
      <c r="K730" t="s">
        <v>2690</v>
      </c>
      <c r="L730">
        <v>7</v>
      </c>
      <c r="M730" t="s">
        <v>8</v>
      </c>
      <c r="N730" t="s">
        <v>8</v>
      </c>
      <c r="O730" t="s">
        <v>8</v>
      </c>
      <c r="P730" t="s">
        <v>8</v>
      </c>
      <c r="Q730" t="s">
        <v>8</v>
      </c>
      <c r="R730" t="s">
        <v>8</v>
      </c>
    </row>
    <row r="731" spans="1:18">
      <c r="A731" s="159" t="s">
        <v>2611</v>
      </c>
      <c r="B731" s="31" t="s">
        <v>2708</v>
      </c>
      <c r="C731" s="152">
        <v>7</v>
      </c>
      <c r="D731" s="162" t="s">
        <v>3751</v>
      </c>
      <c r="E731" s="162" t="s">
        <v>3755</v>
      </c>
      <c r="F731" s="162" t="s">
        <v>1740</v>
      </c>
      <c r="G731" s="162" t="s">
        <v>3822</v>
      </c>
      <c r="H731" s="31" t="s">
        <v>2107</v>
      </c>
      <c r="I731" s="31" t="s">
        <v>1835</v>
      </c>
      <c r="J731" s="31" t="s">
        <v>2120</v>
      </c>
      <c r="K731" t="s">
        <v>2690</v>
      </c>
      <c r="L731">
        <v>7</v>
      </c>
      <c r="M731" t="s">
        <v>8</v>
      </c>
      <c r="N731" t="s">
        <v>8</v>
      </c>
      <c r="O731" t="s">
        <v>8</v>
      </c>
      <c r="P731" t="s">
        <v>8</v>
      </c>
      <c r="Q731" t="s">
        <v>8</v>
      </c>
      <c r="R731" t="s">
        <v>8</v>
      </c>
    </row>
    <row r="732" spans="1:18">
      <c r="A732" s="159" t="s">
        <v>2615</v>
      </c>
      <c r="B732" s="31" t="s">
        <v>2706</v>
      </c>
      <c r="C732" s="152">
        <v>7</v>
      </c>
      <c r="D732" s="162" t="s">
        <v>3756</v>
      </c>
      <c r="E732" s="162" t="s">
        <v>3752</v>
      </c>
      <c r="F732" s="162">
        <v>3</v>
      </c>
      <c r="G732" s="162" t="s">
        <v>3753</v>
      </c>
      <c r="H732" s="31" t="s">
        <v>2107</v>
      </c>
      <c r="I732" s="31" t="s">
        <v>1835</v>
      </c>
      <c r="J732" s="31" t="s">
        <v>270</v>
      </c>
      <c r="K732" t="s">
        <v>2691</v>
      </c>
      <c r="L732">
        <v>7</v>
      </c>
      <c r="M732" t="s">
        <v>8</v>
      </c>
      <c r="N732" t="s">
        <v>8</v>
      </c>
      <c r="O732" t="s">
        <v>8</v>
      </c>
      <c r="P732" t="s">
        <v>8</v>
      </c>
      <c r="Q732" t="s">
        <v>8</v>
      </c>
      <c r="R732" t="s">
        <v>8</v>
      </c>
    </row>
    <row r="733" spans="1:18">
      <c r="A733" s="159" t="s">
        <v>2612</v>
      </c>
      <c r="B733" s="31" t="s">
        <v>2703</v>
      </c>
      <c r="C733" s="152">
        <v>7</v>
      </c>
      <c r="D733" s="162" t="s">
        <v>3793</v>
      </c>
      <c r="E733" s="162" t="s">
        <v>3755</v>
      </c>
      <c r="F733" s="162" t="s">
        <v>3755</v>
      </c>
      <c r="G733" s="162" t="s">
        <v>3823</v>
      </c>
      <c r="H733" s="31" t="s">
        <v>2110</v>
      </c>
      <c r="I733" s="31" t="s">
        <v>1834</v>
      </c>
      <c r="J733" s="31" t="s">
        <v>2267</v>
      </c>
      <c r="K733" t="s">
        <v>2691</v>
      </c>
      <c r="L733">
        <v>7</v>
      </c>
      <c r="M733" t="s">
        <v>8</v>
      </c>
      <c r="N733" t="s">
        <v>8</v>
      </c>
      <c r="O733" t="s">
        <v>8</v>
      </c>
      <c r="P733" t="s">
        <v>8</v>
      </c>
      <c r="Q733" t="s">
        <v>8</v>
      </c>
      <c r="R733" t="s">
        <v>8</v>
      </c>
    </row>
    <row r="734" spans="1:18">
      <c r="A734" s="159" t="s">
        <v>2613</v>
      </c>
      <c r="B734" s="31" t="s">
        <v>2708</v>
      </c>
      <c r="C734" s="152">
        <v>7</v>
      </c>
      <c r="D734" s="162" t="s">
        <v>3764</v>
      </c>
      <c r="E734" s="162" t="s">
        <v>3765</v>
      </c>
      <c r="F734" s="162" t="s">
        <v>3755</v>
      </c>
      <c r="G734" s="162" t="s">
        <v>3824</v>
      </c>
      <c r="H734" s="31" t="s">
        <v>2107</v>
      </c>
      <c r="I734" s="31" t="s">
        <v>1835</v>
      </c>
      <c r="J734" s="31" t="s">
        <v>270</v>
      </c>
      <c r="K734" t="s">
        <v>2691</v>
      </c>
      <c r="L734">
        <v>7</v>
      </c>
      <c r="M734" t="s">
        <v>8</v>
      </c>
      <c r="N734" t="s">
        <v>8</v>
      </c>
      <c r="O734" t="s">
        <v>8</v>
      </c>
      <c r="P734" t="s">
        <v>8</v>
      </c>
      <c r="Q734" t="s">
        <v>8</v>
      </c>
      <c r="R734" t="s">
        <v>8</v>
      </c>
    </row>
    <row r="735" spans="1:18">
      <c r="A735" s="159" t="s">
        <v>2614</v>
      </c>
      <c r="B735" s="31" t="s">
        <v>2702</v>
      </c>
      <c r="C735" s="152">
        <v>7</v>
      </c>
      <c r="D735" s="162" t="s">
        <v>3756</v>
      </c>
      <c r="E735" s="162" t="s">
        <v>3825</v>
      </c>
      <c r="F735" s="162">
        <v>1</v>
      </c>
      <c r="G735" s="162" t="s">
        <v>3753</v>
      </c>
      <c r="H735" s="31" t="s">
        <v>2107</v>
      </c>
      <c r="I735" s="31" t="s">
        <v>1835</v>
      </c>
      <c r="J735" s="31" t="s">
        <v>2120</v>
      </c>
      <c r="K735" t="s">
        <v>2691</v>
      </c>
      <c r="L735">
        <v>7</v>
      </c>
      <c r="M735" t="s">
        <v>8</v>
      </c>
      <c r="N735" t="s">
        <v>8</v>
      </c>
      <c r="O735" t="s">
        <v>8</v>
      </c>
      <c r="P735" t="s">
        <v>8</v>
      </c>
      <c r="Q735" t="s">
        <v>8</v>
      </c>
      <c r="R735" t="s">
        <v>8</v>
      </c>
    </row>
    <row r="736" spans="1:18">
      <c r="A736" s="83" t="s">
        <v>2845</v>
      </c>
      <c r="B736" s="31" t="s">
        <v>2980</v>
      </c>
      <c r="C736" s="152">
        <v>1</v>
      </c>
      <c r="D736" s="162" t="s">
        <v>3829</v>
      </c>
      <c r="E736" s="162" t="s">
        <v>3830</v>
      </c>
      <c r="F736" s="162" t="s">
        <v>3755</v>
      </c>
      <c r="G736" s="162" t="s">
        <v>3831</v>
      </c>
      <c r="H736" s="31" t="s">
        <v>2107</v>
      </c>
      <c r="I736" s="162"/>
      <c r="J736" s="31" t="s">
        <v>2120</v>
      </c>
      <c r="K736" t="s">
        <v>2979</v>
      </c>
      <c r="L736">
        <v>1</v>
      </c>
      <c r="M736" t="s">
        <v>8</v>
      </c>
      <c r="N736" t="s">
        <v>8</v>
      </c>
      <c r="O736" t="s">
        <v>8</v>
      </c>
      <c r="P736" t="s">
        <v>8</v>
      </c>
      <c r="Q736" t="s">
        <v>8</v>
      </c>
      <c r="R736" t="s">
        <v>8</v>
      </c>
    </row>
    <row r="737" spans="1:18">
      <c r="A737" s="161" t="s">
        <v>2852</v>
      </c>
      <c r="B737" s="31" t="s">
        <v>2981</v>
      </c>
      <c r="C737" s="152">
        <v>1</v>
      </c>
      <c r="D737" s="162" t="s">
        <v>3756</v>
      </c>
      <c r="E737" s="162" t="s">
        <v>3797</v>
      </c>
      <c r="F737" s="162">
        <v>1</v>
      </c>
      <c r="G737" s="162" t="s">
        <v>3832</v>
      </c>
      <c r="H737" s="31" t="s">
        <v>2107</v>
      </c>
      <c r="I737" s="162"/>
      <c r="J737" s="31" t="s">
        <v>2120</v>
      </c>
      <c r="K737" t="s">
        <v>2979</v>
      </c>
      <c r="L737">
        <v>1</v>
      </c>
      <c r="M737" t="s">
        <v>8</v>
      </c>
      <c r="N737" t="s">
        <v>8</v>
      </c>
      <c r="O737" t="s">
        <v>8</v>
      </c>
      <c r="P737" t="s">
        <v>8</v>
      </c>
      <c r="Q737" t="s">
        <v>8</v>
      </c>
      <c r="R737" t="s">
        <v>8</v>
      </c>
    </row>
    <row r="738" spans="1:18">
      <c r="A738" s="161" t="s">
        <v>2853</v>
      </c>
      <c r="B738" s="31" t="s">
        <v>2982</v>
      </c>
      <c r="C738" s="152">
        <v>1</v>
      </c>
      <c r="D738" s="162" t="s">
        <v>3761</v>
      </c>
      <c r="E738" s="162" t="s">
        <v>3825</v>
      </c>
      <c r="F738" s="162">
        <v>1</v>
      </c>
      <c r="G738" s="162" t="s">
        <v>3833</v>
      </c>
      <c r="H738" s="31" t="s">
        <v>2110</v>
      </c>
      <c r="I738" s="162"/>
      <c r="J738" s="31" t="s">
        <v>2120</v>
      </c>
      <c r="K738" t="s">
        <v>2979</v>
      </c>
      <c r="L738">
        <v>1</v>
      </c>
      <c r="M738" t="s">
        <v>8</v>
      </c>
      <c r="N738" t="s">
        <v>8</v>
      </c>
      <c r="O738" t="s">
        <v>8</v>
      </c>
      <c r="P738" t="s">
        <v>8</v>
      </c>
      <c r="Q738" t="s">
        <v>8</v>
      </c>
      <c r="R738" t="s">
        <v>8</v>
      </c>
    </row>
    <row r="739" spans="1:18">
      <c r="A739" s="161" t="s">
        <v>2854</v>
      </c>
      <c r="B739" s="31" t="s">
        <v>2696</v>
      </c>
      <c r="C739" s="152">
        <v>1</v>
      </c>
      <c r="D739" s="162" t="s">
        <v>3763</v>
      </c>
      <c r="E739" s="162" t="s">
        <v>2297</v>
      </c>
      <c r="F739" s="162">
        <v>3</v>
      </c>
      <c r="G739" s="162" t="s">
        <v>3754</v>
      </c>
      <c r="H739" s="31" t="s">
        <v>2110</v>
      </c>
      <c r="I739" s="162"/>
      <c r="J739" s="31" t="s">
        <v>2120</v>
      </c>
      <c r="K739" t="s">
        <v>2998</v>
      </c>
      <c r="L739">
        <v>1</v>
      </c>
      <c r="M739" t="s">
        <v>8</v>
      </c>
      <c r="N739" t="s">
        <v>8</v>
      </c>
      <c r="O739" t="s">
        <v>8</v>
      </c>
      <c r="P739" t="s">
        <v>8</v>
      </c>
      <c r="Q739" t="s">
        <v>8</v>
      </c>
      <c r="R739" t="s">
        <v>8</v>
      </c>
    </row>
    <row r="740" spans="1:18">
      <c r="A740" s="161" t="s">
        <v>2855</v>
      </c>
      <c r="B740" s="31" t="s">
        <v>2981</v>
      </c>
      <c r="C740" s="152">
        <v>1</v>
      </c>
      <c r="D740" s="162" t="s">
        <v>3763</v>
      </c>
      <c r="E740" s="162" t="s">
        <v>3834</v>
      </c>
      <c r="F740" s="162">
        <v>5</v>
      </c>
      <c r="G740" s="162" t="s">
        <v>3753</v>
      </c>
      <c r="H740" s="31" t="s">
        <v>2107</v>
      </c>
      <c r="I740" s="162"/>
      <c r="J740" s="31" t="s">
        <v>2120</v>
      </c>
      <c r="K740" t="s">
        <v>2998</v>
      </c>
      <c r="L740">
        <v>1</v>
      </c>
      <c r="M740" t="s">
        <v>8</v>
      </c>
      <c r="N740" t="s">
        <v>8</v>
      </c>
      <c r="O740" t="s">
        <v>8</v>
      </c>
      <c r="P740" t="s">
        <v>8</v>
      </c>
      <c r="Q740" t="s">
        <v>8</v>
      </c>
      <c r="R740" t="s">
        <v>8</v>
      </c>
    </row>
    <row r="741" spans="1:18">
      <c r="A741" s="161" t="s">
        <v>2856</v>
      </c>
      <c r="B741" s="31" t="s">
        <v>2983</v>
      </c>
      <c r="C741" s="152">
        <v>1</v>
      </c>
      <c r="D741" s="162" t="s">
        <v>3756</v>
      </c>
      <c r="E741" s="162" t="s">
        <v>3797</v>
      </c>
      <c r="F741" s="162">
        <v>1</v>
      </c>
      <c r="G741" s="162" t="s">
        <v>3832</v>
      </c>
      <c r="H741" s="31" t="s">
        <v>2110</v>
      </c>
      <c r="I741" s="162"/>
      <c r="J741" s="31" t="s">
        <v>2120</v>
      </c>
      <c r="K741" t="s">
        <v>2999</v>
      </c>
      <c r="L741">
        <v>1</v>
      </c>
      <c r="M741" t="s">
        <v>8</v>
      </c>
      <c r="N741" t="s">
        <v>8</v>
      </c>
      <c r="O741" t="s">
        <v>8</v>
      </c>
      <c r="P741" t="s">
        <v>8</v>
      </c>
      <c r="Q741" t="s">
        <v>8</v>
      </c>
      <c r="R741" t="s">
        <v>8</v>
      </c>
    </row>
    <row r="742" spans="1:18">
      <c r="A742" s="161" t="s">
        <v>2857</v>
      </c>
      <c r="B742" s="31" t="s">
        <v>992</v>
      </c>
      <c r="C742" s="152">
        <v>1</v>
      </c>
      <c r="D742" s="162" t="s">
        <v>3756</v>
      </c>
      <c r="E742" s="162" t="s">
        <v>3825</v>
      </c>
      <c r="F742" s="162">
        <v>1</v>
      </c>
      <c r="G742" s="162" t="s">
        <v>3753</v>
      </c>
      <c r="H742" s="31" t="s">
        <v>2107</v>
      </c>
      <c r="I742" s="162"/>
      <c r="J742" s="31" t="s">
        <v>2120</v>
      </c>
      <c r="K742" t="s">
        <v>2999</v>
      </c>
      <c r="L742">
        <v>1</v>
      </c>
      <c r="M742" t="s">
        <v>8</v>
      </c>
      <c r="N742" t="s">
        <v>8</v>
      </c>
      <c r="O742" t="s">
        <v>8</v>
      </c>
      <c r="P742" t="s">
        <v>8</v>
      </c>
      <c r="Q742" t="s">
        <v>8</v>
      </c>
      <c r="R742" t="s">
        <v>8</v>
      </c>
    </row>
    <row r="743" spans="1:18">
      <c r="A743" s="161" t="s">
        <v>997</v>
      </c>
      <c r="B743" s="31" t="s">
        <v>2984</v>
      </c>
      <c r="C743" s="152">
        <v>1</v>
      </c>
      <c r="D743" s="162" t="s">
        <v>3763</v>
      </c>
      <c r="E743" s="162" t="s">
        <v>3782</v>
      </c>
      <c r="F743" s="162">
        <v>1</v>
      </c>
      <c r="G743" s="162" t="s">
        <v>3835</v>
      </c>
      <c r="H743" s="31" t="s">
        <v>2107</v>
      </c>
      <c r="I743" s="162"/>
      <c r="J743" s="31" t="s">
        <v>2120</v>
      </c>
      <c r="K743" t="s">
        <v>2999</v>
      </c>
      <c r="L743">
        <v>1</v>
      </c>
      <c r="M743" t="s">
        <v>8</v>
      </c>
      <c r="N743" t="s">
        <v>8</v>
      </c>
      <c r="O743" t="s">
        <v>8</v>
      </c>
      <c r="P743" t="s">
        <v>8</v>
      </c>
      <c r="Q743" t="s">
        <v>8</v>
      </c>
      <c r="R743" t="s">
        <v>8</v>
      </c>
    </row>
    <row r="744" spans="1:18">
      <c r="A744" s="161" t="s">
        <v>2858</v>
      </c>
      <c r="B744" s="31" t="s">
        <v>992</v>
      </c>
      <c r="C744" s="152">
        <v>1</v>
      </c>
      <c r="D744" s="162" t="s">
        <v>3763</v>
      </c>
      <c r="E744" s="162" t="s">
        <v>3782</v>
      </c>
      <c r="F744" s="162">
        <v>1</v>
      </c>
      <c r="G744" s="162" t="s">
        <v>3753</v>
      </c>
      <c r="H744" s="31" t="s">
        <v>2110</v>
      </c>
      <c r="I744" s="162"/>
      <c r="J744" s="31" t="s">
        <v>2120</v>
      </c>
      <c r="K744" t="s">
        <v>2999</v>
      </c>
      <c r="L744">
        <v>1</v>
      </c>
      <c r="M744" t="s">
        <v>8</v>
      </c>
      <c r="N744" t="s">
        <v>8</v>
      </c>
      <c r="O744" t="s">
        <v>8</v>
      </c>
      <c r="P744" t="s">
        <v>8</v>
      </c>
      <c r="Q744" t="s">
        <v>8</v>
      </c>
      <c r="R744" t="s">
        <v>8</v>
      </c>
    </row>
    <row r="745" spans="1:18">
      <c r="A745" s="161" t="s">
        <v>2859</v>
      </c>
      <c r="B745" s="31" t="s">
        <v>2985</v>
      </c>
      <c r="C745" s="152">
        <v>1</v>
      </c>
      <c r="D745" s="162" t="s">
        <v>3763</v>
      </c>
      <c r="E745" s="162" t="s">
        <v>3782</v>
      </c>
      <c r="F745" s="162">
        <v>1</v>
      </c>
      <c r="G745" s="162" t="s">
        <v>3836</v>
      </c>
      <c r="H745" s="31" t="s">
        <v>2107</v>
      </c>
      <c r="I745" s="162"/>
      <c r="J745" s="31" t="s">
        <v>2120</v>
      </c>
      <c r="K745" t="s">
        <v>2999</v>
      </c>
      <c r="L745">
        <v>1</v>
      </c>
      <c r="M745" t="s">
        <v>8</v>
      </c>
      <c r="N745" t="s">
        <v>8</v>
      </c>
      <c r="O745" t="s">
        <v>8</v>
      </c>
      <c r="P745" t="s">
        <v>8</v>
      </c>
      <c r="Q745" t="s">
        <v>8</v>
      </c>
      <c r="R745" t="s">
        <v>8</v>
      </c>
    </row>
    <row r="746" spans="1:18">
      <c r="A746" s="161" t="s">
        <v>2860</v>
      </c>
      <c r="B746" s="31" t="s">
        <v>2706</v>
      </c>
      <c r="C746" s="152">
        <v>1</v>
      </c>
      <c r="D746" s="162" t="s">
        <v>3837</v>
      </c>
      <c r="E746" s="162" t="s">
        <v>3753</v>
      </c>
      <c r="F746" s="162" t="s">
        <v>1740</v>
      </c>
      <c r="G746" s="162" t="s">
        <v>3838</v>
      </c>
      <c r="H746" s="31" t="s">
        <v>2107</v>
      </c>
      <c r="I746" s="162"/>
      <c r="J746" s="31" t="s">
        <v>2120</v>
      </c>
      <c r="K746" t="s">
        <v>3000</v>
      </c>
      <c r="L746">
        <v>1</v>
      </c>
      <c r="M746" t="s">
        <v>8</v>
      </c>
      <c r="N746" t="s">
        <v>8</v>
      </c>
      <c r="O746" t="s">
        <v>8</v>
      </c>
      <c r="P746" t="s">
        <v>8</v>
      </c>
      <c r="Q746" t="s">
        <v>8</v>
      </c>
      <c r="R746" t="s">
        <v>8</v>
      </c>
    </row>
    <row r="747" spans="1:18">
      <c r="A747" s="161" t="s">
        <v>2861</v>
      </c>
      <c r="B747" s="31" t="s">
        <v>2003</v>
      </c>
      <c r="C747" s="152">
        <v>1</v>
      </c>
      <c r="D747" s="162" t="s">
        <v>3756</v>
      </c>
      <c r="E747" s="162" t="s">
        <v>3797</v>
      </c>
      <c r="F747" s="162">
        <v>1</v>
      </c>
      <c r="G747" s="162" t="s">
        <v>3757</v>
      </c>
      <c r="H747" s="31" t="s">
        <v>2107</v>
      </c>
      <c r="I747" s="162"/>
      <c r="J747" s="31" t="s">
        <v>2120</v>
      </c>
      <c r="K747" t="s">
        <v>3000</v>
      </c>
      <c r="L747">
        <v>1</v>
      </c>
      <c r="M747" t="s">
        <v>8</v>
      </c>
      <c r="N747" t="s">
        <v>8</v>
      </c>
      <c r="O747" t="s">
        <v>8</v>
      </c>
      <c r="P747" t="s">
        <v>8</v>
      </c>
      <c r="Q747" t="s">
        <v>8</v>
      </c>
      <c r="R747" t="s">
        <v>8</v>
      </c>
    </row>
    <row r="748" spans="1:18">
      <c r="A748" s="161" t="s">
        <v>2862</v>
      </c>
      <c r="B748" s="31" t="s">
        <v>2986</v>
      </c>
      <c r="C748" s="152">
        <v>1</v>
      </c>
      <c r="D748" s="162" t="s">
        <v>3763</v>
      </c>
      <c r="E748" s="162" t="s">
        <v>3755</v>
      </c>
      <c r="F748" s="162">
        <v>1</v>
      </c>
      <c r="G748" s="162" t="s">
        <v>3836</v>
      </c>
      <c r="H748" s="31" t="s">
        <v>2107</v>
      </c>
      <c r="I748" s="162"/>
      <c r="J748" s="31" t="s">
        <v>2120</v>
      </c>
      <c r="K748" t="s">
        <v>3000</v>
      </c>
      <c r="L748">
        <v>1</v>
      </c>
      <c r="M748" t="s">
        <v>8</v>
      </c>
      <c r="N748" t="s">
        <v>8</v>
      </c>
      <c r="O748" t="s">
        <v>8</v>
      </c>
      <c r="P748" t="s">
        <v>8</v>
      </c>
      <c r="Q748" t="s">
        <v>8</v>
      </c>
      <c r="R748" t="s">
        <v>8</v>
      </c>
    </row>
    <row r="749" spans="1:18">
      <c r="A749" s="161" t="s">
        <v>2863</v>
      </c>
      <c r="B749" s="31" t="s">
        <v>2982</v>
      </c>
      <c r="C749" s="152">
        <v>1</v>
      </c>
      <c r="D749" s="162" t="s">
        <v>3763</v>
      </c>
      <c r="E749" s="162" t="s">
        <v>3753</v>
      </c>
      <c r="F749" s="162" t="s">
        <v>3839</v>
      </c>
      <c r="G749" s="162" t="s">
        <v>2127</v>
      </c>
      <c r="H749" s="31" t="s">
        <v>2107</v>
      </c>
      <c r="I749" s="162"/>
      <c r="J749" s="31" t="s">
        <v>2108</v>
      </c>
      <c r="K749" t="s">
        <v>3001</v>
      </c>
      <c r="L749">
        <v>1</v>
      </c>
      <c r="M749" t="s">
        <v>8</v>
      </c>
      <c r="N749" t="s">
        <v>8</v>
      </c>
      <c r="O749" t="s">
        <v>8</v>
      </c>
      <c r="P749" t="s">
        <v>8</v>
      </c>
      <c r="Q749" t="s">
        <v>8</v>
      </c>
      <c r="R749" t="s">
        <v>8</v>
      </c>
    </row>
    <row r="750" spans="1:18">
      <c r="A750" s="161" t="s">
        <v>2864</v>
      </c>
      <c r="B750" s="31" t="s">
        <v>1964</v>
      </c>
      <c r="C750" s="152">
        <v>1</v>
      </c>
      <c r="D750" s="162" t="s">
        <v>3840</v>
      </c>
      <c r="E750" s="162" t="s">
        <v>3782</v>
      </c>
      <c r="F750" s="162">
        <v>3</v>
      </c>
      <c r="G750" s="162" t="s">
        <v>2127</v>
      </c>
      <c r="H750" s="31" t="s">
        <v>2107</v>
      </c>
      <c r="I750" s="162"/>
      <c r="J750" s="31" t="s">
        <v>2108</v>
      </c>
      <c r="K750" t="s">
        <v>3001</v>
      </c>
      <c r="L750">
        <v>1</v>
      </c>
      <c r="M750" t="s">
        <v>8</v>
      </c>
      <c r="N750" t="s">
        <v>8</v>
      </c>
      <c r="O750" t="s">
        <v>8</v>
      </c>
      <c r="P750" t="s">
        <v>8</v>
      </c>
      <c r="Q750" t="s">
        <v>8</v>
      </c>
      <c r="R750" t="s">
        <v>8</v>
      </c>
    </row>
    <row r="751" spans="1:18">
      <c r="A751" s="161" t="s">
        <v>2865</v>
      </c>
      <c r="B751" s="31" t="s">
        <v>2985</v>
      </c>
      <c r="C751" s="152">
        <v>1</v>
      </c>
      <c r="D751" s="162" t="s">
        <v>3756</v>
      </c>
      <c r="E751" s="162" t="s">
        <v>3765</v>
      </c>
      <c r="F751" s="162">
        <v>1</v>
      </c>
      <c r="G751" s="162" t="s">
        <v>3841</v>
      </c>
      <c r="H751" s="31" t="s">
        <v>2107</v>
      </c>
      <c r="I751" s="162"/>
      <c r="J751" s="31" t="s">
        <v>2120</v>
      </c>
      <c r="K751" t="s">
        <v>3002</v>
      </c>
      <c r="L751">
        <v>1</v>
      </c>
      <c r="M751" t="s">
        <v>8</v>
      </c>
      <c r="N751" t="s">
        <v>8</v>
      </c>
      <c r="O751" t="s">
        <v>8</v>
      </c>
      <c r="P751" t="s">
        <v>8</v>
      </c>
      <c r="Q751" t="s">
        <v>8</v>
      </c>
      <c r="R751" t="s">
        <v>8</v>
      </c>
    </row>
    <row r="752" spans="1:18">
      <c r="A752" s="161" t="s">
        <v>2866</v>
      </c>
      <c r="B752" s="31" t="s">
        <v>2715</v>
      </c>
      <c r="C752" s="152">
        <v>1</v>
      </c>
      <c r="D752" s="162" t="s">
        <v>270</v>
      </c>
      <c r="E752" s="162" t="s">
        <v>3753</v>
      </c>
      <c r="F752" s="162" t="s">
        <v>270</v>
      </c>
      <c r="G752" s="162" t="s">
        <v>3838</v>
      </c>
      <c r="H752" s="31" t="s">
        <v>2110</v>
      </c>
      <c r="I752" s="162"/>
      <c r="J752" s="31" t="s">
        <v>2120</v>
      </c>
      <c r="K752" t="s">
        <v>3002</v>
      </c>
      <c r="L752">
        <v>1</v>
      </c>
      <c r="M752" t="s">
        <v>8</v>
      </c>
      <c r="N752" t="s">
        <v>8</v>
      </c>
      <c r="O752" t="s">
        <v>8</v>
      </c>
      <c r="P752" t="s">
        <v>8</v>
      </c>
      <c r="Q752" t="s">
        <v>8</v>
      </c>
      <c r="R752" t="s">
        <v>8</v>
      </c>
    </row>
    <row r="753" spans="1:18">
      <c r="A753" s="161" t="s">
        <v>2846</v>
      </c>
      <c r="B753" s="31" t="s">
        <v>2984</v>
      </c>
      <c r="C753" s="152">
        <v>2</v>
      </c>
      <c r="D753" s="162" t="s">
        <v>3756</v>
      </c>
      <c r="E753" s="162" t="s">
        <v>3759</v>
      </c>
      <c r="F753" s="162" t="s">
        <v>3755</v>
      </c>
      <c r="G753" s="162" t="s">
        <v>2127</v>
      </c>
      <c r="H753" s="31" t="s">
        <v>2107</v>
      </c>
      <c r="I753" s="162"/>
      <c r="J753" s="31" t="s">
        <v>2120</v>
      </c>
      <c r="K753" t="s">
        <v>3002</v>
      </c>
      <c r="L753">
        <v>2</v>
      </c>
      <c r="M753" t="s">
        <v>8</v>
      </c>
      <c r="N753" t="s">
        <v>8</v>
      </c>
      <c r="O753" t="s">
        <v>8</v>
      </c>
      <c r="P753" t="s">
        <v>8</v>
      </c>
      <c r="Q753" t="s">
        <v>8</v>
      </c>
      <c r="R753" t="s">
        <v>8</v>
      </c>
    </row>
    <row r="754" spans="1:18">
      <c r="A754" s="161" t="s">
        <v>2867</v>
      </c>
      <c r="B754" s="31" t="s">
        <v>2984</v>
      </c>
      <c r="C754" s="152">
        <v>2</v>
      </c>
      <c r="D754" s="162"/>
      <c r="E754" s="162"/>
      <c r="F754" s="162"/>
      <c r="G754" s="162"/>
      <c r="H754" s="31" t="s">
        <v>2110</v>
      </c>
      <c r="I754" s="162"/>
      <c r="J754" s="162"/>
      <c r="K754" t="s">
        <v>3002</v>
      </c>
      <c r="L754">
        <v>2</v>
      </c>
      <c r="M754" t="s">
        <v>8</v>
      </c>
      <c r="N754" t="s">
        <v>8</v>
      </c>
      <c r="O754" t="s">
        <v>8</v>
      </c>
      <c r="P754" t="s">
        <v>8</v>
      </c>
      <c r="Q754" t="s">
        <v>8</v>
      </c>
      <c r="R754" t="s">
        <v>8</v>
      </c>
    </row>
    <row r="755" spans="1:18">
      <c r="A755" s="161" t="s">
        <v>2868</v>
      </c>
      <c r="B755" s="31" t="s">
        <v>2987</v>
      </c>
      <c r="C755" s="152">
        <v>2</v>
      </c>
      <c r="D755" s="162"/>
      <c r="E755" s="162"/>
      <c r="F755" s="162"/>
      <c r="G755" s="162"/>
      <c r="H755" s="31" t="s">
        <v>2110</v>
      </c>
      <c r="I755" s="162"/>
      <c r="J755" s="162"/>
      <c r="K755" t="s">
        <v>3003</v>
      </c>
      <c r="L755">
        <v>2</v>
      </c>
      <c r="M755" t="s">
        <v>8</v>
      </c>
      <c r="N755" t="s">
        <v>8</v>
      </c>
      <c r="O755" t="s">
        <v>8</v>
      </c>
      <c r="P755" t="s">
        <v>8</v>
      </c>
      <c r="Q755" t="s">
        <v>8</v>
      </c>
      <c r="R755" t="s">
        <v>8</v>
      </c>
    </row>
    <row r="756" spans="1:18">
      <c r="A756" s="161" t="s">
        <v>2869</v>
      </c>
      <c r="B756" s="31" t="s">
        <v>2981</v>
      </c>
      <c r="C756" s="152">
        <v>2</v>
      </c>
      <c r="D756" s="162"/>
      <c r="E756" s="162"/>
      <c r="F756" s="162"/>
      <c r="G756" s="162"/>
      <c r="H756" s="31" t="s">
        <v>2107</v>
      </c>
      <c r="I756" s="162"/>
      <c r="J756" s="162"/>
      <c r="K756" t="s">
        <v>3003</v>
      </c>
      <c r="L756">
        <v>2</v>
      </c>
      <c r="M756" t="s">
        <v>8</v>
      </c>
      <c r="N756" t="s">
        <v>8</v>
      </c>
      <c r="O756" t="s">
        <v>8</v>
      </c>
      <c r="P756" t="s">
        <v>8</v>
      </c>
      <c r="Q756" t="s">
        <v>8</v>
      </c>
      <c r="R756" t="s">
        <v>8</v>
      </c>
    </row>
    <row r="757" spans="1:18">
      <c r="A757" s="161" t="s">
        <v>2870</v>
      </c>
      <c r="B757" s="31" t="s">
        <v>2707</v>
      </c>
      <c r="C757" s="152">
        <v>2</v>
      </c>
      <c r="D757" s="162"/>
      <c r="E757" s="162"/>
      <c r="F757" s="162"/>
      <c r="G757" s="162"/>
      <c r="H757" s="31" t="s">
        <v>2151</v>
      </c>
      <c r="I757" s="162"/>
      <c r="J757" s="162"/>
      <c r="K757" t="s">
        <v>3004</v>
      </c>
      <c r="L757">
        <v>2</v>
      </c>
      <c r="M757" t="s">
        <v>8</v>
      </c>
      <c r="N757" t="s">
        <v>8</v>
      </c>
      <c r="O757" t="s">
        <v>8</v>
      </c>
      <c r="P757" t="s">
        <v>8</v>
      </c>
      <c r="Q757" t="s">
        <v>8</v>
      </c>
      <c r="R757" t="s">
        <v>8</v>
      </c>
    </row>
    <row r="758" spans="1:18">
      <c r="A758" s="161" t="s">
        <v>2871</v>
      </c>
      <c r="B758" s="31" t="s">
        <v>1964</v>
      </c>
      <c r="C758" s="152">
        <v>2</v>
      </c>
      <c r="D758" s="162"/>
      <c r="E758" s="162"/>
      <c r="F758" s="162"/>
      <c r="G758" s="162"/>
      <c r="H758" s="31" t="s">
        <v>2110</v>
      </c>
      <c r="I758" s="162"/>
      <c r="J758" s="162"/>
      <c r="K758" t="s">
        <v>3004</v>
      </c>
      <c r="L758">
        <v>2</v>
      </c>
      <c r="M758" t="s">
        <v>8</v>
      </c>
      <c r="N758" t="s">
        <v>8</v>
      </c>
      <c r="O758" t="s">
        <v>8</v>
      </c>
      <c r="P758" t="s">
        <v>8</v>
      </c>
      <c r="Q758" t="s">
        <v>8</v>
      </c>
      <c r="R758" t="s">
        <v>8</v>
      </c>
    </row>
    <row r="759" spans="1:18">
      <c r="A759" s="161" t="s">
        <v>2872</v>
      </c>
      <c r="B759" s="31" t="s">
        <v>992</v>
      </c>
      <c r="C759" s="152">
        <v>2</v>
      </c>
      <c r="D759" s="162"/>
      <c r="E759" s="162"/>
      <c r="F759" s="162"/>
      <c r="G759" s="162"/>
      <c r="H759" s="31" t="s">
        <v>2107</v>
      </c>
      <c r="I759" s="162"/>
      <c r="J759" s="162"/>
      <c r="K759" t="s">
        <v>3004</v>
      </c>
      <c r="L759">
        <v>2</v>
      </c>
      <c r="M759" t="s">
        <v>8</v>
      </c>
      <c r="N759" t="s">
        <v>8</v>
      </c>
      <c r="O759" t="s">
        <v>8</v>
      </c>
      <c r="P759" t="s">
        <v>8</v>
      </c>
      <c r="Q759" t="s">
        <v>8</v>
      </c>
      <c r="R759" t="s">
        <v>8</v>
      </c>
    </row>
    <row r="760" spans="1:18">
      <c r="A760" s="161" t="s">
        <v>2873</v>
      </c>
      <c r="B760" s="31" t="s">
        <v>2982</v>
      </c>
      <c r="C760" s="152">
        <v>2</v>
      </c>
      <c r="D760" s="162"/>
      <c r="E760" s="162"/>
      <c r="F760" s="162"/>
      <c r="G760" s="162"/>
      <c r="H760" s="31" t="s">
        <v>2110</v>
      </c>
      <c r="I760" s="162"/>
      <c r="J760" s="162"/>
      <c r="K760" t="s">
        <v>3004</v>
      </c>
      <c r="L760">
        <v>2</v>
      </c>
      <c r="M760" t="s">
        <v>8</v>
      </c>
      <c r="N760" t="s">
        <v>8</v>
      </c>
      <c r="O760" t="s">
        <v>8</v>
      </c>
      <c r="P760" t="s">
        <v>8</v>
      </c>
      <c r="Q760" t="s">
        <v>8</v>
      </c>
      <c r="R760" t="s">
        <v>8</v>
      </c>
    </row>
    <row r="761" spans="1:18">
      <c r="A761" s="161" t="s">
        <v>2874</v>
      </c>
      <c r="B761" s="31" t="s">
        <v>2982</v>
      </c>
      <c r="C761" s="152">
        <v>2</v>
      </c>
      <c r="D761" s="162"/>
      <c r="E761" s="162"/>
      <c r="F761" s="162"/>
      <c r="G761" s="162"/>
      <c r="H761" s="31" t="s">
        <v>2107</v>
      </c>
      <c r="I761" s="162"/>
      <c r="J761" s="162"/>
      <c r="K761" t="s">
        <v>3005</v>
      </c>
      <c r="L761">
        <v>2</v>
      </c>
      <c r="M761" t="s">
        <v>8</v>
      </c>
      <c r="N761" t="s">
        <v>8</v>
      </c>
      <c r="O761" t="s">
        <v>8</v>
      </c>
      <c r="P761" t="s">
        <v>8</v>
      </c>
      <c r="Q761" t="s">
        <v>8</v>
      </c>
      <c r="R761" t="s">
        <v>8</v>
      </c>
    </row>
    <row r="762" spans="1:18">
      <c r="A762" s="161" t="s">
        <v>2875</v>
      </c>
      <c r="B762" s="31" t="s">
        <v>2986</v>
      </c>
      <c r="C762" s="152">
        <v>2</v>
      </c>
      <c r="D762" s="162"/>
      <c r="E762" s="162"/>
      <c r="F762" s="162"/>
      <c r="G762" s="162"/>
      <c r="H762" s="31" t="s">
        <v>2107</v>
      </c>
      <c r="I762" s="162"/>
      <c r="J762" s="162"/>
      <c r="K762" t="s">
        <v>3005</v>
      </c>
      <c r="L762">
        <v>2</v>
      </c>
      <c r="M762" t="s">
        <v>8</v>
      </c>
      <c r="N762" t="s">
        <v>8</v>
      </c>
      <c r="O762" t="s">
        <v>8</v>
      </c>
      <c r="P762" t="s">
        <v>8</v>
      </c>
      <c r="Q762" t="s">
        <v>8</v>
      </c>
      <c r="R762" t="s">
        <v>8</v>
      </c>
    </row>
    <row r="763" spans="1:18">
      <c r="A763" s="161" t="s">
        <v>2876</v>
      </c>
      <c r="B763" s="31" t="s">
        <v>2988</v>
      </c>
      <c r="C763" s="152">
        <v>2</v>
      </c>
      <c r="D763" s="162"/>
      <c r="E763" s="162"/>
      <c r="F763" s="162"/>
      <c r="G763" s="162"/>
      <c r="H763" s="31" t="s">
        <v>2107</v>
      </c>
      <c r="I763" s="162"/>
      <c r="J763" s="162"/>
      <c r="K763" t="s">
        <v>3006</v>
      </c>
      <c r="L763">
        <v>2</v>
      </c>
      <c r="M763" t="s">
        <v>8</v>
      </c>
      <c r="N763" t="s">
        <v>8</v>
      </c>
      <c r="O763" t="s">
        <v>8</v>
      </c>
      <c r="P763" t="s">
        <v>8</v>
      </c>
      <c r="Q763" t="s">
        <v>8</v>
      </c>
      <c r="R763" t="s">
        <v>8</v>
      </c>
    </row>
    <row r="764" spans="1:18">
      <c r="A764" s="161" t="s">
        <v>2877</v>
      </c>
      <c r="B764" s="31" t="s">
        <v>2985</v>
      </c>
      <c r="C764" s="152">
        <v>2</v>
      </c>
      <c r="D764" s="162"/>
      <c r="E764" s="162"/>
      <c r="F764" s="162"/>
      <c r="G764" s="162"/>
      <c r="H764" s="31" t="s">
        <v>2107</v>
      </c>
      <c r="I764" s="162"/>
      <c r="J764" s="162"/>
      <c r="K764" t="s">
        <v>3006</v>
      </c>
      <c r="L764">
        <v>2</v>
      </c>
      <c r="M764" t="s">
        <v>8</v>
      </c>
      <c r="N764" t="s">
        <v>8</v>
      </c>
      <c r="O764" t="s">
        <v>8</v>
      </c>
      <c r="P764" t="s">
        <v>8</v>
      </c>
      <c r="Q764" t="s">
        <v>8</v>
      </c>
      <c r="R764" t="s">
        <v>8</v>
      </c>
    </row>
    <row r="765" spans="1:18">
      <c r="A765" s="161" t="s">
        <v>2878</v>
      </c>
      <c r="B765" s="31" t="s">
        <v>2003</v>
      </c>
      <c r="C765" s="152">
        <v>2</v>
      </c>
      <c r="D765" s="162"/>
      <c r="E765" s="162"/>
      <c r="F765" s="162"/>
      <c r="G765" s="162"/>
      <c r="H765" s="31" t="s">
        <v>2107</v>
      </c>
      <c r="I765" s="162"/>
      <c r="J765" s="162"/>
      <c r="K765" t="s">
        <v>3006</v>
      </c>
      <c r="L765">
        <v>2</v>
      </c>
      <c r="M765" t="s">
        <v>8</v>
      </c>
      <c r="N765" t="s">
        <v>8</v>
      </c>
      <c r="O765" t="s">
        <v>8</v>
      </c>
      <c r="P765" t="s">
        <v>8</v>
      </c>
      <c r="Q765" t="s">
        <v>8</v>
      </c>
      <c r="R765" t="s">
        <v>8</v>
      </c>
    </row>
    <row r="766" spans="1:18">
      <c r="A766" s="161" t="s">
        <v>2879</v>
      </c>
      <c r="B766" s="31" t="s">
        <v>2985</v>
      </c>
      <c r="C766" s="152">
        <v>2</v>
      </c>
      <c r="D766" s="162"/>
      <c r="E766" s="162"/>
      <c r="F766" s="162"/>
      <c r="G766" s="162"/>
      <c r="H766" s="31" t="s">
        <v>2107</v>
      </c>
      <c r="I766" s="162"/>
      <c r="J766" s="162"/>
      <c r="K766" t="s">
        <v>3007</v>
      </c>
      <c r="L766">
        <v>2</v>
      </c>
      <c r="M766" t="s">
        <v>8</v>
      </c>
      <c r="N766" t="s">
        <v>8</v>
      </c>
      <c r="O766" t="s">
        <v>8</v>
      </c>
      <c r="P766" t="s">
        <v>8</v>
      </c>
      <c r="Q766" t="s">
        <v>8</v>
      </c>
      <c r="R766" t="s">
        <v>8</v>
      </c>
    </row>
    <row r="767" spans="1:18">
      <c r="A767" s="161" t="s">
        <v>2880</v>
      </c>
      <c r="B767" s="31" t="s">
        <v>2693</v>
      </c>
      <c r="C767" s="152">
        <v>2</v>
      </c>
      <c r="D767" s="162"/>
      <c r="E767" s="162"/>
      <c r="F767" s="162"/>
      <c r="G767" s="162"/>
      <c r="H767" s="31" t="s">
        <v>2107</v>
      </c>
      <c r="I767" s="162"/>
      <c r="J767" s="162"/>
      <c r="K767" t="s">
        <v>3007</v>
      </c>
      <c r="L767">
        <v>2</v>
      </c>
      <c r="M767" t="s">
        <v>8</v>
      </c>
      <c r="N767" t="s">
        <v>8</v>
      </c>
      <c r="O767" t="s">
        <v>8</v>
      </c>
      <c r="P767" t="s">
        <v>8</v>
      </c>
      <c r="Q767" t="s">
        <v>8</v>
      </c>
      <c r="R767" t="s">
        <v>8</v>
      </c>
    </row>
    <row r="768" spans="1:18">
      <c r="A768" s="161" t="s">
        <v>2881</v>
      </c>
      <c r="B768" s="31" t="s">
        <v>992</v>
      </c>
      <c r="C768" s="152">
        <v>2</v>
      </c>
      <c r="D768" s="162"/>
      <c r="E768" s="162"/>
      <c r="F768" s="162"/>
      <c r="G768" s="162"/>
      <c r="H768" s="31" t="s">
        <v>2107</v>
      </c>
      <c r="I768" s="162"/>
      <c r="J768" s="162"/>
      <c r="K768" t="s">
        <v>3007</v>
      </c>
      <c r="L768">
        <v>2</v>
      </c>
      <c r="M768" t="s">
        <v>8</v>
      </c>
      <c r="N768" t="s">
        <v>8</v>
      </c>
      <c r="O768" t="s">
        <v>8</v>
      </c>
      <c r="P768" t="s">
        <v>8</v>
      </c>
      <c r="Q768" t="s">
        <v>8</v>
      </c>
      <c r="R768" t="s">
        <v>8</v>
      </c>
    </row>
    <row r="769" spans="1:18">
      <c r="A769" s="161" t="s">
        <v>2882</v>
      </c>
      <c r="B769" s="31" t="s">
        <v>718</v>
      </c>
      <c r="C769" s="152">
        <v>2</v>
      </c>
      <c r="D769" s="162"/>
      <c r="E769" s="162"/>
      <c r="F769" s="162"/>
      <c r="G769" s="162"/>
      <c r="H769" s="31" t="s">
        <v>2110</v>
      </c>
      <c r="I769" s="162"/>
      <c r="J769" s="162"/>
      <c r="K769" t="s">
        <v>3008</v>
      </c>
      <c r="L769">
        <v>2</v>
      </c>
      <c r="M769" t="s">
        <v>8</v>
      </c>
      <c r="N769" t="s">
        <v>8</v>
      </c>
      <c r="O769" t="s">
        <v>8</v>
      </c>
      <c r="P769" t="s">
        <v>8</v>
      </c>
      <c r="Q769" t="s">
        <v>8</v>
      </c>
      <c r="R769" t="s">
        <v>8</v>
      </c>
    </row>
    <row r="770" spans="1:18">
      <c r="A770" s="161" t="s">
        <v>2883</v>
      </c>
      <c r="B770" s="31" t="s">
        <v>2981</v>
      </c>
      <c r="C770" s="152">
        <v>2</v>
      </c>
      <c r="D770" s="162"/>
      <c r="E770" s="162"/>
      <c r="F770" s="162"/>
      <c r="G770" s="162"/>
      <c r="H770" s="31" t="s">
        <v>2107</v>
      </c>
      <c r="I770" s="162"/>
      <c r="J770" s="162"/>
      <c r="K770" t="s">
        <v>3008</v>
      </c>
      <c r="L770">
        <v>2</v>
      </c>
      <c r="M770" t="s">
        <v>8</v>
      </c>
      <c r="N770" t="s">
        <v>8</v>
      </c>
      <c r="O770" t="s">
        <v>8</v>
      </c>
      <c r="P770" t="s">
        <v>8</v>
      </c>
      <c r="Q770" t="s">
        <v>8</v>
      </c>
      <c r="R770" t="s">
        <v>8</v>
      </c>
    </row>
    <row r="771" spans="1:18">
      <c r="A771" s="161" t="s">
        <v>2847</v>
      </c>
      <c r="B771" s="31" t="s">
        <v>2985</v>
      </c>
      <c r="C771" s="152">
        <v>3</v>
      </c>
      <c r="D771" s="162"/>
      <c r="E771" s="162"/>
      <c r="F771" s="162"/>
      <c r="G771" s="162"/>
      <c r="H771" s="31" t="s">
        <v>2107</v>
      </c>
      <c r="I771" s="162"/>
      <c r="J771" s="162"/>
      <c r="K771" t="s">
        <v>3009</v>
      </c>
      <c r="L771">
        <v>3</v>
      </c>
      <c r="M771" t="s">
        <v>8</v>
      </c>
      <c r="N771" t="s">
        <v>8</v>
      </c>
      <c r="O771" t="s">
        <v>8</v>
      </c>
      <c r="P771" t="s">
        <v>8</v>
      </c>
      <c r="Q771" t="s">
        <v>8</v>
      </c>
      <c r="R771" t="s">
        <v>8</v>
      </c>
    </row>
    <row r="772" spans="1:18">
      <c r="A772" s="161" t="s">
        <v>2884</v>
      </c>
      <c r="B772" s="31" t="s">
        <v>1964</v>
      </c>
      <c r="C772" s="152">
        <v>3</v>
      </c>
      <c r="D772" s="162"/>
      <c r="E772" s="162"/>
      <c r="F772" s="162"/>
      <c r="G772" s="162"/>
      <c r="H772" s="31" t="s">
        <v>2107</v>
      </c>
      <c r="I772" s="162"/>
      <c r="J772" s="162"/>
      <c r="K772" t="s">
        <v>3009</v>
      </c>
      <c r="L772">
        <v>3</v>
      </c>
      <c r="M772" t="s">
        <v>8</v>
      </c>
      <c r="N772" t="s">
        <v>8</v>
      </c>
      <c r="O772" t="s">
        <v>8</v>
      </c>
      <c r="P772" t="s">
        <v>8</v>
      </c>
      <c r="Q772" t="s">
        <v>8</v>
      </c>
      <c r="R772" t="s">
        <v>8</v>
      </c>
    </row>
    <row r="773" spans="1:18">
      <c r="A773" s="161" t="s">
        <v>2885</v>
      </c>
      <c r="B773" s="31" t="s">
        <v>2985</v>
      </c>
      <c r="C773" s="152">
        <v>3</v>
      </c>
      <c r="D773" s="162"/>
      <c r="E773" s="162"/>
      <c r="F773" s="162"/>
      <c r="G773" s="162"/>
      <c r="H773" s="31" t="s">
        <v>2107</v>
      </c>
      <c r="I773" s="162"/>
      <c r="J773" s="162"/>
      <c r="K773" t="s">
        <v>3009</v>
      </c>
      <c r="L773">
        <v>3</v>
      </c>
      <c r="M773" t="s">
        <v>8</v>
      </c>
      <c r="N773" t="s">
        <v>8</v>
      </c>
      <c r="O773" t="s">
        <v>8</v>
      </c>
      <c r="P773" t="s">
        <v>8</v>
      </c>
      <c r="Q773" t="s">
        <v>8</v>
      </c>
      <c r="R773" t="s">
        <v>8</v>
      </c>
    </row>
    <row r="774" spans="1:18">
      <c r="A774" s="161" t="s">
        <v>2886</v>
      </c>
      <c r="B774" s="31" t="s">
        <v>2701</v>
      </c>
      <c r="C774" s="152">
        <v>3</v>
      </c>
      <c r="D774" s="162"/>
      <c r="E774" s="162"/>
      <c r="F774" s="162"/>
      <c r="G774" s="162"/>
      <c r="H774" s="31" t="s">
        <v>2107</v>
      </c>
      <c r="I774" s="162"/>
      <c r="J774" s="162"/>
      <c r="K774" t="s">
        <v>3010</v>
      </c>
      <c r="L774">
        <v>3</v>
      </c>
      <c r="M774" t="s">
        <v>8</v>
      </c>
      <c r="N774" t="s">
        <v>8</v>
      </c>
      <c r="O774" t="s">
        <v>8</v>
      </c>
      <c r="P774" t="s">
        <v>8</v>
      </c>
      <c r="Q774" t="s">
        <v>8</v>
      </c>
      <c r="R774" t="s">
        <v>8</v>
      </c>
    </row>
    <row r="775" spans="1:18">
      <c r="A775" s="165" t="s">
        <v>3104</v>
      </c>
      <c r="B775" s="31" t="s">
        <v>992</v>
      </c>
      <c r="C775" s="152">
        <v>3</v>
      </c>
      <c r="D775" s="162"/>
      <c r="E775" s="162"/>
      <c r="F775" s="162"/>
      <c r="G775" s="162"/>
      <c r="H775" s="31" t="s">
        <v>2151</v>
      </c>
      <c r="I775" s="162"/>
      <c r="J775" s="162"/>
      <c r="K775" t="s">
        <v>3010</v>
      </c>
      <c r="L775">
        <v>3</v>
      </c>
      <c r="M775" t="s">
        <v>8</v>
      </c>
      <c r="N775" t="s">
        <v>8</v>
      </c>
      <c r="O775" t="s">
        <v>8</v>
      </c>
      <c r="P775" t="s">
        <v>8</v>
      </c>
      <c r="Q775" t="s">
        <v>8</v>
      </c>
      <c r="R775" t="s">
        <v>8</v>
      </c>
    </row>
    <row r="776" spans="1:18">
      <c r="A776" s="161" t="s">
        <v>2887</v>
      </c>
      <c r="B776" s="31" t="s">
        <v>2984</v>
      </c>
      <c r="C776" s="152">
        <v>3</v>
      </c>
      <c r="D776" s="162"/>
      <c r="E776" s="162"/>
      <c r="F776" s="162"/>
      <c r="G776" s="162"/>
      <c r="H776" s="31" t="s">
        <v>2110</v>
      </c>
      <c r="I776" s="162"/>
      <c r="J776" s="162"/>
      <c r="K776" t="s">
        <v>3011</v>
      </c>
      <c r="L776">
        <v>3</v>
      </c>
      <c r="M776" t="s">
        <v>8</v>
      </c>
      <c r="N776" t="s">
        <v>8</v>
      </c>
      <c r="O776" t="s">
        <v>8</v>
      </c>
      <c r="P776" t="s">
        <v>8</v>
      </c>
      <c r="Q776" t="s">
        <v>8</v>
      </c>
      <c r="R776" t="s">
        <v>8</v>
      </c>
    </row>
    <row r="777" spans="1:18">
      <c r="A777" s="161" t="s">
        <v>2888</v>
      </c>
      <c r="B777" s="31" t="s">
        <v>2989</v>
      </c>
      <c r="C777" s="152">
        <v>3</v>
      </c>
      <c r="D777" s="162"/>
      <c r="E777" s="162"/>
      <c r="F777" s="162"/>
      <c r="G777" s="162"/>
      <c r="H777" s="31" t="s">
        <v>2107</v>
      </c>
      <c r="I777" s="162"/>
      <c r="J777" s="162"/>
      <c r="K777" t="s">
        <v>3011</v>
      </c>
      <c r="L777">
        <v>3</v>
      </c>
      <c r="M777" t="s">
        <v>8</v>
      </c>
      <c r="N777" t="s">
        <v>8</v>
      </c>
      <c r="O777" t="s">
        <v>8</v>
      </c>
      <c r="P777" t="s">
        <v>8</v>
      </c>
      <c r="Q777" t="s">
        <v>8</v>
      </c>
      <c r="R777" t="s">
        <v>8</v>
      </c>
    </row>
    <row r="778" spans="1:18">
      <c r="A778" s="161" t="s">
        <v>2889</v>
      </c>
      <c r="B778" s="31" t="s">
        <v>2984</v>
      </c>
      <c r="C778" s="152">
        <v>3</v>
      </c>
      <c r="D778" s="162"/>
      <c r="E778" s="162"/>
      <c r="F778" s="162"/>
      <c r="G778" s="162"/>
      <c r="H778" s="31" t="s">
        <v>2107</v>
      </c>
      <c r="I778" s="162"/>
      <c r="J778" s="162"/>
      <c r="K778" t="s">
        <v>3012</v>
      </c>
      <c r="L778">
        <v>3</v>
      </c>
      <c r="M778" t="s">
        <v>8</v>
      </c>
      <c r="N778" t="s">
        <v>8</v>
      </c>
      <c r="O778" t="s">
        <v>8</v>
      </c>
      <c r="P778" t="s">
        <v>8</v>
      </c>
      <c r="Q778" t="s">
        <v>8</v>
      </c>
      <c r="R778" t="s">
        <v>8</v>
      </c>
    </row>
    <row r="779" spans="1:18">
      <c r="A779" s="161" t="s">
        <v>2890</v>
      </c>
      <c r="B779" s="31" t="s">
        <v>2991</v>
      </c>
      <c r="C779" s="152">
        <v>3</v>
      </c>
      <c r="D779" s="162"/>
      <c r="E779" s="162"/>
      <c r="F779" s="162"/>
      <c r="G779" s="162"/>
      <c r="H779" s="31" t="s">
        <v>2110</v>
      </c>
      <c r="I779" s="162"/>
      <c r="J779" s="162"/>
      <c r="K779" t="s">
        <v>3012</v>
      </c>
      <c r="L779">
        <v>3</v>
      </c>
      <c r="M779" t="s">
        <v>8</v>
      </c>
      <c r="N779" t="s">
        <v>8</v>
      </c>
      <c r="O779" t="s">
        <v>8</v>
      </c>
      <c r="P779" t="s">
        <v>8</v>
      </c>
      <c r="Q779" t="s">
        <v>8</v>
      </c>
      <c r="R779" t="s">
        <v>8</v>
      </c>
    </row>
    <row r="780" spans="1:18">
      <c r="A780" s="161" t="s">
        <v>2891</v>
      </c>
      <c r="B780" s="31" t="s">
        <v>2981</v>
      </c>
      <c r="C780" s="152">
        <v>3</v>
      </c>
      <c r="D780" s="162"/>
      <c r="E780" s="162"/>
      <c r="F780" s="162"/>
      <c r="G780" s="162"/>
      <c r="H780" s="31" t="s">
        <v>2107</v>
      </c>
      <c r="I780" s="162"/>
      <c r="J780" s="162"/>
      <c r="K780" t="s">
        <v>3013</v>
      </c>
      <c r="L780">
        <v>3</v>
      </c>
      <c r="M780" t="s">
        <v>8</v>
      </c>
      <c r="N780" t="s">
        <v>8</v>
      </c>
      <c r="O780" t="s">
        <v>8</v>
      </c>
      <c r="P780" t="s">
        <v>8</v>
      </c>
      <c r="Q780" t="s">
        <v>8</v>
      </c>
      <c r="R780" t="s">
        <v>8</v>
      </c>
    </row>
    <row r="781" spans="1:18">
      <c r="A781" s="161" t="s">
        <v>2892</v>
      </c>
      <c r="B781" s="31" t="s">
        <v>2981</v>
      </c>
      <c r="C781" s="152">
        <v>3</v>
      </c>
      <c r="D781" s="162"/>
      <c r="E781" s="162"/>
      <c r="F781" s="162"/>
      <c r="G781" s="162"/>
      <c r="H781" s="31" t="s">
        <v>2107</v>
      </c>
      <c r="I781" s="162"/>
      <c r="J781" s="162"/>
      <c r="K781" t="s">
        <v>3013</v>
      </c>
      <c r="L781">
        <v>3</v>
      </c>
      <c r="M781" t="s">
        <v>8</v>
      </c>
      <c r="N781" t="s">
        <v>8</v>
      </c>
      <c r="O781" t="s">
        <v>8</v>
      </c>
      <c r="P781" t="s">
        <v>8</v>
      </c>
      <c r="Q781" t="s">
        <v>8</v>
      </c>
      <c r="R781" t="s">
        <v>8</v>
      </c>
    </row>
    <row r="782" spans="1:18">
      <c r="A782" s="161" t="s">
        <v>2893</v>
      </c>
      <c r="B782" s="31" t="s">
        <v>2715</v>
      </c>
      <c r="C782" s="152">
        <v>3</v>
      </c>
      <c r="D782" s="162"/>
      <c r="E782" s="162"/>
      <c r="F782" s="162"/>
      <c r="G782" s="162"/>
      <c r="H782" s="31" t="s">
        <v>2110</v>
      </c>
      <c r="I782" s="162"/>
      <c r="J782" s="162"/>
      <c r="K782" t="s">
        <v>3013</v>
      </c>
      <c r="L782">
        <v>3</v>
      </c>
      <c r="M782" t="s">
        <v>8</v>
      </c>
      <c r="N782" t="s">
        <v>8</v>
      </c>
      <c r="O782" t="s">
        <v>8</v>
      </c>
      <c r="P782" t="s">
        <v>8</v>
      </c>
      <c r="Q782" t="s">
        <v>8</v>
      </c>
      <c r="R782" t="s">
        <v>8</v>
      </c>
    </row>
    <row r="783" spans="1:18">
      <c r="A783" s="161" t="s">
        <v>2894</v>
      </c>
      <c r="B783" s="31" t="s">
        <v>2987</v>
      </c>
      <c r="C783" s="152">
        <v>3</v>
      </c>
      <c r="D783" s="162"/>
      <c r="E783" s="162"/>
      <c r="F783" s="162"/>
      <c r="G783" s="162"/>
      <c r="H783" s="31" t="s">
        <v>2110</v>
      </c>
      <c r="I783" s="162"/>
      <c r="J783" s="162"/>
      <c r="K783" t="s">
        <v>3014</v>
      </c>
      <c r="L783">
        <v>3</v>
      </c>
      <c r="M783" t="s">
        <v>8</v>
      </c>
      <c r="N783" t="s">
        <v>8</v>
      </c>
      <c r="O783" t="s">
        <v>8</v>
      </c>
      <c r="P783" t="s">
        <v>8</v>
      </c>
      <c r="Q783" t="s">
        <v>8</v>
      </c>
      <c r="R783" t="s">
        <v>8</v>
      </c>
    </row>
    <row r="784" spans="1:18">
      <c r="A784" s="161" t="s">
        <v>2895</v>
      </c>
      <c r="B784" s="31" t="s">
        <v>1964</v>
      </c>
      <c r="C784" s="152">
        <v>3</v>
      </c>
      <c r="D784" s="162"/>
      <c r="E784" s="162"/>
      <c r="F784" s="162"/>
      <c r="G784" s="162"/>
      <c r="H784" s="31" t="s">
        <v>2110</v>
      </c>
      <c r="I784" s="162"/>
      <c r="J784" s="162"/>
      <c r="K784" t="s">
        <v>3014</v>
      </c>
      <c r="L784">
        <v>3</v>
      </c>
      <c r="M784" t="s">
        <v>8</v>
      </c>
      <c r="N784" t="s">
        <v>8</v>
      </c>
      <c r="O784" t="s">
        <v>8</v>
      </c>
      <c r="P784" t="s">
        <v>8</v>
      </c>
      <c r="Q784" t="s">
        <v>8</v>
      </c>
      <c r="R784" t="s">
        <v>8</v>
      </c>
    </row>
    <row r="785" spans="1:18">
      <c r="A785" s="161" t="s">
        <v>2896</v>
      </c>
      <c r="B785" s="31" t="s">
        <v>992</v>
      </c>
      <c r="C785" s="152">
        <v>3</v>
      </c>
      <c r="D785" s="162"/>
      <c r="E785" s="162"/>
      <c r="F785" s="162"/>
      <c r="G785" s="162"/>
      <c r="H785" s="31" t="s">
        <v>2110</v>
      </c>
      <c r="I785" s="162"/>
      <c r="J785" s="162"/>
      <c r="K785" t="s">
        <v>3014</v>
      </c>
      <c r="L785">
        <v>3</v>
      </c>
      <c r="M785" t="s">
        <v>8</v>
      </c>
      <c r="N785" t="s">
        <v>8</v>
      </c>
      <c r="O785" t="s">
        <v>8</v>
      </c>
      <c r="P785" t="s">
        <v>8</v>
      </c>
      <c r="Q785" t="s">
        <v>8</v>
      </c>
      <c r="R785" t="s">
        <v>8</v>
      </c>
    </row>
    <row r="786" spans="1:18">
      <c r="A786" s="161" t="s">
        <v>2897</v>
      </c>
      <c r="B786" s="31" t="s">
        <v>2986</v>
      </c>
      <c r="C786" s="152">
        <v>3</v>
      </c>
      <c r="D786" s="162"/>
      <c r="E786" s="162"/>
      <c r="F786" s="162"/>
      <c r="G786" s="162"/>
      <c r="H786" s="31" t="s">
        <v>2107</v>
      </c>
      <c r="I786" s="162"/>
      <c r="J786" s="162"/>
      <c r="K786" t="s">
        <v>3015</v>
      </c>
      <c r="L786">
        <v>3</v>
      </c>
      <c r="M786" t="s">
        <v>8</v>
      </c>
      <c r="N786" t="s">
        <v>8</v>
      </c>
      <c r="O786" t="s">
        <v>8</v>
      </c>
      <c r="P786" t="s">
        <v>8</v>
      </c>
      <c r="Q786" t="s">
        <v>8</v>
      </c>
      <c r="R786" t="s">
        <v>8</v>
      </c>
    </row>
    <row r="787" spans="1:18">
      <c r="A787" s="161" t="s">
        <v>2898</v>
      </c>
      <c r="B787" s="31" t="s">
        <v>2982</v>
      </c>
      <c r="C787" s="152">
        <v>3</v>
      </c>
      <c r="D787" s="162"/>
      <c r="E787" s="162"/>
      <c r="F787" s="162"/>
      <c r="G787" s="162"/>
      <c r="H787" s="31" t="s">
        <v>2107</v>
      </c>
      <c r="I787" s="162"/>
      <c r="J787" s="162"/>
      <c r="K787" t="s">
        <v>3015</v>
      </c>
      <c r="L787">
        <v>3</v>
      </c>
      <c r="M787" t="s">
        <v>8</v>
      </c>
      <c r="N787" t="s">
        <v>8</v>
      </c>
      <c r="O787" t="s">
        <v>8</v>
      </c>
      <c r="P787" t="s">
        <v>8</v>
      </c>
      <c r="Q787" t="s">
        <v>8</v>
      </c>
      <c r="R787" t="s">
        <v>8</v>
      </c>
    </row>
    <row r="788" spans="1:18">
      <c r="A788" s="161" t="s">
        <v>2899</v>
      </c>
      <c r="B788" s="31" t="s">
        <v>2696</v>
      </c>
      <c r="C788" s="152">
        <v>3</v>
      </c>
      <c r="D788" s="162"/>
      <c r="E788" s="162"/>
      <c r="F788" s="162"/>
      <c r="G788" s="162"/>
      <c r="H788" s="31" t="s">
        <v>2107</v>
      </c>
      <c r="I788" s="162"/>
      <c r="J788" s="162"/>
      <c r="K788" t="s">
        <v>3016</v>
      </c>
      <c r="L788">
        <v>3</v>
      </c>
      <c r="M788" t="s">
        <v>8</v>
      </c>
      <c r="N788" t="s">
        <v>8</v>
      </c>
      <c r="O788" t="s">
        <v>8</v>
      </c>
      <c r="P788" t="s">
        <v>8</v>
      </c>
      <c r="Q788" t="s">
        <v>8</v>
      </c>
      <c r="R788" t="s">
        <v>8</v>
      </c>
    </row>
    <row r="789" spans="1:18">
      <c r="A789" s="161" t="s">
        <v>2900</v>
      </c>
      <c r="B789" s="31" t="s">
        <v>2984</v>
      </c>
      <c r="C789" s="152">
        <v>3</v>
      </c>
      <c r="D789" s="162"/>
      <c r="E789" s="162"/>
      <c r="F789" s="162"/>
      <c r="G789" s="162"/>
      <c r="H789" s="31" t="s">
        <v>2107</v>
      </c>
      <c r="I789" s="162"/>
      <c r="J789" s="162"/>
      <c r="K789" t="s">
        <v>3016</v>
      </c>
      <c r="L789">
        <v>3</v>
      </c>
      <c r="M789" t="s">
        <v>8</v>
      </c>
      <c r="N789" t="s">
        <v>8</v>
      </c>
      <c r="O789" t="s">
        <v>8</v>
      </c>
      <c r="P789" t="s">
        <v>8</v>
      </c>
      <c r="Q789" t="s">
        <v>8</v>
      </c>
      <c r="R789" t="s">
        <v>8</v>
      </c>
    </row>
    <row r="790" spans="1:18">
      <c r="A790" s="161" t="s">
        <v>2901</v>
      </c>
      <c r="B790" s="31" t="s">
        <v>2987</v>
      </c>
      <c r="C790" s="152">
        <v>3</v>
      </c>
      <c r="D790" s="162"/>
      <c r="E790" s="162"/>
      <c r="F790" s="162"/>
      <c r="G790" s="162"/>
      <c r="H790" s="31" t="s">
        <v>2110</v>
      </c>
      <c r="I790" s="162"/>
      <c r="J790" s="162"/>
      <c r="K790" t="s">
        <v>3017</v>
      </c>
      <c r="L790">
        <v>3</v>
      </c>
      <c r="M790" t="s">
        <v>8</v>
      </c>
      <c r="N790" t="s">
        <v>8</v>
      </c>
      <c r="O790" t="s">
        <v>8</v>
      </c>
      <c r="P790" t="s">
        <v>8</v>
      </c>
      <c r="Q790" t="s">
        <v>8</v>
      </c>
      <c r="R790" t="s">
        <v>8</v>
      </c>
    </row>
    <row r="791" spans="1:18">
      <c r="A791" s="161" t="s">
        <v>2902</v>
      </c>
      <c r="B791" s="31" t="s">
        <v>2695</v>
      </c>
      <c r="C791" s="152">
        <v>3</v>
      </c>
      <c r="D791" s="162"/>
      <c r="E791" s="162"/>
      <c r="F791" s="162"/>
      <c r="G791" s="162"/>
      <c r="H791" s="31" t="s">
        <v>2107</v>
      </c>
      <c r="I791" s="162"/>
      <c r="J791" s="162"/>
      <c r="K791" t="s">
        <v>3017</v>
      </c>
      <c r="L791">
        <v>3</v>
      </c>
      <c r="M791" t="s">
        <v>8</v>
      </c>
      <c r="N791" t="s">
        <v>8</v>
      </c>
      <c r="O791" t="s">
        <v>8</v>
      </c>
      <c r="P791" t="s">
        <v>8</v>
      </c>
      <c r="Q791" t="s">
        <v>8</v>
      </c>
      <c r="R791" t="s">
        <v>8</v>
      </c>
    </row>
    <row r="792" spans="1:18">
      <c r="A792" s="161" t="s">
        <v>2990</v>
      </c>
      <c r="B792" s="31" t="s">
        <v>2981</v>
      </c>
      <c r="C792" s="152">
        <v>3</v>
      </c>
      <c r="D792" s="162"/>
      <c r="E792" s="162"/>
      <c r="F792" s="162"/>
      <c r="G792" s="162"/>
      <c r="H792" s="31" t="s">
        <v>2107</v>
      </c>
      <c r="I792" s="162"/>
      <c r="J792" s="162"/>
      <c r="K792" t="s">
        <v>3017</v>
      </c>
      <c r="L792">
        <v>3</v>
      </c>
      <c r="M792" t="s">
        <v>8</v>
      </c>
      <c r="N792" t="s">
        <v>8</v>
      </c>
      <c r="O792" t="s">
        <v>8</v>
      </c>
      <c r="P792" t="s">
        <v>8</v>
      </c>
      <c r="Q792" t="s">
        <v>8</v>
      </c>
      <c r="R792" t="s">
        <v>8</v>
      </c>
    </row>
    <row r="793" spans="1:18">
      <c r="A793" s="161" t="s">
        <v>1410</v>
      </c>
      <c r="B793" s="31" t="s">
        <v>2982</v>
      </c>
      <c r="C793" s="152">
        <v>3</v>
      </c>
      <c r="D793" s="162"/>
      <c r="E793" s="162"/>
      <c r="F793" s="162"/>
      <c r="G793" s="162"/>
      <c r="H793" s="31" t="s">
        <v>2110</v>
      </c>
      <c r="I793" s="162"/>
      <c r="J793" s="162"/>
      <c r="K793" t="s">
        <v>3018</v>
      </c>
      <c r="L793">
        <v>3</v>
      </c>
      <c r="M793" t="s">
        <v>8</v>
      </c>
      <c r="N793" t="s">
        <v>8</v>
      </c>
      <c r="O793" t="s">
        <v>8</v>
      </c>
      <c r="P793" t="s">
        <v>8</v>
      </c>
      <c r="Q793" t="s">
        <v>8</v>
      </c>
      <c r="R793" t="s">
        <v>8</v>
      </c>
    </row>
    <row r="794" spans="1:18">
      <c r="A794" s="161" t="s">
        <v>2903</v>
      </c>
      <c r="B794" s="31" t="s">
        <v>2986</v>
      </c>
      <c r="C794" s="152">
        <v>3</v>
      </c>
      <c r="D794" s="162"/>
      <c r="E794" s="162"/>
      <c r="F794" s="162"/>
      <c r="G794" s="162"/>
      <c r="H794" s="31" t="s">
        <v>2107</v>
      </c>
      <c r="I794" s="162"/>
      <c r="J794" s="162"/>
      <c r="K794" t="s">
        <v>3018</v>
      </c>
      <c r="L794">
        <v>3</v>
      </c>
      <c r="M794" t="s">
        <v>8</v>
      </c>
      <c r="N794" t="s">
        <v>8</v>
      </c>
      <c r="O794" t="s">
        <v>8</v>
      </c>
      <c r="P794" t="s">
        <v>8</v>
      </c>
      <c r="Q794" t="s">
        <v>8</v>
      </c>
      <c r="R794" t="s">
        <v>8</v>
      </c>
    </row>
    <row r="795" spans="1:18">
      <c r="A795" s="161" t="s">
        <v>2904</v>
      </c>
      <c r="B795" s="31" t="s">
        <v>2981</v>
      </c>
      <c r="C795" s="152">
        <v>3</v>
      </c>
      <c r="D795" s="162"/>
      <c r="E795" s="162"/>
      <c r="F795" s="162"/>
      <c r="G795" s="162"/>
      <c r="H795" s="31" t="s">
        <v>2107</v>
      </c>
      <c r="I795" s="162"/>
      <c r="J795" s="162"/>
      <c r="K795" t="s">
        <v>3019</v>
      </c>
      <c r="L795">
        <v>3</v>
      </c>
      <c r="M795" t="s">
        <v>8</v>
      </c>
      <c r="N795" t="s">
        <v>8</v>
      </c>
      <c r="O795" t="s">
        <v>8</v>
      </c>
      <c r="P795" t="s">
        <v>8</v>
      </c>
      <c r="Q795" t="s">
        <v>8</v>
      </c>
      <c r="R795" t="s">
        <v>8</v>
      </c>
    </row>
    <row r="796" spans="1:18">
      <c r="A796" s="161" t="s">
        <v>2905</v>
      </c>
      <c r="B796" s="31" t="s">
        <v>2981</v>
      </c>
      <c r="C796" s="152">
        <v>3</v>
      </c>
      <c r="D796" s="162"/>
      <c r="E796" s="162"/>
      <c r="F796" s="162"/>
      <c r="G796" s="162"/>
      <c r="H796" s="31" t="s">
        <v>2107</v>
      </c>
      <c r="I796" s="162"/>
      <c r="J796" s="162"/>
      <c r="K796" t="s">
        <v>3019</v>
      </c>
      <c r="L796">
        <v>3</v>
      </c>
      <c r="M796" t="s">
        <v>8</v>
      </c>
      <c r="N796" t="s">
        <v>8</v>
      </c>
      <c r="O796" t="s">
        <v>8</v>
      </c>
      <c r="P796" t="s">
        <v>8</v>
      </c>
      <c r="Q796" t="s">
        <v>8</v>
      </c>
      <c r="R796" t="s">
        <v>8</v>
      </c>
    </row>
    <row r="797" spans="1:18">
      <c r="A797" s="161" t="s">
        <v>2848</v>
      </c>
      <c r="B797" s="31" t="s">
        <v>2993</v>
      </c>
      <c r="C797" s="152">
        <v>4</v>
      </c>
      <c r="D797" s="162"/>
      <c r="E797" s="162"/>
      <c r="F797" s="162"/>
      <c r="G797" s="162"/>
      <c r="H797" s="31" t="s">
        <v>2107</v>
      </c>
      <c r="I797" s="162"/>
      <c r="J797" s="162"/>
      <c r="K797" t="s">
        <v>3020</v>
      </c>
      <c r="L797">
        <v>4</v>
      </c>
      <c r="M797" t="s">
        <v>8</v>
      </c>
      <c r="N797" t="s">
        <v>8</v>
      </c>
      <c r="O797" t="s">
        <v>8</v>
      </c>
      <c r="P797" t="s">
        <v>8</v>
      </c>
      <c r="Q797" t="s">
        <v>8</v>
      </c>
      <c r="R797" t="s">
        <v>8</v>
      </c>
    </row>
    <row r="798" spans="1:18">
      <c r="A798" s="161" t="s">
        <v>2906</v>
      </c>
      <c r="B798" s="31" t="s">
        <v>992</v>
      </c>
      <c r="C798" s="152">
        <v>4</v>
      </c>
      <c r="D798" s="162"/>
      <c r="E798" s="162"/>
      <c r="F798" s="162"/>
      <c r="G798" s="162"/>
      <c r="H798" s="31" t="s">
        <v>2107</v>
      </c>
      <c r="I798" s="162"/>
      <c r="J798" s="162"/>
      <c r="K798" t="s">
        <v>3020</v>
      </c>
      <c r="L798">
        <v>4</v>
      </c>
      <c r="M798" t="s">
        <v>8</v>
      </c>
      <c r="N798" t="s">
        <v>8</v>
      </c>
      <c r="O798" t="s">
        <v>8</v>
      </c>
      <c r="P798" t="s">
        <v>8</v>
      </c>
      <c r="Q798" t="s">
        <v>8</v>
      </c>
      <c r="R798" t="s">
        <v>8</v>
      </c>
    </row>
    <row r="799" spans="1:18">
      <c r="A799" s="161" t="s">
        <v>2907</v>
      </c>
      <c r="B799" s="31" t="s">
        <v>2984</v>
      </c>
      <c r="C799" s="152">
        <v>4</v>
      </c>
      <c r="D799" s="162"/>
      <c r="E799" s="162"/>
      <c r="F799" s="162"/>
      <c r="G799" s="162"/>
      <c r="H799" s="31" t="s">
        <v>2107</v>
      </c>
      <c r="I799" s="162"/>
      <c r="J799" s="162"/>
      <c r="K799" t="s">
        <v>3021</v>
      </c>
      <c r="L799">
        <v>4</v>
      </c>
      <c r="M799" t="s">
        <v>8</v>
      </c>
      <c r="N799" t="s">
        <v>8</v>
      </c>
      <c r="O799" t="s">
        <v>8</v>
      </c>
      <c r="P799" t="s">
        <v>8</v>
      </c>
      <c r="Q799" t="s">
        <v>8</v>
      </c>
      <c r="R799" t="s">
        <v>8</v>
      </c>
    </row>
    <row r="800" spans="1:18">
      <c r="A800" s="161" t="s">
        <v>2908</v>
      </c>
      <c r="B800" s="31" t="s">
        <v>2726</v>
      </c>
      <c r="C800" s="152">
        <v>4</v>
      </c>
      <c r="D800" s="162"/>
      <c r="E800" s="162"/>
      <c r="F800" s="162"/>
      <c r="G800" s="162"/>
      <c r="H800" s="31" t="s">
        <v>2110</v>
      </c>
      <c r="I800" s="162"/>
      <c r="J800" s="162"/>
      <c r="K800" t="s">
        <v>3021</v>
      </c>
      <c r="L800">
        <v>4</v>
      </c>
      <c r="M800" t="s">
        <v>8</v>
      </c>
      <c r="N800" t="s">
        <v>8</v>
      </c>
      <c r="O800" t="s">
        <v>8</v>
      </c>
      <c r="P800" t="s">
        <v>8</v>
      </c>
      <c r="Q800" t="s">
        <v>8</v>
      </c>
      <c r="R800" t="s">
        <v>8</v>
      </c>
    </row>
    <row r="801" spans="1:18">
      <c r="A801" s="161" t="s">
        <v>2909</v>
      </c>
      <c r="B801" s="31" t="s">
        <v>2984</v>
      </c>
      <c r="C801" s="152">
        <v>4</v>
      </c>
      <c r="D801" s="162"/>
      <c r="E801" s="162"/>
      <c r="F801" s="162"/>
      <c r="G801" s="162"/>
      <c r="H801" s="31" t="s">
        <v>2107</v>
      </c>
      <c r="I801" s="162"/>
      <c r="J801" s="162"/>
      <c r="K801" t="s">
        <v>3021</v>
      </c>
      <c r="L801">
        <v>4</v>
      </c>
      <c r="M801" t="s">
        <v>8</v>
      </c>
      <c r="N801" t="s">
        <v>8</v>
      </c>
      <c r="O801" t="s">
        <v>8</v>
      </c>
      <c r="P801" t="s">
        <v>8</v>
      </c>
      <c r="Q801" t="s">
        <v>8</v>
      </c>
      <c r="R801" t="s">
        <v>8</v>
      </c>
    </row>
    <row r="802" spans="1:18">
      <c r="A802" s="161" t="s">
        <v>2910</v>
      </c>
      <c r="B802" s="31" t="s">
        <v>1964</v>
      </c>
      <c r="C802" s="152">
        <v>4</v>
      </c>
      <c r="D802" s="162"/>
      <c r="E802" s="162"/>
      <c r="F802" s="162"/>
      <c r="G802" s="162"/>
      <c r="H802" s="31" t="s">
        <v>2110</v>
      </c>
      <c r="I802" s="162"/>
      <c r="J802" s="162"/>
      <c r="K802" t="s">
        <v>3021</v>
      </c>
      <c r="L802">
        <v>4</v>
      </c>
      <c r="M802" t="s">
        <v>8</v>
      </c>
      <c r="N802" t="s">
        <v>8</v>
      </c>
      <c r="O802" t="s">
        <v>8</v>
      </c>
      <c r="P802" t="s">
        <v>8</v>
      </c>
      <c r="Q802" t="s">
        <v>8</v>
      </c>
      <c r="R802" t="s">
        <v>8</v>
      </c>
    </row>
    <row r="803" spans="1:18">
      <c r="A803" s="161" t="s">
        <v>2911</v>
      </c>
      <c r="B803" s="31" t="s">
        <v>2985</v>
      </c>
      <c r="C803" s="152">
        <v>4</v>
      </c>
      <c r="D803" s="162"/>
      <c r="E803" s="162"/>
      <c r="F803" s="162"/>
      <c r="G803" s="162"/>
      <c r="H803" s="31" t="s">
        <v>2107</v>
      </c>
      <c r="I803" s="162"/>
      <c r="J803" s="162"/>
      <c r="K803" t="s">
        <v>3022</v>
      </c>
      <c r="L803">
        <v>4</v>
      </c>
      <c r="M803" t="s">
        <v>8</v>
      </c>
      <c r="N803" t="s">
        <v>8</v>
      </c>
      <c r="O803" t="s">
        <v>8</v>
      </c>
      <c r="P803" t="s">
        <v>8</v>
      </c>
      <c r="Q803" t="s">
        <v>8</v>
      </c>
      <c r="R803" t="s">
        <v>8</v>
      </c>
    </row>
    <row r="804" spans="1:18">
      <c r="A804" s="161" t="s">
        <v>2912</v>
      </c>
      <c r="B804" s="31" t="s">
        <v>2986</v>
      </c>
      <c r="C804" s="152">
        <v>4</v>
      </c>
      <c r="D804" s="162"/>
      <c r="E804" s="162"/>
      <c r="F804" s="162"/>
      <c r="G804" s="162"/>
      <c r="H804" s="31" t="s">
        <v>2107</v>
      </c>
      <c r="I804" s="162"/>
      <c r="J804" s="162"/>
      <c r="K804" t="s">
        <v>3022</v>
      </c>
      <c r="L804">
        <v>4</v>
      </c>
      <c r="M804" t="s">
        <v>8</v>
      </c>
      <c r="N804" t="s">
        <v>8</v>
      </c>
      <c r="O804" t="s">
        <v>8</v>
      </c>
      <c r="P804" t="s">
        <v>8</v>
      </c>
      <c r="Q804" t="s">
        <v>8</v>
      </c>
      <c r="R804" t="s">
        <v>8</v>
      </c>
    </row>
    <row r="805" spans="1:18">
      <c r="A805" s="161" t="s">
        <v>2913</v>
      </c>
      <c r="B805" s="31" t="s">
        <v>2982</v>
      </c>
      <c r="C805" s="152">
        <v>4</v>
      </c>
      <c r="D805" s="162"/>
      <c r="E805" s="162"/>
      <c r="F805" s="162"/>
      <c r="G805" s="162"/>
      <c r="H805" s="31" t="s">
        <v>2107</v>
      </c>
      <c r="I805" s="162"/>
      <c r="J805" s="162"/>
      <c r="K805" t="s">
        <v>3023</v>
      </c>
      <c r="L805">
        <v>4</v>
      </c>
      <c r="M805" t="s">
        <v>8</v>
      </c>
      <c r="N805" t="s">
        <v>8</v>
      </c>
      <c r="O805" t="s">
        <v>8</v>
      </c>
      <c r="P805" t="s">
        <v>8</v>
      </c>
      <c r="Q805" t="s">
        <v>8</v>
      </c>
      <c r="R805" t="s">
        <v>8</v>
      </c>
    </row>
    <row r="806" spans="1:18">
      <c r="A806" s="161" t="s">
        <v>2914</v>
      </c>
      <c r="B806" s="31" t="s">
        <v>2693</v>
      </c>
      <c r="C806" s="152">
        <v>4</v>
      </c>
      <c r="D806" s="162"/>
      <c r="E806" s="162"/>
      <c r="F806" s="162"/>
      <c r="G806" s="162"/>
      <c r="H806" s="31" t="s">
        <v>2262</v>
      </c>
      <c r="I806" s="162"/>
      <c r="J806" s="162"/>
      <c r="K806" t="s">
        <v>3023</v>
      </c>
      <c r="L806">
        <v>4</v>
      </c>
      <c r="M806" t="s">
        <v>8</v>
      </c>
      <c r="N806" t="s">
        <v>8</v>
      </c>
      <c r="O806" t="s">
        <v>8</v>
      </c>
      <c r="P806" t="s">
        <v>8</v>
      </c>
      <c r="Q806" t="s">
        <v>8</v>
      </c>
      <c r="R806" t="s">
        <v>8</v>
      </c>
    </row>
    <row r="807" spans="1:18">
      <c r="A807" s="161" t="s">
        <v>2915</v>
      </c>
      <c r="B807" s="31" t="s">
        <v>2981</v>
      </c>
      <c r="C807" s="152">
        <v>4</v>
      </c>
      <c r="D807" s="162"/>
      <c r="E807" s="162"/>
      <c r="F807" s="162"/>
      <c r="G807" s="162"/>
      <c r="H807" s="31" t="s">
        <v>2107</v>
      </c>
      <c r="I807" s="162"/>
      <c r="J807" s="162"/>
      <c r="K807" t="s">
        <v>3024</v>
      </c>
      <c r="L807">
        <v>4</v>
      </c>
      <c r="M807" t="s">
        <v>8</v>
      </c>
      <c r="N807" t="s">
        <v>8</v>
      </c>
      <c r="O807" t="s">
        <v>8</v>
      </c>
      <c r="P807" t="s">
        <v>8</v>
      </c>
      <c r="Q807" t="s">
        <v>8</v>
      </c>
      <c r="R807" t="s">
        <v>8</v>
      </c>
    </row>
    <row r="808" spans="1:18">
      <c r="A808" s="161" t="s">
        <v>2916</v>
      </c>
      <c r="B808" s="31" t="s">
        <v>2982</v>
      </c>
      <c r="C808" s="152">
        <v>4</v>
      </c>
      <c r="D808" s="162"/>
      <c r="E808" s="162"/>
      <c r="F808" s="162"/>
      <c r="G808" s="162"/>
      <c r="H808" s="31" t="s">
        <v>2107</v>
      </c>
      <c r="I808" s="162"/>
      <c r="J808" s="162"/>
      <c r="K808" t="s">
        <v>3024</v>
      </c>
      <c r="L808">
        <v>4</v>
      </c>
      <c r="M808" t="s">
        <v>8</v>
      </c>
      <c r="N808" t="s">
        <v>8</v>
      </c>
      <c r="O808" t="s">
        <v>8</v>
      </c>
      <c r="P808" t="s">
        <v>8</v>
      </c>
      <c r="Q808" t="s">
        <v>8</v>
      </c>
      <c r="R808" t="s">
        <v>8</v>
      </c>
    </row>
    <row r="809" spans="1:18">
      <c r="A809" s="161" t="s">
        <v>2917</v>
      </c>
      <c r="B809" s="31" t="s">
        <v>1964</v>
      </c>
      <c r="C809" s="152">
        <v>4</v>
      </c>
      <c r="D809" s="162"/>
      <c r="E809" s="162"/>
      <c r="F809" s="162"/>
      <c r="G809" s="162"/>
      <c r="H809" s="31" t="s">
        <v>2107</v>
      </c>
      <c r="I809" s="162"/>
      <c r="J809" s="162"/>
      <c r="K809" t="s">
        <v>3024</v>
      </c>
      <c r="L809">
        <v>4</v>
      </c>
      <c r="M809" t="s">
        <v>8</v>
      </c>
      <c r="N809" t="s">
        <v>8</v>
      </c>
      <c r="O809" t="s">
        <v>8</v>
      </c>
      <c r="P809" t="s">
        <v>8</v>
      </c>
      <c r="Q809" t="s">
        <v>8</v>
      </c>
      <c r="R809" t="s">
        <v>8</v>
      </c>
    </row>
    <row r="810" spans="1:18">
      <c r="A810" s="161" t="s">
        <v>2918</v>
      </c>
      <c r="B810" s="31" t="s">
        <v>148</v>
      </c>
      <c r="C810" s="152">
        <v>4</v>
      </c>
      <c r="D810" s="162"/>
      <c r="E810" s="162"/>
      <c r="F810" s="162"/>
      <c r="G810" s="162"/>
      <c r="H810" s="31" t="s">
        <v>2107</v>
      </c>
      <c r="I810" s="162"/>
      <c r="J810" s="162"/>
      <c r="K810" t="s">
        <v>3025</v>
      </c>
      <c r="L810">
        <v>4</v>
      </c>
      <c r="M810" t="s">
        <v>8</v>
      </c>
      <c r="N810" t="s">
        <v>8</v>
      </c>
      <c r="O810" t="s">
        <v>8</v>
      </c>
      <c r="P810" t="s">
        <v>8</v>
      </c>
      <c r="Q810" t="s">
        <v>8</v>
      </c>
      <c r="R810" t="s">
        <v>8</v>
      </c>
    </row>
    <row r="811" spans="1:18">
      <c r="A811" s="161" t="s">
        <v>2919</v>
      </c>
      <c r="B811" s="31" t="s">
        <v>2982</v>
      </c>
      <c r="C811" s="152">
        <v>4</v>
      </c>
      <c r="D811" s="162"/>
      <c r="E811" s="162"/>
      <c r="F811" s="162"/>
      <c r="G811" s="162"/>
      <c r="H811" s="31" t="s">
        <v>2107</v>
      </c>
      <c r="I811" s="162"/>
      <c r="J811" s="162"/>
      <c r="K811" t="s">
        <v>3025</v>
      </c>
      <c r="L811">
        <v>4</v>
      </c>
      <c r="M811" t="s">
        <v>8</v>
      </c>
      <c r="N811" t="s">
        <v>8</v>
      </c>
      <c r="O811" t="s">
        <v>8</v>
      </c>
      <c r="P811" t="s">
        <v>8</v>
      </c>
      <c r="Q811" t="s">
        <v>8</v>
      </c>
      <c r="R811" t="s">
        <v>8</v>
      </c>
    </row>
    <row r="812" spans="1:18">
      <c r="A812" s="161" t="s">
        <v>2920</v>
      </c>
      <c r="B812" s="31" t="s">
        <v>2987</v>
      </c>
      <c r="C812" s="152">
        <v>4</v>
      </c>
      <c r="D812" s="162"/>
      <c r="E812" s="162"/>
      <c r="F812" s="162"/>
      <c r="G812" s="162"/>
      <c r="H812" s="31" t="s">
        <v>2110</v>
      </c>
      <c r="I812" s="162"/>
      <c r="J812" s="162"/>
      <c r="K812" t="s">
        <v>3025</v>
      </c>
      <c r="L812">
        <v>4</v>
      </c>
      <c r="M812" t="s">
        <v>8</v>
      </c>
      <c r="N812" t="s">
        <v>8</v>
      </c>
      <c r="O812" t="s">
        <v>8</v>
      </c>
      <c r="P812" t="s">
        <v>8</v>
      </c>
      <c r="Q812" t="s">
        <v>8</v>
      </c>
      <c r="R812" t="s">
        <v>8</v>
      </c>
    </row>
    <row r="813" spans="1:18">
      <c r="A813" s="161" t="s">
        <v>2921</v>
      </c>
      <c r="B813" s="31" t="s">
        <v>992</v>
      </c>
      <c r="C813" s="152">
        <v>4</v>
      </c>
      <c r="D813" s="162"/>
      <c r="E813" s="162"/>
      <c r="F813" s="162"/>
      <c r="G813" s="162"/>
      <c r="H813" s="31" t="s">
        <v>2107</v>
      </c>
      <c r="I813" s="162"/>
      <c r="J813" s="162"/>
      <c r="K813" t="s">
        <v>3026</v>
      </c>
      <c r="L813">
        <v>4</v>
      </c>
      <c r="M813" t="s">
        <v>8</v>
      </c>
      <c r="N813" t="s">
        <v>8</v>
      </c>
      <c r="O813" t="s">
        <v>8</v>
      </c>
      <c r="P813" t="s">
        <v>8</v>
      </c>
      <c r="Q813" t="s">
        <v>8</v>
      </c>
      <c r="R813" t="s">
        <v>8</v>
      </c>
    </row>
    <row r="814" spans="1:18">
      <c r="A814" s="161" t="s">
        <v>2922</v>
      </c>
      <c r="B814" s="31" t="s">
        <v>2715</v>
      </c>
      <c r="C814" s="152">
        <v>4</v>
      </c>
      <c r="D814" s="162"/>
      <c r="E814" s="162"/>
      <c r="F814" s="162"/>
      <c r="G814" s="162"/>
      <c r="H814" s="31" t="s">
        <v>2110</v>
      </c>
      <c r="I814" s="162"/>
      <c r="J814" s="162"/>
      <c r="K814" t="s">
        <v>3026</v>
      </c>
      <c r="L814">
        <v>4</v>
      </c>
      <c r="M814" t="s">
        <v>8</v>
      </c>
      <c r="N814" t="s">
        <v>8</v>
      </c>
      <c r="O814" t="s">
        <v>8</v>
      </c>
      <c r="P814" t="s">
        <v>8</v>
      </c>
      <c r="Q814" t="s">
        <v>8</v>
      </c>
      <c r="R814" t="s">
        <v>8</v>
      </c>
    </row>
    <row r="815" spans="1:18">
      <c r="A815" s="161" t="s">
        <v>2923</v>
      </c>
      <c r="B815" s="31" t="s">
        <v>2987</v>
      </c>
      <c r="C815" s="152">
        <v>4</v>
      </c>
      <c r="D815" s="162"/>
      <c r="E815" s="162"/>
      <c r="F815" s="162"/>
      <c r="G815" s="162"/>
      <c r="H815" s="31" t="s">
        <v>2107</v>
      </c>
      <c r="I815" s="162"/>
      <c r="J815" s="162"/>
      <c r="K815" t="s">
        <v>3026</v>
      </c>
      <c r="L815">
        <v>4</v>
      </c>
      <c r="M815" t="s">
        <v>8</v>
      </c>
      <c r="N815" t="s">
        <v>8</v>
      </c>
      <c r="O815" t="s">
        <v>8</v>
      </c>
      <c r="P815" t="s">
        <v>8</v>
      </c>
      <c r="Q815" t="s">
        <v>8</v>
      </c>
      <c r="R815" t="s">
        <v>8</v>
      </c>
    </row>
    <row r="816" spans="1:18">
      <c r="A816" s="161" t="s">
        <v>2924</v>
      </c>
      <c r="B816" s="31" t="s">
        <v>992</v>
      </c>
      <c r="C816" s="152">
        <v>4</v>
      </c>
      <c r="D816" s="162"/>
      <c r="E816" s="162"/>
      <c r="F816" s="162"/>
      <c r="G816" s="162"/>
      <c r="H816" s="31" t="s">
        <v>2110</v>
      </c>
      <c r="I816" s="162"/>
      <c r="J816" s="162"/>
      <c r="K816" t="s">
        <v>3027</v>
      </c>
      <c r="L816">
        <v>4</v>
      </c>
      <c r="M816" t="s">
        <v>8</v>
      </c>
      <c r="N816" t="s">
        <v>8</v>
      </c>
      <c r="O816" t="s">
        <v>8</v>
      </c>
      <c r="P816" t="s">
        <v>8</v>
      </c>
      <c r="Q816" t="s">
        <v>8</v>
      </c>
      <c r="R816" t="s">
        <v>8</v>
      </c>
    </row>
    <row r="817" spans="1:18">
      <c r="A817" s="161" t="s">
        <v>2925</v>
      </c>
      <c r="B817" s="31" t="s">
        <v>2985</v>
      </c>
      <c r="C817" s="152">
        <v>4</v>
      </c>
      <c r="D817" s="162"/>
      <c r="E817" s="162"/>
      <c r="F817" s="162"/>
      <c r="G817" s="162"/>
      <c r="H817" s="31" t="s">
        <v>2107</v>
      </c>
      <c r="I817" s="162"/>
      <c r="J817" s="162"/>
      <c r="K817" t="s">
        <v>3027</v>
      </c>
      <c r="L817">
        <v>4</v>
      </c>
      <c r="M817" t="s">
        <v>8</v>
      </c>
      <c r="N817" t="s">
        <v>8</v>
      </c>
      <c r="O817" t="s">
        <v>8</v>
      </c>
      <c r="P817" t="s">
        <v>8</v>
      </c>
      <c r="Q817" t="s">
        <v>8</v>
      </c>
      <c r="R817" t="s">
        <v>8</v>
      </c>
    </row>
    <row r="818" spans="1:18">
      <c r="A818" s="161" t="s">
        <v>2926</v>
      </c>
      <c r="B818" s="31" t="s">
        <v>2986</v>
      </c>
      <c r="C818" s="152">
        <v>4</v>
      </c>
      <c r="D818" s="162"/>
      <c r="E818" s="162"/>
      <c r="F818" s="162"/>
      <c r="G818" s="162"/>
      <c r="H818" s="31" t="s">
        <v>2107</v>
      </c>
      <c r="I818" s="162"/>
      <c r="J818" s="162"/>
      <c r="K818" t="s">
        <v>3028</v>
      </c>
      <c r="L818">
        <v>4</v>
      </c>
      <c r="M818" t="s">
        <v>8</v>
      </c>
      <c r="N818" t="s">
        <v>8</v>
      </c>
      <c r="O818" t="s">
        <v>8</v>
      </c>
      <c r="P818" t="s">
        <v>8</v>
      </c>
      <c r="Q818" t="s">
        <v>8</v>
      </c>
      <c r="R818" t="s">
        <v>8</v>
      </c>
    </row>
    <row r="819" spans="1:18">
      <c r="A819" s="161" t="s">
        <v>2927</v>
      </c>
      <c r="B819" s="31" t="s">
        <v>2693</v>
      </c>
      <c r="C819" s="152">
        <v>4</v>
      </c>
      <c r="D819" s="162"/>
      <c r="E819" s="162"/>
      <c r="F819" s="162"/>
      <c r="G819" s="162"/>
      <c r="H819" s="31" t="s">
        <v>2107</v>
      </c>
      <c r="I819" s="162"/>
      <c r="J819" s="162"/>
      <c r="K819" t="s">
        <v>3029</v>
      </c>
      <c r="L819">
        <v>4</v>
      </c>
      <c r="M819" t="s">
        <v>8</v>
      </c>
      <c r="N819" t="s">
        <v>8</v>
      </c>
      <c r="O819" t="s">
        <v>8</v>
      </c>
      <c r="P819" t="s">
        <v>8</v>
      </c>
      <c r="Q819" t="s">
        <v>8</v>
      </c>
      <c r="R819" t="s">
        <v>8</v>
      </c>
    </row>
    <row r="820" spans="1:18">
      <c r="A820" s="161" t="s">
        <v>2928</v>
      </c>
      <c r="B820" s="31" t="s">
        <v>2982</v>
      </c>
      <c r="C820" s="152">
        <v>4</v>
      </c>
      <c r="D820" s="162"/>
      <c r="E820" s="162"/>
      <c r="F820" s="162"/>
      <c r="G820" s="162"/>
      <c r="H820" s="31" t="s">
        <v>2110</v>
      </c>
      <c r="I820" s="162"/>
      <c r="J820" s="162"/>
      <c r="K820" t="s">
        <v>3030</v>
      </c>
      <c r="L820">
        <v>4</v>
      </c>
      <c r="M820" t="s">
        <v>8</v>
      </c>
      <c r="N820" t="s">
        <v>8</v>
      </c>
      <c r="O820" t="s">
        <v>8</v>
      </c>
      <c r="P820" t="s">
        <v>8</v>
      </c>
      <c r="Q820" t="s">
        <v>8</v>
      </c>
      <c r="R820" t="s">
        <v>8</v>
      </c>
    </row>
    <row r="821" spans="1:18">
      <c r="A821" s="161" t="s">
        <v>2929</v>
      </c>
      <c r="B821" s="31" t="s">
        <v>2982</v>
      </c>
      <c r="C821" s="152">
        <v>4</v>
      </c>
      <c r="D821" s="162"/>
      <c r="E821" s="162"/>
      <c r="F821" s="162"/>
      <c r="G821" s="162"/>
      <c r="H821" s="31" t="s">
        <v>2107</v>
      </c>
      <c r="I821" s="162"/>
      <c r="J821" s="162"/>
      <c r="K821" t="s">
        <v>3030</v>
      </c>
      <c r="L821">
        <v>4</v>
      </c>
      <c r="M821" t="s">
        <v>8</v>
      </c>
      <c r="N821" t="s">
        <v>8</v>
      </c>
      <c r="O821" t="s">
        <v>8</v>
      </c>
      <c r="P821" t="s">
        <v>8</v>
      </c>
      <c r="Q821" t="s">
        <v>8</v>
      </c>
      <c r="R821" t="s">
        <v>8</v>
      </c>
    </row>
    <row r="822" spans="1:18">
      <c r="A822" s="161" t="s">
        <v>2930</v>
      </c>
      <c r="B822" s="31" t="s">
        <v>1964</v>
      </c>
      <c r="C822" s="152">
        <v>4</v>
      </c>
      <c r="D822" s="162"/>
      <c r="E822" s="162"/>
      <c r="F822" s="162"/>
      <c r="G822" s="162"/>
      <c r="H822" s="31" t="s">
        <v>2107</v>
      </c>
      <c r="I822" s="162"/>
      <c r="J822" s="162"/>
      <c r="K822" t="s">
        <v>3031</v>
      </c>
      <c r="L822">
        <v>4</v>
      </c>
      <c r="M822" t="s">
        <v>8</v>
      </c>
      <c r="N822" t="s">
        <v>8</v>
      </c>
      <c r="O822" t="s">
        <v>8</v>
      </c>
      <c r="P822" t="s">
        <v>8</v>
      </c>
      <c r="Q822" t="s">
        <v>8</v>
      </c>
      <c r="R822" t="s">
        <v>8</v>
      </c>
    </row>
    <row r="823" spans="1:18">
      <c r="A823" s="161" t="s">
        <v>2931</v>
      </c>
      <c r="B823" s="31" t="s">
        <v>2981</v>
      </c>
      <c r="C823" s="152">
        <v>4</v>
      </c>
      <c r="D823" s="162"/>
      <c r="E823" s="162"/>
      <c r="F823" s="162"/>
      <c r="G823" s="162"/>
      <c r="H823" s="31" t="s">
        <v>2107</v>
      </c>
      <c r="I823" s="162"/>
      <c r="J823" s="162"/>
      <c r="K823" t="s">
        <v>3031</v>
      </c>
      <c r="L823">
        <v>4</v>
      </c>
      <c r="M823" t="s">
        <v>8</v>
      </c>
      <c r="N823" t="s">
        <v>8</v>
      </c>
      <c r="O823" t="s">
        <v>8</v>
      </c>
      <c r="P823" t="s">
        <v>8</v>
      </c>
      <c r="Q823" t="s">
        <v>8</v>
      </c>
      <c r="R823" t="s">
        <v>8</v>
      </c>
    </row>
    <row r="824" spans="1:18">
      <c r="A824" s="161" t="s">
        <v>2849</v>
      </c>
      <c r="B824" s="31" t="s">
        <v>992</v>
      </c>
      <c r="C824" s="152">
        <v>5</v>
      </c>
      <c r="D824" s="162"/>
      <c r="E824" s="162"/>
      <c r="F824" s="162"/>
      <c r="G824" s="162"/>
      <c r="H824" s="31" t="s">
        <v>2110</v>
      </c>
      <c r="I824" s="162"/>
      <c r="J824" s="162"/>
      <c r="K824" t="s">
        <v>3032</v>
      </c>
      <c r="L824">
        <v>5</v>
      </c>
      <c r="M824" t="s">
        <v>8</v>
      </c>
      <c r="N824" t="s">
        <v>8</v>
      </c>
      <c r="O824" t="s">
        <v>8</v>
      </c>
      <c r="P824" t="s">
        <v>8</v>
      </c>
      <c r="Q824" t="s">
        <v>8</v>
      </c>
      <c r="R824" t="s">
        <v>8</v>
      </c>
    </row>
    <row r="825" spans="1:18">
      <c r="A825" s="161" t="s">
        <v>2932</v>
      </c>
      <c r="B825" s="31" t="s">
        <v>2985</v>
      </c>
      <c r="C825" s="152">
        <v>5</v>
      </c>
      <c r="D825" s="162"/>
      <c r="E825" s="162"/>
      <c r="F825" s="162"/>
      <c r="G825" s="162"/>
      <c r="H825" s="31" t="s">
        <v>2107</v>
      </c>
      <c r="I825" s="162"/>
      <c r="J825" s="162"/>
      <c r="K825" t="s">
        <v>3032</v>
      </c>
      <c r="L825">
        <v>5</v>
      </c>
      <c r="M825" t="s">
        <v>8</v>
      </c>
      <c r="N825" t="s">
        <v>8</v>
      </c>
      <c r="O825" t="s">
        <v>8</v>
      </c>
      <c r="P825" t="s">
        <v>8</v>
      </c>
      <c r="Q825" t="s">
        <v>8</v>
      </c>
      <c r="R825" t="s">
        <v>8</v>
      </c>
    </row>
    <row r="826" spans="1:18">
      <c r="A826" s="161" t="s">
        <v>2933</v>
      </c>
      <c r="B826" s="31" t="s">
        <v>2987</v>
      </c>
      <c r="C826" s="152">
        <v>5</v>
      </c>
      <c r="D826" s="162"/>
      <c r="E826" s="162"/>
      <c r="F826" s="162"/>
      <c r="G826" s="162"/>
      <c r="H826" s="31" t="s">
        <v>2110</v>
      </c>
      <c r="I826" s="162"/>
      <c r="J826" s="162"/>
      <c r="K826" t="s">
        <v>3032</v>
      </c>
      <c r="L826">
        <v>5</v>
      </c>
      <c r="M826" t="s">
        <v>8</v>
      </c>
      <c r="N826" t="s">
        <v>8</v>
      </c>
      <c r="O826" t="s">
        <v>8</v>
      </c>
      <c r="P826" t="s">
        <v>8</v>
      </c>
      <c r="Q826" t="s">
        <v>8</v>
      </c>
      <c r="R826" t="s">
        <v>8</v>
      </c>
    </row>
    <row r="827" spans="1:18">
      <c r="A827" s="161" t="s">
        <v>2934</v>
      </c>
      <c r="B827" s="31" t="s">
        <v>2981</v>
      </c>
      <c r="C827" s="152">
        <v>5</v>
      </c>
      <c r="D827" s="162"/>
      <c r="E827" s="162"/>
      <c r="F827" s="162"/>
      <c r="G827" s="162"/>
      <c r="H827" s="31" t="s">
        <v>2107</v>
      </c>
      <c r="I827" s="162"/>
      <c r="J827" s="162"/>
      <c r="K827" t="s">
        <v>3033</v>
      </c>
      <c r="L827">
        <v>5</v>
      </c>
      <c r="M827" t="s">
        <v>8</v>
      </c>
      <c r="N827" t="s">
        <v>8</v>
      </c>
      <c r="O827" t="s">
        <v>8</v>
      </c>
      <c r="P827" t="s">
        <v>8</v>
      </c>
      <c r="Q827" t="s">
        <v>8</v>
      </c>
      <c r="R827" t="s">
        <v>8</v>
      </c>
    </row>
    <row r="828" spans="1:18">
      <c r="A828" s="161" t="s">
        <v>2935</v>
      </c>
      <c r="B828" s="31" t="s">
        <v>992</v>
      </c>
      <c r="C828" s="152">
        <v>5</v>
      </c>
      <c r="D828" s="162"/>
      <c r="E828" s="162"/>
      <c r="F828" s="162"/>
      <c r="G828" s="162"/>
      <c r="H828" s="31" t="s">
        <v>2107</v>
      </c>
      <c r="I828" s="162"/>
      <c r="J828" s="162"/>
      <c r="K828" t="s">
        <v>3033</v>
      </c>
      <c r="L828">
        <v>5</v>
      </c>
      <c r="M828" t="s">
        <v>8</v>
      </c>
      <c r="N828" t="s">
        <v>8</v>
      </c>
      <c r="O828" t="s">
        <v>8</v>
      </c>
      <c r="P828" t="s">
        <v>8</v>
      </c>
      <c r="Q828" t="s">
        <v>8</v>
      </c>
      <c r="R828" t="s">
        <v>8</v>
      </c>
    </row>
    <row r="829" spans="1:18">
      <c r="A829" s="161" t="s">
        <v>2936</v>
      </c>
      <c r="B829" s="31" t="s">
        <v>2707</v>
      </c>
      <c r="C829" s="152">
        <v>5</v>
      </c>
      <c r="D829" s="162"/>
      <c r="E829" s="162"/>
      <c r="F829" s="162"/>
      <c r="G829" s="162"/>
      <c r="H829" s="31" t="s">
        <v>2107</v>
      </c>
      <c r="I829" s="162"/>
      <c r="J829" s="162"/>
      <c r="K829" t="s">
        <v>3033</v>
      </c>
      <c r="L829">
        <v>5</v>
      </c>
      <c r="M829" t="s">
        <v>8</v>
      </c>
      <c r="N829" t="s">
        <v>8</v>
      </c>
      <c r="O829" t="s">
        <v>8</v>
      </c>
      <c r="P829" t="s">
        <v>8</v>
      </c>
      <c r="Q829" t="s">
        <v>8</v>
      </c>
      <c r="R829" t="s">
        <v>8</v>
      </c>
    </row>
    <row r="830" spans="1:18">
      <c r="A830" s="161" t="s">
        <v>2937</v>
      </c>
      <c r="B830" s="31" t="s">
        <v>2984</v>
      </c>
      <c r="C830" s="152">
        <v>5</v>
      </c>
      <c r="D830" s="162"/>
      <c r="E830" s="162"/>
      <c r="F830" s="162"/>
      <c r="G830" s="162"/>
      <c r="H830" s="31" t="s">
        <v>2107</v>
      </c>
      <c r="I830" s="162"/>
      <c r="J830" s="162"/>
      <c r="K830" t="s">
        <v>3033</v>
      </c>
      <c r="L830">
        <v>5</v>
      </c>
      <c r="M830" t="s">
        <v>8</v>
      </c>
      <c r="N830" t="s">
        <v>8</v>
      </c>
      <c r="O830" t="s">
        <v>8</v>
      </c>
      <c r="P830" t="s">
        <v>8</v>
      </c>
      <c r="Q830" t="s">
        <v>8</v>
      </c>
      <c r="R830" t="s">
        <v>8</v>
      </c>
    </row>
    <row r="831" spans="1:18">
      <c r="A831" s="161" t="s">
        <v>2938</v>
      </c>
      <c r="B831" s="31" t="s">
        <v>2991</v>
      </c>
      <c r="C831" s="152">
        <v>5</v>
      </c>
      <c r="D831" s="162"/>
      <c r="E831" s="162"/>
      <c r="F831" s="162"/>
      <c r="G831" s="162"/>
      <c r="H831" s="31" t="s">
        <v>2107</v>
      </c>
      <c r="I831" s="162"/>
      <c r="J831" s="162"/>
      <c r="K831" t="s">
        <v>3034</v>
      </c>
      <c r="L831">
        <v>5</v>
      </c>
      <c r="M831" t="s">
        <v>8</v>
      </c>
      <c r="N831" t="s">
        <v>8</v>
      </c>
      <c r="O831" t="s">
        <v>8</v>
      </c>
      <c r="P831" t="s">
        <v>8</v>
      </c>
      <c r="Q831" t="s">
        <v>8</v>
      </c>
      <c r="R831" t="s">
        <v>8</v>
      </c>
    </row>
    <row r="832" spans="1:18">
      <c r="A832" s="161" t="s">
        <v>140</v>
      </c>
      <c r="B832" s="31" t="s">
        <v>2985</v>
      </c>
      <c r="C832" s="152">
        <v>5</v>
      </c>
      <c r="D832" s="162"/>
      <c r="E832" s="162"/>
      <c r="F832" s="162"/>
      <c r="G832" s="162"/>
      <c r="H832" s="31" t="s">
        <v>2107</v>
      </c>
      <c r="I832" s="162"/>
      <c r="J832" s="162"/>
      <c r="K832" t="s">
        <v>3034</v>
      </c>
      <c r="L832">
        <v>5</v>
      </c>
      <c r="M832" t="s">
        <v>8</v>
      </c>
      <c r="N832" t="s">
        <v>8</v>
      </c>
      <c r="O832" t="s">
        <v>8</v>
      </c>
      <c r="P832" t="s">
        <v>8</v>
      </c>
      <c r="Q832" t="s">
        <v>8</v>
      </c>
      <c r="R832" t="s">
        <v>8</v>
      </c>
    </row>
    <row r="833" spans="1:18">
      <c r="A833" s="161" t="s">
        <v>2939</v>
      </c>
      <c r="B833" s="31" t="s">
        <v>2982</v>
      </c>
      <c r="C833" s="152">
        <v>5</v>
      </c>
      <c r="D833" s="162"/>
      <c r="E833" s="162"/>
      <c r="F833" s="162"/>
      <c r="G833" s="162"/>
      <c r="H833" s="31" t="s">
        <v>2107</v>
      </c>
      <c r="I833" s="162"/>
      <c r="J833" s="162"/>
      <c r="K833" t="s">
        <v>3035</v>
      </c>
      <c r="L833">
        <v>5</v>
      </c>
      <c r="M833" t="s">
        <v>8</v>
      </c>
      <c r="N833" t="s">
        <v>8</v>
      </c>
      <c r="O833" t="s">
        <v>8</v>
      </c>
      <c r="P833" t="s">
        <v>8</v>
      </c>
      <c r="Q833" t="s">
        <v>8</v>
      </c>
      <c r="R833" t="s">
        <v>8</v>
      </c>
    </row>
    <row r="834" spans="1:18">
      <c r="A834" s="161" t="s">
        <v>2940</v>
      </c>
      <c r="B834" s="31" t="s">
        <v>2987</v>
      </c>
      <c r="C834" s="152">
        <v>5</v>
      </c>
      <c r="D834" s="162"/>
      <c r="E834" s="162"/>
      <c r="F834" s="162"/>
      <c r="G834" s="162"/>
      <c r="H834" s="31" t="s">
        <v>2107</v>
      </c>
      <c r="I834" s="162"/>
      <c r="J834" s="162"/>
      <c r="K834" t="s">
        <v>3035</v>
      </c>
      <c r="L834">
        <v>5</v>
      </c>
      <c r="M834" t="s">
        <v>8</v>
      </c>
      <c r="N834" t="s">
        <v>8</v>
      </c>
      <c r="O834" t="s">
        <v>8</v>
      </c>
      <c r="P834" t="s">
        <v>8</v>
      </c>
      <c r="Q834" t="s">
        <v>8</v>
      </c>
      <c r="R834" t="s">
        <v>8</v>
      </c>
    </row>
    <row r="835" spans="1:18">
      <c r="A835" s="161" t="s">
        <v>2941</v>
      </c>
      <c r="B835" s="31" t="s">
        <v>718</v>
      </c>
      <c r="C835" s="152">
        <v>5</v>
      </c>
      <c r="D835" s="162"/>
      <c r="E835" s="162"/>
      <c r="F835" s="162"/>
      <c r="G835" s="162"/>
      <c r="H835" s="31" t="s">
        <v>2107</v>
      </c>
      <c r="I835" s="162"/>
      <c r="J835" s="162"/>
      <c r="K835" t="s">
        <v>3036</v>
      </c>
      <c r="L835">
        <v>5</v>
      </c>
      <c r="M835" t="s">
        <v>8</v>
      </c>
      <c r="N835" t="s">
        <v>8</v>
      </c>
      <c r="O835" t="s">
        <v>8</v>
      </c>
      <c r="P835" t="s">
        <v>8</v>
      </c>
      <c r="Q835" t="s">
        <v>8</v>
      </c>
      <c r="R835" t="s">
        <v>8</v>
      </c>
    </row>
    <row r="836" spans="1:18">
      <c r="A836" s="161" t="s">
        <v>2942</v>
      </c>
      <c r="B836" s="31" t="s">
        <v>2981</v>
      </c>
      <c r="C836" s="152">
        <v>5</v>
      </c>
      <c r="D836" s="162"/>
      <c r="E836" s="162"/>
      <c r="F836" s="162"/>
      <c r="G836" s="162"/>
      <c r="H836" s="31" t="s">
        <v>2107</v>
      </c>
      <c r="I836" s="162"/>
      <c r="J836" s="162"/>
      <c r="K836" t="s">
        <v>3036</v>
      </c>
      <c r="L836">
        <v>5</v>
      </c>
      <c r="M836" t="s">
        <v>8</v>
      </c>
      <c r="N836" t="s">
        <v>8</v>
      </c>
      <c r="O836" t="s">
        <v>8</v>
      </c>
      <c r="P836" t="s">
        <v>8</v>
      </c>
      <c r="Q836" t="s">
        <v>8</v>
      </c>
      <c r="R836" t="s">
        <v>8</v>
      </c>
    </row>
    <row r="837" spans="1:18">
      <c r="A837" s="161" t="s">
        <v>2943</v>
      </c>
      <c r="B837" s="31" t="s">
        <v>2986</v>
      </c>
      <c r="C837" s="152">
        <v>5</v>
      </c>
      <c r="D837" s="162"/>
      <c r="E837" s="162"/>
      <c r="F837" s="162"/>
      <c r="G837" s="162"/>
      <c r="H837" s="31" t="s">
        <v>2107</v>
      </c>
      <c r="I837" s="162"/>
      <c r="J837" s="162"/>
      <c r="K837" t="s">
        <v>3037</v>
      </c>
      <c r="L837">
        <v>5</v>
      </c>
      <c r="M837" t="s">
        <v>8</v>
      </c>
      <c r="N837" t="s">
        <v>8</v>
      </c>
      <c r="O837" t="s">
        <v>8</v>
      </c>
      <c r="P837" t="s">
        <v>8</v>
      </c>
      <c r="Q837" t="s">
        <v>8</v>
      </c>
      <c r="R837" t="s">
        <v>8</v>
      </c>
    </row>
    <row r="838" spans="1:18">
      <c r="A838" s="161" t="s">
        <v>2944</v>
      </c>
      <c r="B838" s="31" t="s">
        <v>2984</v>
      </c>
      <c r="C838" s="152">
        <v>5</v>
      </c>
      <c r="D838" s="162"/>
      <c r="E838" s="162"/>
      <c r="F838" s="162"/>
      <c r="G838" s="162"/>
      <c r="H838" s="31" t="s">
        <v>2107</v>
      </c>
      <c r="I838" s="162"/>
      <c r="J838" s="162"/>
      <c r="K838" t="s">
        <v>3037</v>
      </c>
      <c r="L838">
        <v>5</v>
      </c>
      <c r="M838" t="s">
        <v>8</v>
      </c>
      <c r="N838" t="s">
        <v>8</v>
      </c>
      <c r="O838" t="s">
        <v>8</v>
      </c>
      <c r="P838" t="s">
        <v>8</v>
      </c>
      <c r="Q838" t="s">
        <v>8</v>
      </c>
      <c r="R838" t="s">
        <v>8</v>
      </c>
    </row>
    <row r="839" spans="1:18">
      <c r="A839" s="161" t="s">
        <v>2945</v>
      </c>
      <c r="B839" s="31" t="s">
        <v>2981</v>
      </c>
      <c r="C839" s="152">
        <v>5</v>
      </c>
      <c r="D839" s="162"/>
      <c r="E839" s="162"/>
      <c r="F839" s="162"/>
      <c r="G839" s="162"/>
      <c r="H839" s="31" t="s">
        <v>2107</v>
      </c>
      <c r="I839" s="162"/>
      <c r="J839" s="162"/>
      <c r="K839" t="s">
        <v>3037</v>
      </c>
      <c r="L839">
        <v>5</v>
      </c>
      <c r="M839" t="s">
        <v>8</v>
      </c>
      <c r="N839" t="s">
        <v>8</v>
      </c>
      <c r="O839" t="s">
        <v>8</v>
      </c>
      <c r="P839" t="s">
        <v>8</v>
      </c>
      <c r="Q839" t="s">
        <v>8</v>
      </c>
      <c r="R839" t="s">
        <v>8</v>
      </c>
    </row>
    <row r="840" spans="1:18">
      <c r="A840" s="161" t="s">
        <v>2946</v>
      </c>
      <c r="B840" s="31" t="s">
        <v>2981</v>
      </c>
      <c r="C840" s="152">
        <v>5</v>
      </c>
      <c r="D840" s="162"/>
      <c r="E840" s="162"/>
      <c r="F840" s="162"/>
      <c r="G840" s="162"/>
      <c r="H840" s="31" t="s">
        <v>2107</v>
      </c>
      <c r="I840" s="162"/>
      <c r="J840" s="162"/>
      <c r="K840" t="s">
        <v>3038</v>
      </c>
      <c r="L840">
        <v>5</v>
      </c>
      <c r="M840" t="s">
        <v>8</v>
      </c>
      <c r="N840" t="s">
        <v>8</v>
      </c>
      <c r="O840" t="s">
        <v>8</v>
      </c>
      <c r="P840" t="s">
        <v>8</v>
      </c>
      <c r="Q840" t="s">
        <v>8</v>
      </c>
      <c r="R840" t="s">
        <v>8</v>
      </c>
    </row>
    <row r="841" spans="1:18">
      <c r="A841" s="165" t="s">
        <v>3105</v>
      </c>
      <c r="B841" s="31" t="s">
        <v>2711</v>
      </c>
      <c r="C841" s="152">
        <v>5</v>
      </c>
      <c r="D841" s="162"/>
      <c r="E841" s="162"/>
      <c r="F841" s="162"/>
      <c r="G841" s="162"/>
      <c r="H841" s="31" t="s">
        <v>2110</v>
      </c>
      <c r="I841" s="162"/>
      <c r="J841" s="162"/>
      <c r="K841" t="s">
        <v>3038</v>
      </c>
      <c r="L841">
        <v>5</v>
      </c>
      <c r="M841" t="s">
        <v>8</v>
      </c>
      <c r="N841" t="s">
        <v>8</v>
      </c>
      <c r="O841" t="s">
        <v>8</v>
      </c>
      <c r="P841" t="s">
        <v>8</v>
      </c>
      <c r="Q841" t="s">
        <v>8</v>
      </c>
      <c r="R841" t="s">
        <v>8</v>
      </c>
    </row>
    <row r="842" spans="1:18">
      <c r="A842" s="161" t="s">
        <v>2947</v>
      </c>
      <c r="B842" s="31" t="s">
        <v>2135</v>
      </c>
      <c r="C842" s="152">
        <v>5</v>
      </c>
      <c r="D842" s="162"/>
      <c r="E842" s="162"/>
      <c r="F842" s="162"/>
      <c r="G842" s="162"/>
      <c r="H842" s="31" t="s">
        <v>2110</v>
      </c>
      <c r="I842" s="162"/>
      <c r="J842" s="162"/>
      <c r="K842" t="s">
        <v>3038</v>
      </c>
      <c r="L842">
        <v>5</v>
      </c>
      <c r="M842" t="s">
        <v>8</v>
      </c>
      <c r="N842" t="s">
        <v>8</v>
      </c>
      <c r="O842" t="s">
        <v>8</v>
      </c>
      <c r="P842" t="s">
        <v>8</v>
      </c>
      <c r="Q842" t="s">
        <v>8</v>
      </c>
      <c r="R842" t="s">
        <v>8</v>
      </c>
    </row>
    <row r="843" spans="1:18">
      <c r="A843" s="161" t="s">
        <v>2948</v>
      </c>
      <c r="B843" s="31" t="s">
        <v>1964</v>
      </c>
      <c r="C843" s="152">
        <v>5</v>
      </c>
      <c r="D843" s="162"/>
      <c r="E843" s="162"/>
      <c r="F843" s="162"/>
      <c r="G843" s="162"/>
      <c r="H843" s="31" t="s">
        <v>2107</v>
      </c>
      <c r="I843" s="162"/>
      <c r="J843" s="162"/>
      <c r="K843" t="s">
        <v>3039</v>
      </c>
      <c r="L843">
        <v>5</v>
      </c>
      <c r="M843" t="s">
        <v>8</v>
      </c>
      <c r="N843" t="s">
        <v>8</v>
      </c>
      <c r="O843" t="s">
        <v>8</v>
      </c>
      <c r="P843" t="s">
        <v>8</v>
      </c>
      <c r="Q843" t="s">
        <v>8</v>
      </c>
      <c r="R843" t="s">
        <v>8</v>
      </c>
    </row>
    <row r="844" spans="1:18">
      <c r="A844" s="161" t="s">
        <v>2949</v>
      </c>
      <c r="B844" s="31" t="s">
        <v>2986</v>
      </c>
      <c r="C844" s="152">
        <v>5</v>
      </c>
      <c r="D844" s="162"/>
      <c r="E844" s="162"/>
      <c r="F844" s="162"/>
      <c r="G844" s="162"/>
      <c r="H844" s="31" t="s">
        <v>2107</v>
      </c>
      <c r="I844" s="162"/>
      <c r="J844" s="162"/>
      <c r="K844" t="s">
        <v>3039</v>
      </c>
      <c r="L844">
        <v>5</v>
      </c>
      <c r="M844" t="s">
        <v>8</v>
      </c>
      <c r="N844" t="s">
        <v>8</v>
      </c>
      <c r="O844" t="s">
        <v>8</v>
      </c>
      <c r="P844" t="s">
        <v>8</v>
      </c>
      <c r="Q844" t="s">
        <v>8</v>
      </c>
      <c r="R844" t="s">
        <v>8</v>
      </c>
    </row>
    <row r="845" spans="1:18">
      <c r="A845" s="161" t="s">
        <v>2950</v>
      </c>
      <c r="B845" s="31" t="s">
        <v>2982</v>
      </c>
      <c r="C845" s="152">
        <v>5</v>
      </c>
      <c r="D845" s="162"/>
      <c r="E845" s="162"/>
      <c r="F845" s="162"/>
      <c r="G845" s="162"/>
      <c r="H845" s="31" t="s">
        <v>2107</v>
      </c>
      <c r="I845" s="162"/>
      <c r="J845" s="162"/>
      <c r="K845" t="s">
        <v>3039</v>
      </c>
      <c r="L845">
        <v>5</v>
      </c>
      <c r="M845" t="s">
        <v>8</v>
      </c>
      <c r="N845" t="s">
        <v>8</v>
      </c>
      <c r="O845" t="s">
        <v>8</v>
      </c>
      <c r="P845" t="s">
        <v>8</v>
      </c>
      <c r="Q845" t="s">
        <v>8</v>
      </c>
      <c r="R845" t="s">
        <v>8</v>
      </c>
    </row>
    <row r="846" spans="1:18">
      <c r="A846" s="161" t="s">
        <v>2951</v>
      </c>
      <c r="B846" s="31" t="s">
        <v>992</v>
      </c>
      <c r="C846" s="152">
        <v>5</v>
      </c>
      <c r="D846" s="162"/>
      <c r="E846" s="162"/>
      <c r="F846" s="162"/>
      <c r="G846" s="162"/>
      <c r="H846" s="31" t="s">
        <v>2107</v>
      </c>
      <c r="I846" s="162"/>
      <c r="J846" s="162"/>
      <c r="K846" t="s">
        <v>3040</v>
      </c>
      <c r="L846">
        <v>5</v>
      </c>
      <c r="M846" t="s">
        <v>8</v>
      </c>
      <c r="N846" t="s">
        <v>8</v>
      </c>
      <c r="O846" t="s">
        <v>8</v>
      </c>
      <c r="P846" t="s">
        <v>8</v>
      </c>
      <c r="Q846" t="s">
        <v>8</v>
      </c>
      <c r="R846" t="s">
        <v>8</v>
      </c>
    </row>
    <row r="847" spans="1:18">
      <c r="A847" s="161" t="s">
        <v>2952</v>
      </c>
      <c r="B847" s="31" t="s">
        <v>2981</v>
      </c>
      <c r="C847" s="152">
        <v>5</v>
      </c>
      <c r="D847" s="162"/>
      <c r="E847" s="162"/>
      <c r="F847" s="162"/>
      <c r="G847" s="162"/>
      <c r="H847" s="31" t="s">
        <v>2107</v>
      </c>
      <c r="I847" s="162"/>
      <c r="J847" s="162"/>
      <c r="K847" t="s">
        <v>3041</v>
      </c>
      <c r="L847">
        <v>5</v>
      </c>
      <c r="M847" t="s">
        <v>8</v>
      </c>
      <c r="N847" t="s">
        <v>8</v>
      </c>
      <c r="O847" t="s">
        <v>8</v>
      </c>
      <c r="P847" t="s">
        <v>8</v>
      </c>
      <c r="Q847" t="s">
        <v>8</v>
      </c>
      <c r="R847" t="s">
        <v>8</v>
      </c>
    </row>
    <row r="848" spans="1:18">
      <c r="A848" s="161" t="s">
        <v>2953</v>
      </c>
      <c r="B848" s="31" t="s">
        <v>2992</v>
      </c>
      <c r="C848" s="152">
        <v>5</v>
      </c>
      <c r="D848" s="162"/>
      <c r="E848" s="162"/>
      <c r="F848" s="162"/>
      <c r="G848" s="162"/>
      <c r="H848" s="31" t="s">
        <v>2107</v>
      </c>
      <c r="I848" s="162"/>
      <c r="J848" s="162"/>
      <c r="K848" t="s">
        <v>3041</v>
      </c>
      <c r="L848">
        <v>5</v>
      </c>
      <c r="M848" t="s">
        <v>8</v>
      </c>
      <c r="N848" t="s">
        <v>8</v>
      </c>
      <c r="O848" t="s">
        <v>8</v>
      </c>
      <c r="P848" t="s">
        <v>8</v>
      </c>
      <c r="Q848" t="s">
        <v>8</v>
      </c>
      <c r="R848" t="s">
        <v>8</v>
      </c>
    </row>
    <row r="849" spans="1:18">
      <c r="A849" s="83" t="s">
        <v>2850</v>
      </c>
      <c r="B849" s="31" t="s">
        <v>992</v>
      </c>
      <c r="C849" s="152">
        <v>6</v>
      </c>
      <c r="D849" s="162"/>
      <c r="E849" s="162"/>
      <c r="F849" s="162"/>
      <c r="G849" s="162"/>
      <c r="H849" s="31" t="s">
        <v>2110</v>
      </c>
      <c r="I849" s="162"/>
      <c r="J849" s="162"/>
      <c r="K849" t="s">
        <v>3042</v>
      </c>
      <c r="L849">
        <v>6</v>
      </c>
      <c r="M849" t="s">
        <v>8</v>
      </c>
      <c r="N849" t="s">
        <v>8</v>
      </c>
      <c r="O849" t="s">
        <v>8</v>
      </c>
      <c r="P849" t="s">
        <v>8</v>
      </c>
      <c r="Q849" t="s">
        <v>8</v>
      </c>
      <c r="R849" t="s">
        <v>8</v>
      </c>
    </row>
    <row r="850" spans="1:18">
      <c r="A850" s="161" t="s">
        <v>2954</v>
      </c>
      <c r="B850" s="31" t="s">
        <v>2981</v>
      </c>
      <c r="C850" s="152">
        <v>6</v>
      </c>
      <c r="D850" s="162"/>
      <c r="E850" s="162"/>
      <c r="F850" s="162"/>
      <c r="G850" s="162"/>
      <c r="H850" s="31" t="s">
        <v>2107</v>
      </c>
      <c r="I850" s="162"/>
      <c r="J850" s="162"/>
      <c r="K850" t="s">
        <v>3042</v>
      </c>
      <c r="L850">
        <v>6</v>
      </c>
      <c r="M850" t="s">
        <v>8</v>
      </c>
      <c r="N850" t="s">
        <v>8</v>
      </c>
      <c r="O850" t="s">
        <v>8</v>
      </c>
      <c r="P850" t="s">
        <v>8</v>
      </c>
      <c r="Q850" t="s">
        <v>8</v>
      </c>
      <c r="R850" t="s">
        <v>8</v>
      </c>
    </row>
    <row r="851" spans="1:18">
      <c r="A851" s="161" t="s">
        <v>2955</v>
      </c>
      <c r="B851" s="31" t="s">
        <v>2701</v>
      </c>
      <c r="C851" s="152">
        <v>6</v>
      </c>
      <c r="D851" s="162"/>
      <c r="E851" s="162"/>
      <c r="F851" s="162"/>
      <c r="G851" s="162"/>
      <c r="H851" s="31" t="s">
        <v>2110</v>
      </c>
      <c r="I851" s="162"/>
      <c r="J851" s="162"/>
      <c r="K851" t="s">
        <v>3042</v>
      </c>
      <c r="L851">
        <v>6</v>
      </c>
      <c r="M851" t="s">
        <v>8</v>
      </c>
      <c r="N851" t="s">
        <v>8</v>
      </c>
      <c r="O851" t="s">
        <v>8</v>
      </c>
      <c r="P851" t="s">
        <v>8</v>
      </c>
      <c r="Q851" t="s">
        <v>8</v>
      </c>
      <c r="R851" t="s">
        <v>8</v>
      </c>
    </row>
    <row r="852" spans="1:18">
      <c r="A852" s="161" t="s">
        <v>2956</v>
      </c>
      <c r="B852" s="31" t="s">
        <v>2982</v>
      </c>
      <c r="C852" s="152">
        <v>6</v>
      </c>
      <c r="D852" s="162"/>
      <c r="E852" s="162"/>
      <c r="F852" s="162"/>
      <c r="G852" s="162"/>
      <c r="H852" s="31" t="s">
        <v>2110</v>
      </c>
      <c r="I852" s="162"/>
      <c r="J852" s="162"/>
      <c r="K852" t="s">
        <v>3043</v>
      </c>
      <c r="L852">
        <v>6</v>
      </c>
      <c r="M852" t="s">
        <v>8</v>
      </c>
      <c r="N852" t="s">
        <v>8</v>
      </c>
      <c r="O852" t="s">
        <v>8</v>
      </c>
      <c r="P852" t="s">
        <v>8</v>
      </c>
      <c r="Q852" t="s">
        <v>8</v>
      </c>
      <c r="R852" t="s">
        <v>8</v>
      </c>
    </row>
    <row r="853" spans="1:18">
      <c r="A853" s="161" t="s">
        <v>2957</v>
      </c>
      <c r="B853" s="31" t="s">
        <v>2982</v>
      </c>
      <c r="C853" s="152">
        <v>6</v>
      </c>
      <c r="D853" s="162"/>
      <c r="E853" s="162"/>
      <c r="F853" s="162"/>
      <c r="G853" s="162"/>
      <c r="H853" s="31" t="s">
        <v>2110</v>
      </c>
      <c r="I853" s="162"/>
      <c r="J853" s="162"/>
      <c r="K853" t="s">
        <v>3043</v>
      </c>
      <c r="L853">
        <v>6</v>
      </c>
      <c r="M853" t="s">
        <v>8</v>
      </c>
      <c r="N853" t="s">
        <v>8</v>
      </c>
      <c r="O853" t="s">
        <v>8</v>
      </c>
      <c r="P853" t="s">
        <v>8</v>
      </c>
      <c r="Q853" t="s">
        <v>8</v>
      </c>
      <c r="R853" t="s">
        <v>8</v>
      </c>
    </row>
    <row r="854" spans="1:18">
      <c r="A854" s="161" t="s">
        <v>2958</v>
      </c>
      <c r="B854" s="31" t="s">
        <v>2726</v>
      </c>
      <c r="C854" s="152">
        <v>6</v>
      </c>
      <c r="D854" s="162"/>
      <c r="E854" s="162"/>
      <c r="F854" s="162"/>
      <c r="G854" s="162"/>
      <c r="H854" s="31" t="s">
        <v>2110</v>
      </c>
      <c r="I854" s="162"/>
      <c r="J854" s="162"/>
      <c r="K854" t="s">
        <v>3044</v>
      </c>
      <c r="L854">
        <v>6</v>
      </c>
      <c r="M854" t="s">
        <v>8</v>
      </c>
      <c r="N854" t="s">
        <v>8</v>
      </c>
      <c r="O854" t="s">
        <v>8</v>
      </c>
      <c r="P854" t="s">
        <v>8</v>
      </c>
      <c r="Q854" t="s">
        <v>8</v>
      </c>
      <c r="R854" t="s">
        <v>8</v>
      </c>
    </row>
    <row r="855" spans="1:18">
      <c r="A855" s="161" t="s">
        <v>2959</v>
      </c>
      <c r="B855" s="31" t="s">
        <v>2986</v>
      </c>
      <c r="C855" s="152">
        <v>6</v>
      </c>
      <c r="D855" s="162"/>
      <c r="E855" s="162"/>
      <c r="F855" s="162"/>
      <c r="G855" s="162"/>
      <c r="H855" s="31" t="s">
        <v>2107</v>
      </c>
      <c r="I855" s="162"/>
      <c r="J855" s="162"/>
      <c r="K855" t="s">
        <v>3044</v>
      </c>
      <c r="L855">
        <v>6</v>
      </c>
      <c r="M855" t="s">
        <v>8</v>
      </c>
      <c r="N855" t="s">
        <v>8</v>
      </c>
      <c r="O855" t="s">
        <v>8</v>
      </c>
      <c r="P855" t="s">
        <v>8</v>
      </c>
      <c r="Q855" t="s">
        <v>8</v>
      </c>
      <c r="R855" t="s">
        <v>8</v>
      </c>
    </row>
    <row r="856" spans="1:18">
      <c r="A856" s="161" t="s">
        <v>2960</v>
      </c>
      <c r="B856" s="31" t="s">
        <v>2984</v>
      </c>
      <c r="C856" s="152">
        <v>6</v>
      </c>
      <c r="D856" s="162"/>
      <c r="E856" s="162"/>
      <c r="F856" s="162"/>
      <c r="G856" s="162"/>
      <c r="H856" s="31" t="s">
        <v>2110</v>
      </c>
      <c r="I856" s="162"/>
      <c r="J856" s="162"/>
      <c r="K856" t="s">
        <v>3045</v>
      </c>
      <c r="L856">
        <v>6</v>
      </c>
      <c r="M856" t="s">
        <v>8</v>
      </c>
      <c r="N856" t="s">
        <v>8</v>
      </c>
      <c r="O856" t="s">
        <v>8</v>
      </c>
      <c r="P856" t="s">
        <v>8</v>
      </c>
      <c r="Q856" t="s">
        <v>8</v>
      </c>
      <c r="R856" t="s">
        <v>8</v>
      </c>
    </row>
    <row r="857" spans="1:18">
      <c r="A857" s="161" t="s">
        <v>2961</v>
      </c>
      <c r="B857" s="31" t="s">
        <v>2981</v>
      </c>
      <c r="C857" s="152">
        <v>6</v>
      </c>
      <c r="D857" s="162"/>
      <c r="E857" s="162"/>
      <c r="F857" s="162"/>
      <c r="G857" s="162"/>
      <c r="H857" s="31" t="s">
        <v>2107</v>
      </c>
      <c r="I857" s="162"/>
      <c r="J857" s="162"/>
      <c r="K857" t="s">
        <v>3045</v>
      </c>
      <c r="L857">
        <v>6</v>
      </c>
      <c r="M857" t="s">
        <v>8</v>
      </c>
      <c r="N857" t="s">
        <v>8</v>
      </c>
      <c r="O857" t="s">
        <v>8</v>
      </c>
      <c r="P857" t="s">
        <v>8</v>
      </c>
      <c r="Q857" t="s">
        <v>8</v>
      </c>
      <c r="R857" t="s">
        <v>8</v>
      </c>
    </row>
    <row r="858" spans="1:18">
      <c r="A858" s="161" t="s">
        <v>2962</v>
      </c>
      <c r="B858" s="31" t="s">
        <v>2987</v>
      </c>
      <c r="C858" s="152">
        <v>6</v>
      </c>
      <c r="D858" s="162"/>
      <c r="E858" s="162"/>
      <c r="F858" s="162"/>
      <c r="G858" s="162"/>
      <c r="H858" s="31" t="s">
        <v>2110</v>
      </c>
      <c r="I858" s="162"/>
      <c r="J858" s="162"/>
      <c r="K858" t="s">
        <v>3046</v>
      </c>
      <c r="L858">
        <v>6</v>
      </c>
      <c r="M858" t="s">
        <v>8</v>
      </c>
      <c r="N858" t="s">
        <v>8</v>
      </c>
      <c r="O858" t="s">
        <v>8</v>
      </c>
      <c r="P858" t="s">
        <v>8</v>
      </c>
      <c r="Q858" t="s">
        <v>8</v>
      </c>
      <c r="R858" t="s">
        <v>8</v>
      </c>
    </row>
    <row r="859" spans="1:18">
      <c r="A859" s="161" t="s">
        <v>2963</v>
      </c>
      <c r="B859" s="31" t="s">
        <v>2726</v>
      </c>
      <c r="C859" s="152">
        <v>6</v>
      </c>
      <c r="D859" s="162"/>
      <c r="E859" s="162"/>
      <c r="F859" s="162"/>
      <c r="G859" s="162"/>
      <c r="H859" s="31" t="s">
        <v>2107</v>
      </c>
      <c r="I859" s="162"/>
      <c r="J859" s="162"/>
      <c r="K859" t="s">
        <v>3046</v>
      </c>
      <c r="L859">
        <v>6</v>
      </c>
      <c r="M859" t="s">
        <v>8</v>
      </c>
      <c r="N859" t="s">
        <v>8</v>
      </c>
      <c r="O859" t="s">
        <v>8</v>
      </c>
      <c r="P859" t="s">
        <v>8</v>
      </c>
      <c r="Q859" t="s">
        <v>8</v>
      </c>
      <c r="R859" t="s">
        <v>8</v>
      </c>
    </row>
    <row r="860" spans="1:18">
      <c r="A860" s="161" t="s">
        <v>2964</v>
      </c>
      <c r="B860" s="31" t="s">
        <v>2986</v>
      </c>
      <c r="C860" s="152">
        <v>6</v>
      </c>
      <c r="D860" s="162"/>
      <c r="E860" s="162"/>
      <c r="F860" s="162"/>
      <c r="G860" s="162"/>
      <c r="H860" s="31" t="s">
        <v>2107</v>
      </c>
      <c r="I860" s="162"/>
      <c r="J860" s="162"/>
      <c r="K860" t="s">
        <v>3046</v>
      </c>
      <c r="L860">
        <v>6</v>
      </c>
      <c r="M860" t="s">
        <v>8</v>
      </c>
      <c r="N860" t="s">
        <v>8</v>
      </c>
      <c r="O860" t="s">
        <v>8</v>
      </c>
      <c r="P860" t="s">
        <v>8</v>
      </c>
      <c r="Q860" t="s">
        <v>8</v>
      </c>
      <c r="R860" t="s">
        <v>8</v>
      </c>
    </row>
    <row r="861" spans="1:18">
      <c r="A861" s="161" t="s">
        <v>2965</v>
      </c>
      <c r="B861" s="31" t="s">
        <v>992</v>
      </c>
      <c r="C861" s="152">
        <v>6</v>
      </c>
      <c r="D861" s="162"/>
      <c r="E861" s="162"/>
      <c r="F861" s="162"/>
      <c r="G861" s="162"/>
      <c r="H861" s="31" t="s">
        <v>2107</v>
      </c>
      <c r="I861" s="162"/>
      <c r="J861" s="162"/>
      <c r="K861" t="s">
        <v>3047</v>
      </c>
      <c r="L861">
        <v>6</v>
      </c>
      <c r="M861" t="s">
        <v>8</v>
      </c>
      <c r="N861" t="s">
        <v>8</v>
      </c>
      <c r="O861" t="s">
        <v>8</v>
      </c>
      <c r="P861" t="s">
        <v>8</v>
      </c>
      <c r="Q861" t="s">
        <v>8</v>
      </c>
      <c r="R861" t="s">
        <v>8</v>
      </c>
    </row>
    <row r="862" spans="1:18">
      <c r="A862" s="161" t="s">
        <v>2966</v>
      </c>
      <c r="B862" s="31" t="s">
        <v>2981</v>
      </c>
      <c r="C862" s="152">
        <v>6</v>
      </c>
      <c r="D862" s="162"/>
      <c r="E862" s="162"/>
      <c r="F862" s="162"/>
      <c r="G862" s="162"/>
      <c r="H862" s="31" t="s">
        <v>2107</v>
      </c>
      <c r="I862" s="162"/>
      <c r="J862" s="162"/>
      <c r="K862" t="s">
        <v>3047</v>
      </c>
      <c r="L862">
        <v>6</v>
      </c>
      <c r="M862" t="s">
        <v>8</v>
      </c>
      <c r="N862" t="s">
        <v>8</v>
      </c>
      <c r="O862" t="s">
        <v>8</v>
      </c>
      <c r="P862" t="s">
        <v>8</v>
      </c>
      <c r="Q862" t="s">
        <v>8</v>
      </c>
      <c r="R862" t="s">
        <v>8</v>
      </c>
    </row>
    <row r="863" spans="1:18">
      <c r="A863" s="161" t="s">
        <v>2967</v>
      </c>
      <c r="B863" s="31" t="s">
        <v>2985</v>
      </c>
      <c r="C863" s="152">
        <v>6</v>
      </c>
      <c r="D863" s="162"/>
      <c r="E863" s="162"/>
      <c r="F863" s="162"/>
      <c r="G863" s="162"/>
      <c r="H863" s="31" t="s">
        <v>2107</v>
      </c>
      <c r="I863" s="162"/>
      <c r="J863" s="162"/>
      <c r="K863" t="s">
        <v>3048</v>
      </c>
      <c r="L863">
        <v>6</v>
      </c>
      <c r="M863" t="s">
        <v>8</v>
      </c>
      <c r="N863" t="s">
        <v>8</v>
      </c>
      <c r="O863" t="s">
        <v>8</v>
      </c>
      <c r="P863" t="s">
        <v>8</v>
      </c>
      <c r="Q863" t="s">
        <v>8</v>
      </c>
      <c r="R863" t="s">
        <v>8</v>
      </c>
    </row>
    <row r="864" spans="1:18">
      <c r="A864" s="161" t="s">
        <v>2968</v>
      </c>
      <c r="B864" s="31" t="s">
        <v>992</v>
      </c>
      <c r="C864" s="152">
        <v>6</v>
      </c>
      <c r="D864" s="162"/>
      <c r="E864" s="162"/>
      <c r="F864" s="162"/>
      <c r="G864" s="162"/>
      <c r="H864" s="31" t="s">
        <v>2107</v>
      </c>
      <c r="I864" s="162"/>
      <c r="J864" s="162"/>
      <c r="K864" t="s">
        <v>3048</v>
      </c>
      <c r="L864">
        <v>6</v>
      </c>
      <c r="M864" t="s">
        <v>8</v>
      </c>
      <c r="N864" t="s">
        <v>8</v>
      </c>
      <c r="O864" t="s">
        <v>8</v>
      </c>
      <c r="P864" t="s">
        <v>8</v>
      </c>
      <c r="Q864" t="s">
        <v>8</v>
      </c>
      <c r="R864" t="s">
        <v>8</v>
      </c>
    </row>
    <row r="865" spans="1:18">
      <c r="A865" s="161" t="s">
        <v>2851</v>
      </c>
      <c r="B865" s="31" t="s">
        <v>992</v>
      </c>
      <c r="C865" s="152">
        <v>7</v>
      </c>
      <c r="D865" s="162"/>
      <c r="E865" s="162"/>
      <c r="F865" s="162"/>
      <c r="G865" s="162"/>
      <c r="H865" s="31" t="s">
        <v>2107</v>
      </c>
      <c r="I865" s="162"/>
      <c r="J865" s="162"/>
      <c r="K865" t="s">
        <v>3049</v>
      </c>
      <c r="L865">
        <v>7</v>
      </c>
      <c r="M865" t="s">
        <v>8</v>
      </c>
      <c r="N865" t="s">
        <v>8</v>
      </c>
      <c r="O865" t="s">
        <v>8</v>
      </c>
      <c r="P865" t="s">
        <v>8</v>
      </c>
      <c r="Q865" t="s">
        <v>8</v>
      </c>
      <c r="R865" t="s">
        <v>8</v>
      </c>
    </row>
    <row r="866" spans="1:18">
      <c r="A866" s="163" t="s">
        <v>2996</v>
      </c>
      <c r="B866" s="31" t="s">
        <v>2135</v>
      </c>
      <c r="C866" s="152">
        <v>7</v>
      </c>
      <c r="D866" s="31" t="s">
        <v>2126</v>
      </c>
      <c r="E866" s="31" t="s">
        <v>2126</v>
      </c>
      <c r="F866" s="31" t="s">
        <v>2995</v>
      </c>
      <c r="G866" s="31" t="s">
        <v>2127</v>
      </c>
      <c r="H866" s="31" t="s">
        <v>2107</v>
      </c>
      <c r="I866" s="31" t="s">
        <v>1835</v>
      </c>
      <c r="J866" s="31" t="s">
        <v>270</v>
      </c>
      <c r="K866" s="31" t="s">
        <v>2997</v>
      </c>
      <c r="L866" s="31">
        <v>7</v>
      </c>
      <c r="M866" t="s">
        <v>8</v>
      </c>
      <c r="N866" t="s">
        <v>8</v>
      </c>
      <c r="O866" t="s">
        <v>8</v>
      </c>
      <c r="P866" t="s">
        <v>8</v>
      </c>
      <c r="Q866" t="s">
        <v>8</v>
      </c>
      <c r="R866" t="s">
        <v>8</v>
      </c>
    </row>
    <row r="867" spans="1:18">
      <c r="A867" s="161" t="s">
        <v>2969</v>
      </c>
      <c r="B867" s="31" t="s">
        <v>1964</v>
      </c>
      <c r="C867" s="152">
        <v>7</v>
      </c>
      <c r="D867" s="162"/>
      <c r="E867" s="162"/>
      <c r="F867" s="162"/>
      <c r="G867" s="162"/>
      <c r="H867" s="31" t="s">
        <v>2110</v>
      </c>
      <c r="I867" s="162"/>
      <c r="J867" s="162"/>
      <c r="K867" t="s">
        <v>3050</v>
      </c>
      <c r="L867">
        <v>7</v>
      </c>
      <c r="M867" t="s">
        <v>8</v>
      </c>
      <c r="N867" t="s">
        <v>8</v>
      </c>
      <c r="O867" t="s">
        <v>8</v>
      </c>
      <c r="P867" t="s">
        <v>8</v>
      </c>
      <c r="Q867" t="s">
        <v>8</v>
      </c>
      <c r="R867" t="s">
        <v>8</v>
      </c>
    </row>
    <row r="868" spans="1:18">
      <c r="A868" s="161" t="s">
        <v>2970</v>
      </c>
      <c r="B868" s="31" t="s">
        <v>2986</v>
      </c>
      <c r="C868" s="152">
        <v>7</v>
      </c>
      <c r="D868" s="162"/>
      <c r="E868" s="162"/>
      <c r="F868" s="162"/>
      <c r="G868" s="162"/>
      <c r="H868" s="31" t="s">
        <v>2107</v>
      </c>
      <c r="I868" s="162"/>
      <c r="J868" s="162"/>
      <c r="K868" t="s">
        <v>3050</v>
      </c>
      <c r="L868">
        <v>7</v>
      </c>
      <c r="M868" t="s">
        <v>8</v>
      </c>
      <c r="N868" t="s">
        <v>8</v>
      </c>
      <c r="O868" t="s">
        <v>8</v>
      </c>
      <c r="P868" t="s">
        <v>8</v>
      </c>
      <c r="Q868" t="s">
        <v>8</v>
      </c>
      <c r="R868" t="s">
        <v>8</v>
      </c>
    </row>
    <row r="869" spans="1:18">
      <c r="A869" s="161" t="s">
        <v>2971</v>
      </c>
      <c r="B869" s="31" t="s">
        <v>2985</v>
      </c>
      <c r="C869" s="152">
        <v>7</v>
      </c>
      <c r="D869" s="162"/>
      <c r="E869" s="162"/>
      <c r="F869" s="162"/>
      <c r="G869" s="162"/>
      <c r="H869" s="31" t="s">
        <v>2107</v>
      </c>
      <c r="I869" s="162"/>
      <c r="J869" s="162"/>
      <c r="K869" t="s">
        <v>3051</v>
      </c>
      <c r="L869">
        <v>7</v>
      </c>
      <c r="M869" t="s">
        <v>8</v>
      </c>
      <c r="N869" t="s">
        <v>8</v>
      </c>
      <c r="O869" t="s">
        <v>8</v>
      </c>
      <c r="P869" t="s">
        <v>8</v>
      </c>
      <c r="Q869" t="s">
        <v>8</v>
      </c>
      <c r="R869" t="s">
        <v>8</v>
      </c>
    </row>
    <row r="870" spans="1:18">
      <c r="A870" s="161" t="s">
        <v>2972</v>
      </c>
      <c r="B870" s="31" t="s">
        <v>2003</v>
      </c>
      <c r="C870" s="152">
        <v>7</v>
      </c>
      <c r="D870" s="162"/>
      <c r="E870" s="162"/>
      <c r="F870" s="162"/>
      <c r="G870" s="162"/>
      <c r="H870" s="31" t="s">
        <v>2107</v>
      </c>
      <c r="I870" s="162"/>
      <c r="J870" s="162"/>
      <c r="K870" t="s">
        <v>3051</v>
      </c>
      <c r="L870">
        <v>7</v>
      </c>
      <c r="M870" t="s">
        <v>8</v>
      </c>
      <c r="N870" t="s">
        <v>8</v>
      </c>
      <c r="O870" t="s">
        <v>8</v>
      </c>
      <c r="P870" t="s">
        <v>8</v>
      </c>
      <c r="Q870" t="s">
        <v>8</v>
      </c>
      <c r="R870" t="s">
        <v>8</v>
      </c>
    </row>
    <row r="871" spans="1:18">
      <c r="A871" s="161" t="s">
        <v>2973</v>
      </c>
      <c r="B871" s="31" t="s">
        <v>2985</v>
      </c>
      <c r="C871" s="152">
        <v>7</v>
      </c>
      <c r="D871" s="162"/>
      <c r="E871" s="162"/>
      <c r="F871" s="162"/>
      <c r="G871" s="162"/>
      <c r="H871" s="31" t="s">
        <v>2107</v>
      </c>
      <c r="I871" s="162"/>
      <c r="J871" s="162"/>
      <c r="K871" t="s">
        <v>3052</v>
      </c>
      <c r="L871">
        <v>7</v>
      </c>
      <c r="M871" t="s">
        <v>8</v>
      </c>
      <c r="N871" t="s">
        <v>8</v>
      </c>
      <c r="O871" t="s">
        <v>8</v>
      </c>
      <c r="P871" t="s">
        <v>8</v>
      </c>
      <c r="Q871" t="s">
        <v>8</v>
      </c>
      <c r="R871" t="s">
        <v>8</v>
      </c>
    </row>
    <row r="872" spans="1:18">
      <c r="A872" s="161" t="s">
        <v>2974</v>
      </c>
      <c r="B872" s="31" t="s">
        <v>2994</v>
      </c>
      <c r="C872" s="152">
        <v>7</v>
      </c>
      <c r="D872" s="162"/>
      <c r="E872" s="162"/>
      <c r="F872" s="162"/>
      <c r="G872" s="162"/>
      <c r="H872" s="31" t="s">
        <v>2107</v>
      </c>
      <c r="I872" s="162"/>
      <c r="J872" s="162"/>
      <c r="K872" t="s">
        <v>3052</v>
      </c>
      <c r="L872">
        <v>7</v>
      </c>
      <c r="M872" t="s">
        <v>8</v>
      </c>
      <c r="N872" t="s">
        <v>8</v>
      </c>
      <c r="O872" t="s">
        <v>8</v>
      </c>
      <c r="P872" t="s">
        <v>8</v>
      </c>
      <c r="Q872" t="s">
        <v>8</v>
      </c>
      <c r="R872" t="s">
        <v>8</v>
      </c>
    </row>
    <row r="873" spans="1:18">
      <c r="A873" s="161" t="s">
        <v>2975</v>
      </c>
      <c r="B873" s="31" t="s">
        <v>2986</v>
      </c>
      <c r="C873" s="152">
        <v>7</v>
      </c>
      <c r="D873" s="162"/>
      <c r="E873" s="162"/>
      <c r="F873" s="162"/>
      <c r="G873" s="162"/>
      <c r="H873" s="31" t="s">
        <v>2107</v>
      </c>
      <c r="I873" s="162"/>
      <c r="J873" s="162"/>
      <c r="K873" t="s">
        <v>2997</v>
      </c>
      <c r="L873">
        <v>7</v>
      </c>
      <c r="M873" t="s">
        <v>8</v>
      </c>
      <c r="N873" t="s">
        <v>8</v>
      </c>
      <c r="O873" t="s">
        <v>8</v>
      </c>
      <c r="P873" t="s">
        <v>8</v>
      </c>
      <c r="Q873" t="s">
        <v>8</v>
      </c>
      <c r="R873" t="s">
        <v>8</v>
      </c>
    </row>
    <row r="874" spans="1:18">
      <c r="A874" s="161" t="s">
        <v>2976</v>
      </c>
      <c r="B874" s="31" t="s">
        <v>2135</v>
      </c>
      <c r="C874" s="152">
        <v>7</v>
      </c>
      <c r="D874" s="162"/>
      <c r="E874" s="162"/>
      <c r="F874" s="162"/>
      <c r="G874" s="162"/>
      <c r="H874" s="31" t="s">
        <v>2107</v>
      </c>
      <c r="I874" s="162"/>
      <c r="J874" s="162"/>
      <c r="K874" t="s">
        <v>3053</v>
      </c>
      <c r="L874">
        <v>7</v>
      </c>
      <c r="M874" t="s">
        <v>8</v>
      </c>
      <c r="N874" t="s">
        <v>8</v>
      </c>
      <c r="O874" t="s">
        <v>8</v>
      </c>
      <c r="P874" t="s">
        <v>8</v>
      </c>
      <c r="Q874" t="s">
        <v>8</v>
      </c>
      <c r="R874" t="s">
        <v>8</v>
      </c>
    </row>
    <row r="875" spans="1:18">
      <c r="A875" s="161" t="s">
        <v>2977</v>
      </c>
      <c r="B875" s="31" t="s">
        <v>2981</v>
      </c>
      <c r="C875" s="152">
        <v>7</v>
      </c>
      <c r="D875" s="162"/>
      <c r="E875" s="162"/>
      <c r="F875" s="162"/>
      <c r="G875" s="162"/>
      <c r="H875" s="31" t="s">
        <v>2107</v>
      </c>
      <c r="I875" s="162"/>
      <c r="J875" s="162"/>
      <c r="K875" t="s">
        <v>3053</v>
      </c>
      <c r="L875">
        <v>7</v>
      </c>
      <c r="M875" t="s">
        <v>8</v>
      </c>
      <c r="N875" t="s">
        <v>8</v>
      </c>
      <c r="O875" t="s">
        <v>8</v>
      </c>
      <c r="P875" t="s">
        <v>8</v>
      </c>
      <c r="Q875" t="s">
        <v>8</v>
      </c>
      <c r="R875" t="s">
        <v>8</v>
      </c>
    </row>
    <row r="876" spans="1:18">
      <c r="A876" s="161" t="s">
        <v>2978</v>
      </c>
      <c r="B876" s="31" t="s">
        <v>2984</v>
      </c>
      <c r="C876" s="152">
        <v>7</v>
      </c>
      <c r="D876" s="162"/>
      <c r="E876" s="162"/>
      <c r="F876" s="162"/>
      <c r="G876" s="162"/>
      <c r="H876" s="31" t="s">
        <v>2107</v>
      </c>
      <c r="I876" s="162"/>
      <c r="J876" s="162"/>
      <c r="K876" t="s">
        <v>3054</v>
      </c>
      <c r="L876">
        <v>7</v>
      </c>
      <c r="M876" t="s">
        <v>8</v>
      </c>
      <c r="N876" t="s">
        <v>8</v>
      </c>
      <c r="O876" t="s">
        <v>8</v>
      </c>
      <c r="P876" t="s">
        <v>8</v>
      </c>
      <c r="Q876" t="s">
        <v>8</v>
      </c>
      <c r="R876" t="s">
        <v>8</v>
      </c>
    </row>
  </sheetData>
  <sortState ref="A161:L471">
    <sortCondition ref="A160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X203"/>
  <sheetViews>
    <sheetView topLeftCell="B1" zoomScale="85" zoomScaleNormal="85" workbookViewId="0">
      <selection activeCell="W12" sqref="W12"/>
    </sheetView>
  </sheetViews>
  <sheetFormatPr defaultRowHeight="15"/>
  <cols>
    <col min="1" max="1" width="14.5703125" customWidth="1"/>
    <col min="2" max="2" width="14.5703125" bestFit="1" customWidth="1"/>
    <col min="3" max="3" width="10.85546875" bestFit="1" customWidth="1"/>
    <col min="4" max="4" width="14.140625" bestFit="1" customWidth="1"/>
    <col min="6" max="6" width="11.7109375" bestFit="1" customWidth="1"/>
    <col min="7" max="7" width="21.42578125" bestFit="1" customWidth="1"/>
    <col min="8" max="8" width="26.28515625" bestFit="1" customWidth="1"/>
    <col min="17" max="17" width="9.5703125" customWidth="1"/>
    <col min="23" max="23" width="37.28515625" bestFit="1" customWidth="1"/>
  </cols>
  <sheetData>
    <row r="1" spans="1:24">
      <c r="A1" s="7" t="s">
        <v>29</v>
      </c>
      <c r="B1" s="7" t="s">
        <v>56</v>
      </c>
      <c r="C1" s="7" t="s">
        <v>55</v>
      </c>
      <c r="D1" s="7" t="s">
        <v>57</v>
      </c>
      <c r="E1" s="7" t="s">
        <v>64</v>
      </c>
      <c r="F1" s="7" t="s">
        <v>65</v>
      </c>
      <c r="G1" s="7" t="s">
        <v>66</v>
      </c>
      <c r="H1" s="7" t="s">
        <v>67</v>
      </c>
      <c r="I1" s="7" t="s">
        <v>2375</v>
      </c>
      <c r="J1" s="7" t="s">
        <v>2359</v>
      </c>
      <c r="M1" s="7" t="s">
        <v>3637</v>
      </c>
      <c r="N1" s="7" t="s">
        <v>3521</v>
      </c>
      <c r="R1" s="416" t="s">
        <v>155</v>
      </c>
      <c r="S1" s="416"/>
      <c r="T1" s="416"/>
      <c r="U1" s="416"/>
      <c r="W1" s="94" t="s">
        <v>1360</v>
      </c>
    </row>
    <row r="2" spans="1:24">
      <c r="A2" s="9" t="str">
        <f>IF(Genre="Femelle",Amazone,"NA")</f>
        <v>NA</v>
      </c>
      <c r="B2" s="9" t="str">
        <f>""</f>
        <v/>
      </c>
      <c r="C2" s="9" t="s">
        <v>2360</v>
      </c>
      <c r="D2" s="9" t="s">
        <v>8</v>
      </c>
      <c r="E2" s="9" t="s">
        <v>8</v>
      </c>
      <c r="F2" s="9" t="s">
        <v>3472</v>
      </c>
      <c r="G2" s="9"/>
      <c r="H2" s="9" t="s">
        <v>3484</v>
      </c>
      <c r="I2" s="9" t="s">
        <v>76</v>
      </c>
      <c r="J2" s="9" t="str">
        <f>IF('Feuille 1'!$AE$5="T&amp;P",Autres!I2,IF(Classe=0,"",IFERROR(HLOOKUP(Classe,profil_list_comp,2,FALSE),"")))</f>
        <v/>
      </c>
      <c r="M2" s="9" t="s">
        <v>3638</v>
      </c>
      <c r="N2" s="9">
        <v>10</v>
      </c>
      <c r="R2" s="7" t="s">
        <v>151</v>
      </c>
      <c r="S2" s="7" t="s">
        <v>152</v>
      </c>
      <c r="T2" s="7" t="s">
        <v>153</v>
      </c>
      <c r="U2" s="7" t="s">
        <v>154</v>
      </c>
      <c r="W2" t="str">
        <f>""</f>
        <v/>
      </c>
      <c r="X2" s="7" t="s">
        <v>3855</v>
      </c>
    </row>
    <row r="3" spans="1:24">
      <c r="A3" s="8" t="s">
        <v>2377</v>
      </c>
      <c r="B3" s="8" t="str">
        <f>""</f>
        <v/>
      </c>
      <c r="C3" s="8" t="s">
        <v>2361</v>
      </c>
      <c r="D3" s="8" t="s">
        <v>68</v>
      </c>
      <c r="E3" s="8" t="s">
        <v>76</v>
      </c>
      <c r="F3" s="8" t="s">
        <v>3473</v>
      </c>
      <c r="G3" s="8"/>
      <c r="H3" s="8" t="s">
        <v>3485</v>
      </c>
      <c r="I3" s="8" t="s">
        <v>2376</v>
      </c>
      <c r="J3" s="8" t="str">
        <f>IF('Feuille 1'!$AE$5="T&amp;P",Autres!I3,IF(Classe=0,"",IFERROR(HLOOKUP(Classe,profil_list_comp,3,FALSE),"")))</f>
        <v/>
      </c>
      <c r="M3" s="8" t="s">
        <v>3665</v>
      </c>
      <c r="N3" s="8" t="s">
        <v>0</v>
      </c>
      <c r="R3" s="8">
        <v>0</v>
      </c>
      <c r="S3" s="8">
        <v>-10</v>
      </c>
      <c r="T3" s="8">
        <v>0</v>
      </c>
      <c r="U3" s="8">
        <f>(VLOOKUP(Score_SAG,PFP,2,FALSE)+(VLOOKUP(Score_CON,PFP,3,FALSE)+VLOOKUP(Score_INT,PFP,3,FALSE)))+((10+VLOOKUP(Score_SAG,PFP,3,FALSE))*(MAX(S33:S35)-1))</f>
        <v>-20</v>
      </c>
      <c r="W3" s="96" t="s">
        <v>853</v>
      </c>
      <c r="X3" s="7" t="s">
        <v>3855</v>
      </c>
    </row>
    <row r="4" spans="1:24">
      <c r="A4" s="9" t="s">
        <v>3496</v>
      </c>
      <c r="B4" s="9" t="str">
        <f>""</f>
        <v/>
      </c>
      <c r="C4" s="9" t="s">
        <v>2362</v>
      </c>
      <c r="D4" s="9" t="s">
        <v>69</v>
      </c>
      <c r="E4" s="9" t="s">
        <v>77</v>
      </c>
      <c r="F4" s="9" t="s">
        <v>2378</v>
      </c>
      <c r="G4" s="9"/>
      <c r="H4" s="9" t="s">
        <v>3486</v>
      </c>
      <c r="I4" s="9" t="s">
        <v>78</v>
      </c>
      <c r="J4" s="9" t="str">
        <f>IF('Feuille 1'!$AE$5="T&amp;P",Autres!I4,IF(Classe=0,"",IFERROR(HLOOKUP(Classe,profil_list_comp,4,FALSE),"")))</f>
        <v/>
      </c>
      <c r="M4" s="9" t="s">
        <v>3639</v>
      </c>
      <c r="N4" s="9">
        <v>8</v>
      </c>
      <c r="R4" s="9">
        <v>1</v>
      </c>
      <c r="S4" s="9">
        <v>-8</v>
      </c>
      <c r="T4" s="9">
        <v>0</v>
      </c>
      <c r="U4" s="9">
        <f>IF('Feuille 1'!A103=0,0,VLOOKUP('Feuille 1'!A103,SR,18,FALSE)+4*((ROUNDDOWN(SUM(level,levelc2,levelc3)/classes_qty,0))-('Feuille 1'!AI8)))</f>
        <v>0</v>
      </c>
      <c r="W4" s="95" t="s">
        <v>3843</v>
      </c>
      <c r="X4" t="s">
        <v>3866</v>
      </c>
    </row>
    <row r="5" spans="1:24">
      <c r="A5" s="8" t="s">
        <v>3497</v>
      </c>
      <c r="B5" s="8" t="str">
        <f>""</f>
        <v/>
      </c>
      <c r="C5" s="8" t="s">
        <v>2363</v>
      </c>
      <c r="D5" s="8" t="s">
        <v>70</v>
      </c>
      <c r="E5" s="8" t="s">
        <v>78</v>
      </c>
      <c r="F5" s="8" t="s">
        <v>3474</v>
      </c>
      <c r="G5" s="8"/>
      <c r="H5" s="8" t="s">
        <v>3487</v>
      </c>
      <c r="I5" s="8" t="s">
        <v>2377</v>
      </c>
      <c r="J5" s="8" t="str">
        <f>IF('Feuille 1'!$AE$5="T&amp;P",Autres!I5,IF(Classe=0,"",IFERROR(HLOOKUP(Classe,profil_list_comp,5,FALSE),"")))</f>
        <v/>
      </c>
      <c r="M5" s="8" t="s">
        <v>3640</v>
      </c>
      <c r="N5" s="8">
        <v>8</v>
      </c>
      <c r="R5" s="8">
        <v>2</v>
      </c>
      <c r="S5" s="8">
        <v>-6</v>
      </c>
      <c r="T5" s="8">
        <v>0</v>
      </c>
      <c r="U5" s="8">
        <f>SUM(U3:U4)</f>
        <v>-20</v>
      </c>
      <c r="W5" s="96" t="s">
        <v>854</v>
      </c>
      <c r="X5" s="7" t="s">
        <v>3855</v>
      </c>
    </row>
    <row r="6" spans="1:24">
      <c r="A6" s="9" t="s">
        <v>82</v>
      </c>
      <c r="B6" s="9" t="str">
        <f>""</f>
        <v/>
      </c>
      <c r="C6" s="9" t="s">
        <v>2364</v>
      </c>
      <c r="D6" s="9" t="s">
        <v>71</v>
      </c>
      <c r="E6" s="9" t="s">
        <v>79</v>
      </c>
      <c r="F6" s="9" t="s">
        <v>3475</v>
      </c>
      <c r="G6" s="9"/>
      <c r="H6" s="9" t="s">
        <v>3488</v>
      </c>
      <c r="I6" s="9" t="s">
        <v>2378</v>
      </c>
      <c r="J6" s="9" t="str">
        <f>IF('Feuille 1'!$AE$5="T&amp;P",Autres!I6,IF(Classe=0,"",IFERROR(HLOOKUP(Classe,profil_list_comp,6,FALSE),"")))</f>
        <v/>
      </c>
      <c r="M6" s="9" t="s">
        <v>3641</v>
      </c>
      <c r="N6" s="9">
        <v>7</v>
      </c>
      <c r="R6" s="9">
        <v>3</v>
      </c>
      <c r="S6" s="9">
        <v>-4</v>
      </c>
      <c r="T6" s="9">
        <v>0</v>
      </c>
      <c r="U6" s="9"/>
      <c r="W6" s="95" t="s">
        <v>3921</v>
      </c>
      <c r="X6" s="7" t="s">
        <v>3855</v>
      </c>
    </row>
    <row r="7" spans="1:24">
      <c r="A7" s="8" t="s">
        <v>3498</v>
      </c>
      <c r="B7" s="8" t="str">
        <f>""</f>
        <v/>
      </c>
      <c r="C7" s="8" t="s">
        <v>2365</v>
      </c>
      <c r="D7" s="8" t="s">
        <v>72</v>
      </c>
      <c r="E7" s="8" t="s">
        <v>80</v>
      </c>
      <c r="F7" s="8" t="s">
        <v>3476</v>
      </c>
      <c r="G7" s="8"/>
      <c r="H7" s="8" t="s">
        <v>3489</v>
      </c>
      <c r="I7" s="8" t="s">
        <v>2379</v>
      </c>
      <c r="J7" s="8" t="str">
        <f>IF('Feuille 1'!$AE$5="T&amp;P",Autres!I7,IF(Classe=0,"",IFERROR(HLOOKUP(Classe,profil_list_comp,7,FALSE),"")))</f>
        <v/>
      </c>
      <c r="M7" s="8" t="s">
        <v>3642</v>
      </c>
      <c r="N7" s="8">
        <v>7</v>
      </c>
      <c r="R7" s="8">
        <v>4</v>
      </c>
      <c r="S7" s="8">
        <v>-2</v>
      </c>
      <c r="T7" s="8">
        <v>0</v>
      </c>
      <c r="U7" s="8"/>
      <c r="W7" s="96" t="s">
        <v>882</v>
      </c>
      <c r="X7" s="7" t="s">
        <v>3855</v>
      </c>
    </row>
    <row r="8" spans="1:24">
      <c r="A8" s="9" t="s">
        <v>3499</v>
      </c>
      <c r="B8" s="9" t="str">
        <f>""</f>
        <v/>
      </c>
      <c r="C8" s="9" t="s">
        <v>2366</v>
      </c>
      <c r="D8" s="9" t="s">
        <v>73</v>
      </c>
      <c r="E8" s="9" t="s">
        <v>81</v>
      </c>
      <c r="F8" s="9" t="s">
        <v>3477</v>
      </c>
      <c r="G8" s="9"/>
      <c r="H8" s="9" t="s">
        <v>3490</v>
      </c>
      <c r="I8" s="9" t="s">
        <v>2380</v>
      </c>
      <c r="J8" s="9" t="str">
        <f>IF('Feuille 1'!$AE$5="T&amp;P",Autres!I8,IF(Classe=0,"",IFERROR(HLOOKUP(Classe,profil_list_comp,8,FALSE),"")))</f>
        <v/>
      </c>
      <c r="M8" s="9" t="s">
        <v>3643</v>
      </c>
      <c r="N8" s="9">
        <v>6</v>
      </c>
      <c r="R8" s="9">
        <v>5</v>
      </c>
      <c r="S8" s="9">
        <v>0</v>
      </c>
      <c r="T8" s="9">
        <v>0</v>
      </c>
      <c r="U8" s="9"/>
      <c r="W8" s="95" t="s">
        <v>884</v>
      </c>
      <c r="X8" s="7" t="s">
        <v>3855</v>
      </c>
    </row>
    <row r="9" spans="1:24">
      <c r="A9" s="8" t="s">
        <v>1525</v>
      </c>
      <c r="B9" s="8" t="str">
        <f>""</f>
        <v/>
      </c>
      <c r="C9" s="8" t="s">
        <v>2367</v>
      </c>
      <c r="D9" s="8" t="s">
        <v>74</v>
      </c>
      <c r="E9" s="8" t="s">
        <v>82</v>
      </c>
      <c r="F9" s="8" t="s">
        <v>3478</v>
      </c>
      <c r="G9" s="8"/>
      <c r="H9" s="8" t="s">
        <v>2386</v>
      </c>
      <c r="I9" s="8" t="s">
        <v>2381</v>
      </c>
      <c r="J9" s="8" t="str">
        <f>IF('Feuille 1'!$AE$5="T&amp;P",Autres!I9,IF(Classe=0,"",IFERROR(HLOOKUP(Classe,profil_list_comp,9,FALSE),"")))</f>
        <v/>
      </c>
      <c r="M9" s="8" t="s">
        <v>1133</v>
      </c>
      <c r="N9" s="8">
        <v>6</v>
      </c>
      <c r="R9" s="8">
        <v>6</v>
      </c>
      <c r="S9" s="8">
        <v>2</v>
      </c>
      <c r="T9" s="8">
        <v>0</v>
      </c>
      <c r="U9" s="8"/>
      <c r="W9" s="96" t="s">
        <v>883</v>
      </c>
      <c r="X9" s="7" t="s">
        <v>3855</v>
      </c>
    </row>
    <row r="10" spans="1:24">
      <c r="A10" s="9" t="s">
        <v>3500</v>
      </c>
      <c r="B10" s="9" t="str">
        <f>""</f>
        <v/>
      </c>
      <c r="C10" s="9" t="s">
        <v>2368</v>
      </c>
      <c r="D10" s="9" t="s">
        <v>75</v>
      </c>
      <c r="E10" s="9" t="s">
        <v>83</v>
      </c>
      <c r="F10" s="9" t="s">
        <v>3479</v>
      </c>
      <c r="G10" s="9"/>
      <c r="H10" s="9" t="s">
        <v>3491</v>
      </c>
      <c r="I10" s="9" t="s">
        <v>2382</v>
      </c>
      <c r="J10" s="9" t="str">
        <f>IF('Feuille 1'!$AE$5="T&amp;P",Autres!I10,IF(Classe=0,"",IFERROR(HLOOKUP(Classe,profil_list_comp,10,FALSE),"")))</f>
        <v/>
      </c>
      <c r="M10" s="9" t="s">
        <v>3644</v>
      </c>
      <c r="N10" s="9">
        <v>6</v>
      </c>
      <c r="R10" s="9">
        <v>7</v>
      </c>
      <c r="S10" s="9">
        <v>4</v>
      </c>
      <c r="T10" s="9">
        <v>0</v>
      </c>
      <c r="U10" s="9"/>
      <c r="W10" s="95" t="s">
        <v>885</v>
      </c>
      <c r="X10" s="7" t="s">
        <v>3855</v>
      </c>
    </row>
    <row r="11" spans="1:24">
      <c r="A11" s="8" t="s">
        <v>3501</v>
      </c>
      <c r="B11" s="8" t="str">
        <f>""</f>
        <v/>
      </c>
      <c r="C11" s="8" t="s">
        <v>2369</v>
      </c>
      <c r="D11" s="8" t="str">
        <f>""</f>
        <v/>
      </c>
      <c r="E11" s="8" t="s">
        <v>84</v>
      </c>
      <c r="F11" s="8" t="s">
        <v>3480</v>
      </c>
      <c r="G11" s="8"/>
      <c r="H11" s="8" t="s">
        <v>3492</v>
      </c>
      <c r="I11" s="8" t="s">
        <v>2383</v>
      </c>
      <c r="J11" s="8" t="str">
        <f>IF('Feuille 1'!$AE$5="T&amp;P",Autres!I11,IF(Classe=0,"",IFERROR(HLOOKUP(Classe,profil_list_comp,11,FALSE),"")))</f>
        <v/>
      </c>
      <c r="M11" s="8" t="s">
        <v>3645</v>
      </c>
      <c r="N11" s="8">
        <v>5</v>
      </c>
      <c r="R11" s="8">
        <v>8</v>
      </c>
      <c r="S11" s="8">
        <v>6</v>
      </c>
      <c r="T11" s="8">
        <v>0</v>
      </c>
      <c r="U11" s="8"/>
      <c r="W11" s="96" t="s">
        <v>3927</v>
      </c>
      <c r="X11" s="7" t="s">
        <v>3855</v>
      </c>
    </row>
    <row r="12" spans="1:24">
      <c r="A12" s="9" t="s">
        <v>2394</v>
      </c>
      <c r="B12" s="9" t="str">
        <f>""</f>
        <v/>
      </c>
      <c r="C12" s="9" t="s">
        <v>2370</v>
      </c>
      <c r="D12" s="9" t="str">
        <f>""</f>
        <v/>
      </c>
      <c r="E12" s="9" t="s">
        <v>85</v>
      </c>
      <c r="F12" s="9" t="s">
        <v>3481</v>
      </c>
      <c r="G12" s="9"/>
      <c r="H12" s="9" t="s">
        <v>3493</v>
      </c>
      <c r="I12" s="9" t="s">
        <v>86</v>
      </c>
      <c r="J12" s="9" t="str">
        <f>IF('Feuille 1'!$AE$5="T&amp;P",Autres!I12,IF(Classe=0,"",IFERROR(HLOOKUP(Classe,profil_list_comp,12,FALSE),"")))</f>
        <v/>
      </c>
      <c r="M12" s="9" t="s">
        <v>3646</v>
      </c>
      <c r="N12" s="9">
        <v>4</v>
      </c>
      <c r="R12" s="9">
        <v>9</v>
      </c>
      <c r="S12" s="9">
        <v>8</v>
      </c>
      <c r="T12" s="9">
        <v>0</v>
      </c>
      <c r="U12" s="9"/>
      <c r="W12" s="95" t="s">
        <v>861</v>
      </c>
      <c r="X12" s="7" t="s">
        <v>3855</v>
      </c>
    </row>
    <row r="13" spans="1:24">
      <c r="A13" s="8" t="s">
        <v>3502</v>
      </c>
      <c r="B13" s="8" t="str">
        <f>""</f>
        <v/>
      </c>
      <c r="C13" s="8" t="s">
        <v>2371</v>
      </c>
      <c r="D13" s="8" t="str">
        <f>""</f>
        <v/>
      </c>
      <c r="E13" s="8" t="s">
        <v>86</v>
      </c>
      <c r="F13" s="8" t="s">
        <v>3482</v>
      </c>
      <c r="G13" s="8" t="str">
        <f>""</f>
        <v/>
      </c>
      <c r="H13" s="8" t="s">
        <v>3494</v>
      </c>
      <c r="I13" s="8" t="s">
        <v>2384</v>
      </c>
      <c r="J13" s="8" t="str">
        <f>IF('Feuille 1'!$AE$5="T&amp;P",Autres!I13,IF(Classe=0,"",IFERROR(HLOOKUP(Classe,profil_list_comp,13,FALSE),"")))</f>
        <v/>
      </c>
      <c r="M13" s="8" t="s">
        <v>3647</v>
      </c>
      <c r="N13" s="8">
        <v>4</v>
      </c>
      <c r="R13" s="8">
        <v>10</v>
      </c>
      <c r="S13" s="8">
        <v>10</v>
      </c>
      <c r="T13" s="8">
        <v>0</v>
      </c>
      <c r="U13" s="8"/>
      <c r="W13" s="96" t="s">
        <v>296</v>
      </c>
      <c r="X13" s="7" t="s">
        <v>296</v>
      </c>
    </row>
    <row r="14" spans="1:24">
      <c r="A14" s="9" t="s">
        <v>2396</v>
      </c>
      <c r="B14" s="9" t="str">
        <f>""</f>
        <v/>
      </c>
      <c r="C14" s="9" t="s">
        <v>2372</v>
      </c>
      <c r="D14" s="9" t="str">
        <f>""</f>
        <v/>
      </c>
      <c r="E14" s="9" t="s">
        <v>87</v>
      </c>
      <c r="F14" s="9" t="s">
        <v>3483</v>
      </c>
      <c r="G14" s="9" t="str">
        <f>""</f>
        <v/>
      </c>
      <c r="H14" s="9" t="s">
        <v>2396</v>
      </c>
      <c r="I14" s="9" t="s">
        <v>1525</v>
      </c>
      <c r="J14" s="9" t="str">
        <f>IF('Feuille 1'!$AE$5="T&amp;P",Autres!I14,IF(Classe=0,"",IFERROR(HLOOKUP(Classe,profil_list_comp,14,FALSE),"")))</f>
        <v/>
      </c>
      <c r="M14" s="9" t="s">
        <v>3648</v>
      </c>
      <c r="N14" s="9">
        <v>4</v>
      </c>
      <c r="R14" s="9">
        <v>11</v>
      </c>
      <c r="S14" s="9">
        <v>12</v>
      </c>
      <c r="T14" s="9">
        <v>0</v>
      </c>
      <c r="U14" s="9"/>
      <c r="W14" s="95" t="s">
        <v>295</v>
      </c>
      <c r="X14" s="7" t="s">
        <v>3857</v>
      </c>
    </row>
    <row r="15" spans="1:24">
      <c r="A15" s="8" t="s">
        <v>2397</v>
      </c>
      <c r="B15" s="8" t="str">
        <f>""</f>
        <v/>
      </c>
      <c r="C15" s="8" t="s">
        <v>2373</v>
      </c>
      <c r="D15" s="8" t="str">
        <f>""</f>
        <v/>
      </c>
      <c r="E15" s="8" t="s">
        <v>88</v>
      </c>
      <c r="F15" s="8"/>
      <c r="G15" s="8" t="str">
        <f>""</f>
        <v/>
      </c>
      <c r="H15" s="8" t="s">
        <v>3495</v>
      </c>
      <c r="I15" s="8" t="s">
        <v>2385</v>
      </c>
      <c r="J15" s="8" t="str">
        <f>IF('Feuille 1'!$AE$5="T&amp;P",Autres!I15,IF(Classe=0,"",IFERROR(HLOOKUP(Classe,profil_list_comp,15,FALSE),"")))</f>
        <v/>
      </c>
      <c r="M15" s="8" t="s">
        <v>1136</v>
      </c>
      <c r="N15" s="8">
        <v>3</v>
      </c>
      <c r="R15" s="8">
        <v>12</v>
      </c>
      <c r="S15" s="8">
        <v>14</v>
      </c>
      <c r="T15" s="8">
        <v>0</v>
      </c>
      <c r="U15" s="8"/>
      <c r="W15" s="96" t="s">
        <v>888</v>
      </c>
      <c r="X15" s="7" t="s">
        <v>3855</v>
      </c>
    </row>
    <row r="16" spans="1:24">
      <c r="A16" s="9" t="str">
        <f>""</f>
        <v/>
      </c>
      <c r="B16" s="9" t="str">
        <f>""</f>
        <v/>
      </c>
      <c r="C16" s="9" t="s">
        <v>2374</v>
      </c>
      <c r="D16" s="9" t="str">
        <f>""</f>
        <v/>
      </c>
      <c r="E16" s="9" t="s">
        <v>89</v>
      </c>
      <c r="F16" s="9"/>
      <c r="G16" s="9" t="str">
        <f>""</f>
        <v/>
      </c>
      <c r="H16" s="9" t="str">
        <f>""</f>
        <v/>
      </c>
      <c r="I16" s="9" t="s">
        <v>2386</v>
      </c>
      <c r="J16" s="9" t="str">
        <f>IF('Feuille 1'!$AE$5="T&amp;P",Autres!I16,IF(Classe=0,"",IFERROR(HLOOKUP(Classe,profil_list_comp,16,FALSE),"")))</f>
        <v/>
      </c>
      <c r="M16" s="9" t="s">
        <v>3649</v>
      </c>
      <c r="N16" s="9">
        <v>2</v>
      </c>
      <c r="R16" s="9">
        <v>13</v>
      </c>
      <c r="S16" s="9">
        <v>16</v>
      </c>
      <c r="T16" s="9">
        <v>0</v>
      </c>
      <c r="U16" s="9"/>
      <c r="W16" s="95" t="s">
        <v>886</v>
      </c>
      <c r="X16" s="7" t="s">
        <v>3855</v>
      </c>
    </row>
    <row r="17" spans="1:24">
      <c r="A17" s="8" t="str">
        <f>""</f>
        <v/>
      </c>
      <c r="B17" s="8" t="str">
        <f>""</f>
        <v/>
      </c>
      <c r="C17" s="8" t="str">
        <f>""</f>
        <v/>
      </c>
      <c r="D17" s="8" t="str">
        <f>""</f>
        <v/>
      </c>
      <c r="E17" s="8" t="s">
        <v>90</v>
      </c>
      <c r="F17" s="8"/>
      <c r="G17" s="8" t="str">
        <f>""</f>
        <v/>
      </c>
      <c r="H17" s="8" t="str">
        <f>""</f>
        <v/>
      </c>
      <c r="I17" s="8" t="s">
        <v>2387</v>
      </c>
      <c r="J17" s="8" t="str">
        <f>IF('Feuille 1'!$AE$5="T&amp;P",Autres!I17,IF(Classe=0,"",IFERROR(HLOOKUP(Classe,profil_list_comp,17,FALSE),"")))</f>
        <v/>
      </c>
      <c r="M17" s="8" t="s">
        <v>3650</v>
      </c>
      <c r="N17" s="8">
        <v>1</v>
      </c>
      <c r="R17" s="8">
        <v>14</v>
      </c>
      <c r="S17" s="8">
        <v>18</v>
      </c>
      <c r="T17" s="8">
        <v>0</v>
      </c>
      <c r="U17" s="8"/>
      <c r="W17" s="96" t="s">
        <v>889</v>
      </c>
      <c r="X17" s="7" t="s">
        <v>3855</v>
      </c>
    </row>
    <row r="18" spans="1:24">
      <c r="A18" s="9" t="str">
        <f>""</f>
        <v/>
      </c>
      <c r="B18" s="9" t="str">
        <f>""</f>
        <v/>
      </c>
      <c r="C18" s="9" t="str">
        <f>""</f>
        <v/>
      </c>
      <c r="D18" s="9" t="str">
        <f>""</f>
        <v/>
      </c>
      <c r="E18" s="9" t="s">
        <v>91</v>
      </c>
      <c r="F18" s="9"/>
      <c r="G18" s="9" t="str">
        <f>""</f>
        <v/>
      </c>
      <c r="H18" s="9" t="str">
        <f>""</f>
        <v/>
      </c>
      <c r="I18" s="9" t="s">
        <v>2388</v>
      </c>
      <c r="J18" s="9" t="str">
        <f>IF('Feuille 1'!$AE$5="T&amp;P",Autres!I18,IF(Classe=0,"",IFERROR(HLOOKUP(Classe,profil_list_comp,18,FALSE),"")))</f>
        <v/>
      </c>
      <c r="M18" s="9">
        <v>0</v>
      </c>
      <c r="N18" s="9">
        <v>10</v>
      </c>
      <c r="R18" s="9">
        <v>15</v>
      </c>
      <c r="S18" s="9">
        <v>20</v>
      </c>
      <c r="T18" s="9">
        <v>0</v>
      </c>
      <c r="U18" s="9"/>
      <c r="W18" s="95" t="s">
        <v>890</v>
      </c>
      <c r="X18" s="7" t="s">
        <v>3855</v>
      </c>
    </row>
    <row r="19" spans="1:24">
      <c r="A19" s="8" t="str">
        <f>""</f>
        <v/>
      </c>
      <c r="B19" s="8" t="str">
        <f>""</f>
        <v/>
      </c>
      <c r="C19" s="8" t="str">
        <f>""</f>
        <v/>
      </c>
      <c r="D19" s="8" t="str">
        <f>""</f>
        <v/>
      </c>
      <c r="E19" s="8" t="s">
        <v>92</v>
      </c>
      <c r="F19" s="8"/>
      <c r="G19" s="8" t="str">
        <f>""</f>
        <v/>
      </c>
      <c r="H19" s="8" t="str">
        <f>""</f>
        <v/>
      </c>
      <c r="I19" s="8" t="s">
        <v>2389</v>
      </c>
      <c r="J19" s="8" t="str">
        <f>IF('Feuille 1'!$AE$5="T&amp;P",Autres!I19,IF(Classe=0,"",IFERROR(HLOOKUP(Classe,profil_list_comp,19,FALSE),"")))</f>
        <v/>
      </c>
      <c r="R19" s="8">
        <v>16</v>
      </c>
      <c r="S19" s="8">
        <v>22</v>
      </c>
      <c r="T19" s="8">
        <v>1</v>
      </c>
      <c r="U19" s="8"/>
      <c r="W19" s="96" t="s">
        <v>1685</v>
      </c>
      <c r="X19" s="7" t="s">
        <v>3855</v>
      </c>
    </row>
    <row r="20" spans="1:24">
      <c r="A20" s="9" t="str">
        <f>""</f>
        <v/>
      </c>
      <c r="B20" s="9" t="str">
        <f>""</f>
        <v/>
      </c>
      <c r="C20" s="9" t="str">
        <f>""</f>
        <v/>
      </c>
      <c r="D20" s="9" t="str">
        <f>""</f>
        <v/>
      </c>
      <c r="E20" s="9" t="s">
        <v>93</v>
      </c>
      <c r="F20" s="9"/>
      <c r="G20" s="9" t="str">
        <f>""</f>
        <v/>
      </c>
      <c r="H20" s="9" t="str">
        <f>""</f>
        <v/>
      </c>
      <c r="I20" s="9" t="s">
        <v>2390</v>
      </c>
      <c r="J20" s="9" t="str">
        <f>IF('Feuille 1'!$AE$5="T&amp;P",Autres!I20,IF(Classe=0,"",IFERROR(HLOOKUP(Classe,profil_list_comp,20,FALSE),"")))</f>
        <v/>
      </c>
      <c r="R20" s="9">
        <v>17</v>
      </c>
      <c r="S20" s="9">
        <v>24</v>
      </c>
      <c r="T20" s="9">
        <v>2</v>
      </c>
      <c r="U20" s="9"/>
      <c r="W20" s="95" t="s">
        <v>852</v>
      </c>
      <c r="X20" s="7" t="s">
        <v>3855</v>
      </c>
    </row>
    <row r="21" spans="1:24">
      <c r="A21" s="8" t="str">
        <f>""</f>
        <v/>
      </c>
      <c r="B21" s="8" t="str">
        <f>""</f>
        <v/>
      </c>
      <c r="C21" s="8" t="str">
        <f>""</f>
        <v/>
      </c>
      <c r="D21" s="8" t="str">
        <f>""</f>
        <v/>
      </c>
      <c r="E21" s="8" t="str">
        <f>""</f>
        <v/>
      </c>
      <c r="F21" s="8" t="str">
        <f>""</f>
        <v/>
      </c>
      <c r="G21" s="8" t="str">
        <f>""</f>
        <v/>
      </c>
      <c r="H21" s="8" t="str">
        <f>""</f>
        <v/>
      </c>
      <c r="I21" s="8" t="s">
        <v>88</v>
      </c>
      <c r="J21" s="8" t="str">
        <f>IF('Feuille 1'!$AE$5="T&amp;P",Autres!I21,IF(Classe=0,"",IFERROR(HLOOKUP(Classe,profil_list_comp,21,FALSE),"")))</f>
        <v/>
      </c>
      <c r="R21" s="8">
        <v>18</v>
      </c>
      <c r="S21" s="8">
        <v>26</v>
      </c>
      <c r="T21" s="8">
        <v>3</v>
      </c>
      <c r="U21" s="8"/>
      <c r="W21" s="96" t="s">
        <v>867</v>
      </c>
      <c r="X21" s="7" t="s">
        <v>3855</v>
      </c>
    </row>
    <row r="22" spans="1:24">
      <c r="A22" s="9" t="str">
        <f>""</f>
        <v/>
      </c>
      <c r="B22" s="9" t="str">
        <f>""</f>
        <v/>
      </c>
      <c r="C22" s="9" t="str">
        <f>""</f>
        <v/>
      </c>
      <c r="D22" s="9" t="str">
        <f>""</f>
        <v/>
      </c>
      <c r="E22" s="9" t="str">
        <f>""</f>
        <v/>
      </c>
      <c r="F22" s="9" t="str">
        <f>""</f>
        <v/>
      </c>
      <c r="G22" s="9" t="str">
        <f>""</f>
        <v/>
      </c>
      <c r="H22" s="9" t="str">
        <f>""</f>
        <v/>
      </c>
      <c r="I22" s="9" t="s">
        <v>2391</v>
      </c>
      <c r="J22" s="9" t="str">
        <f>IF('Feuille 1'!$AE$5="T&amp;P",Autres!I22,IF(Classe=0,"",IFERROR(HLOOKUP(Classe,profil_list_comp,22,FALSE),"")))</f>
        <v/>
      </c>
      <c r="R22" s="9">
        <v>19</v>
      </c>
      <c r="S22" s="9">
        <v>28</v>
      </c>
      <c r="T22" s="9">
        <v>4</v>
      </c>
      <c r="U22" s="9"/>
      <c r="W22" s="95" t="s">
        <v>863</v>
      </c>
      <c r="X22" s="7" t="s">
        <v>3855</v>
      </c>
    </row>
    <row r="23" spans="1:24">
      <c r="A23" s="8" t="str">
        <f>""</f>
        <v/>
      </c>
      <c r="B23" s="8" t="str">
        <f>""</f>
        <v/>
      </c>
      <c r="C23" s="8" t="str">
        <f>""</f>
        <v/>
      </c>
      <c r="D23" s="8" t="str">
        <f>""</f>
        <v/>
      </c>
      <c r="E23" s="8" t="str">
        <f>""</f>
        <v/>
      </c>
      <c r="F23" s="8" t="str">
        <f>""</f>
        <v/>
      </c>
      <c r="G23" s="8" t="str">
        <f>""</f>
        <v/>
      </c>
      <c r="H23" s="8" t="str">
        <f>""</f>
        <v/>
      </c>
      <c r="I23" s="8" t="s">
        <v>2392</v>
      </c>
      <c r="J23" s="8" t="str">
        <f>IF('Feuille 1'!$AE$5="T&amp;P",Autres!I23,IF(Classe=0,"",IFERROR(HLOOKUP(Classe,profil_list_comp,23,FALSE),"")))</f>
        <v/>
      </c>
      <c r="R23" s="8">
        <v>20</v>
      </c>
      <c r="S23" s="8">
        <v>30</v>
      </c>
      <c r="T23" s="8">
        <v>5</v>
      </c>
      <c r="U23" s="8"/>
      <c r="W23" s="96" t="s">
        <v>864</v>
      </c>
      <c r="X23" s="7" t="s">
        <v>3855</v>
      </c>
    </row>
    <row r="24" spans="1:24">
      <c r="A24" s="9" t="str">
        <f>""</f>
        <v/>
      </c>
      <c r="B24" s="9" t="str">
        <f>""</f>
        <v/>
      </c>
      <c r="C24" s="9" t="str">
        <f>""</f>
        <v/>
      </c>
      <c r="D24" s="9" t="str">
        <f>""</f>
        <v/>
      </c>
      <c r="E24" s="9" t="str">
        <f>""</f>
        <v/>
      </c>
      <c r="F24" s="9" t="str">
        <f>""</f>
        <v/>
      </c>
      <c r="G24" s="9" t="str">
        <f>""</f>
        <v/>
      </c>
      <c r="H24" s="9" t="str">
        <f>""</f>
        <v/>
      </c>
      <c r="I24" s="9" t="s">
        <v>1314</v>
      </c>
      <c r="J24" s="9" t="str">
        <f>IF('Feuille 1'!$AE$5="T&amp;P",Autres!I24,IF(Classe=0,"",IFERROR(HLOOKUP(Classe,profil_list_comp,24,FALSE),"")))</f>
        <v/>
      </c>
      <c r="R24" s="9">
        <v>21</v>
      </c>
      <c r="S24" s="9">
        <v>32</v>
      </c>
      <c r="T24" s="9">
        <v>6</v>
      </c>
      <c r="U24" s="9"/>
      <c r="W24" s="95" t="s">
        <v>866</v>
      </c>
      <c r="X24" s="7" t="s">
        <v>3855</v>
      </c>
    </row>
    <row r="25" spans="1:24">
      <c r="A25" s="8" t="str">
        <f>""</f>
        <v/>
      </c>
      <c r="B25" s="8" t="str">
        <f>""</f>
        <v/>
      </c>
      <c r="C25" s="8" t="str">
        <f>""</f>
        <v/>
      </c>
      <c r="D25" s="8" t="str">
        <f>""</f>
        <v/>
      </c>
      <c r="E25" s="8" t="str">
        <f>""</f>
        <v/>
      </c>
      <c r="F25" s="8" t="str">
        <f>""</f>
        <v/>
      </c>
      <c r="G25" s="8" t="str">
        <f>""</f>
        <v/>
      </c>
      <c r="H25" s="8" t="str">
        <f>""</f>
        <v/>
      </c>
      <c r="I25" s="8" t="s">
        <v>2393</v>
      </c>
      <c r="J25" s="8" t="str">
        <f>IF('Feuille 1'!$AE$5="T&amp;P",Autres!I25,IF(Classe=0,"",IFERROR(HLOOKUP(Classe,profil_list_comp,25,FALSE),"")))</f>
        <v/>
      </c>
      <c r="R25" s="8">
        <v>22</v>
      </c>
      <c r="S25" s="8">
        <v>34</v>
      </c>
      <c r="T25" s="8">
        <v>7</v>
      </c>
      <c r="U25" s="8"/>
      <c r="W25" s="96" t="s">
        <v>865</v>
      </c>
      <c r="X25" s="7" t="s">
        <v>3855</v>
      </c>
    </row>
    <row r="26" spans="1:24">
      <c r="A26" s="9" t="str">
        <f>""</f>
        <v/>
      </c>
      <c r="B26" s="9" t="str">
        <f>""</f>
        <v/>
      </c>
      <c r="C26" s="9" t="str">
        <f>""</f>
        <v/>
      </c>
      <c r="D26" s="9" t="str">
        <f>""</f>
        <v/>
      </c>
      <c r="E26" s="9" t="str">
        <f>""</f>
        <v/>
      </c>
      <c r="F26" s="9" t="str">
        <f>""</f>
        <v/>
      </c>
      <c r="G26" s="9" t="str">
        <f>""</f>
        <v/>
      </c>
      <c r="H26" s="9" t="str">
        <f>""</f>
        <v/>
      </c>
      <c r="I26" s="9" t="s">
        <v>2394</v>
      </c>
      <c r="J26" s="9" t="str">
        <f>IF('Feuille 1'!$AE$5="T&amp;P",Autres!I26,IF(Classe=0,"",IFERROR(HLOOKUP(Classe,profil_list_comp,26,FALSE),"")))</f>
        <v/>
      </c>
      <c r="R26" s="9">
        <v>23</v>
      </c>
      <c r="S26" s="9">
        <v>36</v>
      </c>
      <c r="T26" s="9">
        <v>8</v>
      </c>
      <c r="U26" s="9"/>
      <c r="W26" s="95" t="s">
        <v>862</v>
      </c>
      <c r="X26" s="7" t="s">
        <v>3855</v>
      </c>
    </row>
    <row r="27" spans="1:24">
      <c r="A27" s="8" t="str">
        <f>""</f>
        <v/>
      </c>
      <c r="B27" s="8" t="str">
        <f>""</f>
        <v/>
      </c>
      <c r="C27" s="8" t="str">
        <f>""</f>
        <v/>
      </c>
      <c r="D27" s="8" t="str">
        <f>""</f>
        <v/>
      </c>
      <c r="E27" s="8" t="str">
        <f>""</f>
        <v/>
      </c>
      <c r="F27" s="8" t="str">
        <f>""</f>
        <v/>
      </c>
      <c r="G27" s="8" t="str">
        <f>""</f>
        <v/>
      </c>
      <c r="H27" s="8" t="str">
        <f>""</f>
        <v/>
      </c>
      <c r="I27" s="8" t="s">
        <v>2395</v>
      </c>
      <c r="J27" s="8" t="str">
        <f>IF('Feuille 1'!$AE$5="T&amp;P",Autres!I27,IF(Classe=0,"",IFERROR(HLOOKUP(Classe,profil_list_comp,27,FALSE),"")))</f>
        <v/>
      </c>
      <c r="R27" s="8">
        <v>24</v>
      </c>
      <c r="S27" s="8">
        <v>38</v>
      </c>
      <c r="T27" s="8">
        <v>9</v>
      </c>
      <c r="U27" s="8"/>
      <c r="W27" s="96" t="s">
        <v>856</v>
      </c>
      <c r="X27" s="7" t="s">
        <v>3855</v>
      </c>
    </row>
    <row r="28" spans="1:24">
      <c r="A28" s="9" t="str">
        <f>""</f>
        <v/>
      </c>
      <c r="B28" s="9" t="str">
        <f>""</f>
        <v/>
      </c>
      <c r="C28" s="9" t="str">
        <f>""</f>
        <v/>
      </c>
      <c r="D28" s="9" t="str">
        <f>""</f>
        <v/>
      </c>
      <c r="E28" s="9" t="str">
        <f>""</f>
        <v/>
      </c>
      <c r="F28" s="9" t="str">
        <f>""</f>
        <v/>
      </c>
      <c r="G28" s="9" t="str">
        <f>""</f>
        <v/>
      </c>
      <c r="H28" s="9" t="str">
        <f>""</f>
        <v/>
      </c>
      <c r="I28" s="9" t="s">
        <v>2396</v>
      </c>
      <c r="J28" s="9" t="str">
        <f>IF('Feuille 1'!$AE$5="T&amp;P",Autres!I28,IF(Classe=0,"",IFERROR(HLOOKUP(Classe,profil_list_comp,28,FALSE),"")))</f>
        <v/>
      </c>
      <c r="R28" s="9">
        <v>25</v>
      </c>
      <c r="S28" s="9">
        <v>40</v>
      </c>
      <c r="T28" s="9">
        <v>10</v>
      </c>
      <c r="U28" s="9"/>
      <c r="W28" s="95" t="s">
        <v>1527</v>
      </c>
      <c r="X28" s="7" t="s">
        <v>3855</v>
      </c>
    </row>
    <row r="29" spans="1:24">
      <c r="A29" s="8" t="str">
        <f>""</f>
        <v/>
      </c>
      <c r="B29" s="8" t="str">
        <f>""</f>
        <v/>
      </c>
      <c r="C29" s="8" t="str">
        <f>""</f>
        <v/>
      </c>
      <c r="D29" s="8" t="str">
        <f>""</f>
        <v/>
      </c>
      <c r="E29" s="8" t="str">
        <f>""</f>
        <v/>
      </c>
      <c r="F29" s="8" t="str">
        <f>""</f>
        <v/>
      </c>
      <c r="G29" s="8" t="str">
        <f>""</f>
        <v/>
      </c>
      <c r="H29" s="8" t="str">
        <f>""</f>
        <v/>
      </c>
      <c r="I29" s="8" t="s">
        <v>90</v>
      </c>
      <c r="J29" s="8" t="str">
        <f>IF('Feuille 1'!$AE$5="T&amp;P",Autres!I29,IF(Classe=0,"",IFERROR(HLOOKUP(Classe,profil_list_comp,29,FALSE),"")))</f>
        <v/>
      </c>
      <c r="W29" s="96" t="s">
        <v>887</v>
      </c>
      <c r="X29" s="7" t="s">
        <v>3855</v>
      </c>
    </row>
    <row r="30" spans="1:24">
      <c r="A30" s="9" t="str">
        <f>""</f>
        <v/>
      </c>
      <c r="B30" s="9" t="str">
        <f>""</f>
        <v/>
      </c>
      <c r="C30" s="9" t="str">
        <f>""</f>
        <v/>
      </c>
      <c r="D30" s="9" t="str">
        <f>""</f>
        <v/>
      </c>
      <c r="E30" s="9" t="str">
        <f>""</f>
        <v/>
      </c>
      <c r="F30" s="9" t="str">
        <f>""</f>
        <v/>
      </c>
      <c r="G30" s="9" t="str">
        <f>""</f>
        <v/>
      </c>
      <c r="H30" s="9" t="str">
        <f>""</f>
        <v/>
      </c>
      <c r="I30" s="9" t="s">
        <v>2397</v>
      </c>
      <c r="J30" s="9" t="str">
        <f>IF('Feuille 1'!$AE$5="T&amp;P",Autres!I30,IF(Classe=0,"",IFERROR(HLOOKUP(Classe,profil_list_comp,30,FALSE),"")))</f>
        <v/>
      </c>
      <c r="W30" s="95" t="s">
        <v>1526</v>
      </c>
      <c r="X30" s="7" t="s">
        <v>3855</v>
      </c>
    </row>
    <row r="31" spans="1:24">
      <c r="A31" s="8" t="str">
        <f>""</f>
        <v/>
      </c>
      <c r="B31" s="8" t="str">
        <f>""</f>
        <v/>
      </c>
      <c r="C31" s="8" t="str">
        <f>""</f>
        <v/>
      </c>
      <c r="D31" s="8" t="str">
        <f>""</f>
        <v/>
      </c>
      <c r="E31" s="8" t="str">
        <f>""</f>
        <v/>
      </c>
      <c r="F31" s="8" t="str">
        <f>""</f>
        <v/>
      </c>
      <c r="G31" s="8" t="str">
        <f>""</f>
        <v/>
      </c>
      <c r="H31" s="8" t="str">
        <f>""</f>
        <v/>
      </c>
      <c r="I31" s="8" t="s">
        <v>2398</v>
      </c>
      <c r="J31" s="8" t="str">
        <f>IF('Feuille 1'!$AE$5="T&amp;P",Autres!I31,IF(Classe=0,"",IFERROR(HLOOKUP(Classe,profil_list_comp,31,FALSE),"")))</f>
        <v/>
      </c>
      <c r="W31" s="96" t="s">
        <v>3856</v>
      </c>
      <c r="X31" t="s">
        <v>3856</v>
      </c>
    </row>
    <row r="32" spans="1:24">
      <c r="R32" t="s">
        <v>192</v>
      </c>
      <c r="W32" s="95" t="s">
        <v>297</v>
      </c>
      <c r="X32" s="7" t="s">
        <v>3855</v>
      </c>
    </row>
    <row r="33" spans="11:24">
      <c r="R33" t="s">
        <v>3469</v>
      </c>
      <c r="S33">
        <f>IF(Classe="Psioniste",level,0)</f>
        <v>0</v>
      </c>
      <c r="W33" s="96" t="s">
        <v>855</v>
      </c>
      <c r="X33" s="7" t="s">
        <v>3855</v>
      </c>
    </row>
    <row r="34" spans="11:24">
      <c r="R34" t="s">
        <v>3470</v>
      </c>
      <c r="S34">
        <f>IF(Classe2="Psioniste",levelc2,0)</f>
        <v>0</v>
      </c>
      <c r="W34" s="95" t="s">
        <v>294</v>
      </c>
      <c r="X34" s="7" t="s">
        <v>3855</v>
      </c>
    </row>
    <row r="35" spans="11:24">
      <c r="R35" t="s">
        <v>3471</v>
      </c>
      <c r="S35">
        <f>IF(Classe3="Psioniste",levelc3,0)</f>
        <v>0</v>
      </c>
    </row>
    <row r="43" spans="11:24">
      <c r="K43" s="211" t="s">
        <v>3521</v>
      </c>
      <c r="L43" s="211" t="s">
        <v>3652</v>
      </c>
      <c r="M43" s="211" t="s">
        <v>731</v>
      </c>
      <c r="N43" s="211"/>
      <c r="O43" s="211" t="s">
        <v>3656</v>
      </c>
      <c r="P43" s="211"/>
    </row>
    <row r="44" spans="11:24">
      <c r="N44" s="9">
        <f>IF(ISTEXT(VLOOKUP(Race,Race_stats,9,FALSE)),10,VLOOKUP(Race,Race_stats,9,FALSE))</f>
        <v>10</v>
      </c>
      <c r="O44" t="b">
        <f>IF(ISTEXT(VLOOKUP(Race,Race_stats,9,FALSE)),FALSE,TRUE)</f>
        <v>0</v>
      </c>
      <c r="P44">
        <f>IF(O44=TRUE,1,2)</f>
        <v>2</v>
      </c>
    </row>
    <row r="45" spans="11:24">
      <c r="K45" s="214" t="s">
        <v>248</v>
      </c>
      <c r="L45" s="214">
        <f>'Feuille 1'!K33</f>
        <v>0</v>
      </c>
      <c r="M45" s="214">
        <f>'Feuille 1'!A33</f>
        <v>0</v>
      </c>
      <c r="N45" s="214">
        <f>VLOOKUP(M45,Tab_armures,2,FALSE)-L45</f>
        <v>10</v>
      </c>
      <c r="O45" s="214" t="b">
        <f>IF(AND(M45&lt;&gt;0,M45&lt;&gt;"bracelets"),TRUE,FALSE)</f>
        <v>0</v>
      </c>
      <c r="P45" s="214">
        <f>IF(O45=TRUE,N45,IF(O46=TRUE,0,10))</f>
        <v>10</v>
      </c>
      <c r="Q45">
        <f>IF(P45&gt;=N44,IF(M45=0,N44,N44-1-L45),P45)</f>
        <v>10</v>
      </c>
    </row>
    <row r="46" spans="11:24">
      <c r="K46" s="215" t="s">
        <v>248</v>
      </c>
      <c r="L46" s="215">
        <f>'Feuille 1'!K33</f>
        <v>0</v>
      </c>
      <c r="M46" s="215">
        <f>'Feuille 1'!A33</f>
        <v>0</v>
      </c>
      <c r="N46" s="215">
        <f>IF(M46="bracelets",IF(COUNTBLANK('Feuille 1'!K33)=1,9,L46),0)</f>
        <v>0</v>
      </c>
      <c r="O46" s="215" t="b">
        <f>IF(AND(M46&lt;&gt;0,M46="bracelets"),TRUE,FALSE)</f>
        <v>0</v>
      </c>
      <c r="P46" s="215">
        <f>IF(O46=TRUE,N46,0)</f>
        <v>0</v>
      </c>
      <c r="Q46">
        <f>IF(P46&gt;=N44,N44-1,P46)</f>
        <v>0</v>
      </c>
    </row>
    <row r="47" spans="11:24">
      <c r="K47" s="215" t="s">
        <v>3651</v>
      </c>
      <c r="L47" s="215" t="str">
        <f>'Feuille 1'!V11</f>
        <v/>
      </c>
      <c r="M47" s="215" t="s">
        <v>0</v>
      </c>
      <c r="N47" s="215" t="str">
        <f>L47</f>
        <v/>
      </c>
      <c r="O47" s="215" t="b">
        <f>IF(OR(L47=0,L47=""),FALSE,TRUE)</f>
        <v>0</v>
      </c>
      <c r="P47" s="215">
        <f>IF(O47=TRUE,N47,0)</f>
        <v>0</v>
      </c>
    </row>
    <row r="48" spans="11:24">
      <c r="K48" s="214" t="s">
        <v>3655</v>
      </c>
      <c r="L48" s="214">
        <f>'Feuille 1'!K35</f>
        <v>0</v>
      </c>
      <c r="M48" s="214">
        <f>'Feuille 1'!A35</f>
        <v>0</v>
      </c>
      <c r="N48" s="214">
        <f>IF(M48&lt;&gt;0,-1-L48,0)</f>
        <v>0</v>
      </c>
      <c r="O48" s="214" t="b">
        <f>IF(M48&lt;&gt;0,TRUE,FALSE)</f>
        <v>0</v>
      </c>
      <c r="P48" s="214">
        <f t="shared" ref="P48" si="0">IF(O48=TRUE,N48,0)</f>
        <v>0</v>
      </c>
    </row>
    <row r="49" spans="2:17">
      <c r="D49" s="31"/>
      <c r="K49" s="215" t="s">
        <v>3653</v>
      </c>
      <c r="L49" s="215">
        <f>'Feuille 1'!K37</f>
        <v>0</v>
      </c>
      <c r="M49" s="215">
        <f>'Feuille 1'!A37</f>
        <v>0</v>
      </c>
      <c r="N49" s="215">
        <f>IF(M49="anneau",-L49,0)</f>
        <v>0</v>
      </c>
      <c r="O49" s="215" t="b">
        <f>IF(M49="anneau",IF(OR(AND(M45="Armure de cuir",L45=0),M45="Aucune",M45=0),TRUE,FALSE),FALSE)</f>
        <v>0</v>
      </c>
      <c r="P49" s="215">
        <f>IF(O49=TRUE,N49,0)</f>
        <v>0</v>
      </c>
    </row>
    <row r="50" spans="2:17">
      <c r="D50" s="24"/>
      <c r="K50" s="214" t="s">
        <v>3654</v>
      </c>
      <c r="L50" s="214">
        <f>'Feuille 1'!K38</f>
        <v>0</v>
      </c>
      <c r="M50" s="214">
        <f>'Feuille 1'!A38</f>
        <v>0</v>
      </c>
      <c r="N50" s="214">
        <f>IF(M50="anneau",-L50,0)</f>
        <v>0</v>
      </c>
      <c r="O50" s="214" t="b">
        <f>IF(M50="anneau",IF(OR(AND(M45="Armure de cuir",L45=0),M45="Aucune",M45=0),TRUE,FALSE),FALSE)</f>
        <v>0</v>
      </c>
      <c r="P50" s="214">
        <f>IF(O50=TRUE,N50,0)</f>
        <v>0</v>
      </c>
    </row>
    <row r="51" spans="2:17">
      <c r="D51" s="24"/>
      <c r="K51" s="215" t="s">
        <v>3657</v>
      </c>
      <c r="L51" s="215">
        <f>'Feuille 1'!K37</f>
        <v>0</v>
      </c>
      <c r="M51" s="215">
        <f>'Feuille 1'!A37</f>
        <v>0</v>
      </c>
      <c r="N51" s="215">
        <f>IF(M51="cape",-L51,0)</f>
        <v>0</v>
      </c>
      <c r="O51" s="215" t="b">
        <f>IF(M51="cape",TRUE,FALSE)</f>
        <v>0</v>
      </c>
      <c r="P51" s="215">
        <f t="shared" ref="P51" si="1">IF(O51=TRUE,N51,0)</f>
        <v>0</v>
      </c>
    </row>
    <row r="52" spans="2:17">
      <c r="D52" s="24"/>
      <c r="K52" s="214" t="s">
        <v>3658</v>
      </c>
      <c r="L52" s="214">
        <f>'Feuille 1'!K38</f>
        <v>0</v>
      </c>
      <c r="M52" s="214">
        <f>'Feuille 1'!A38</f>
        <v>0</v>
      </c>
      <c r="N52" s="214">
        <f>IF(M52="cape",-L52,0)</f>
        <v>0</v>
      </c>
      <c r="O52" s="214" t="b">
        <f>IF(M52="cape",TRUE,FALSE)</f>
        <v>0</v>
      </c>
      <c r="P52" s="214">
        <f>IF(O52=TRUE,N52,0)</f>
        <v>0</v>
      </c>
    </row>
    <row r="53" spans="2:17">
      <c r="B53" s="211" t="s">
        <v>3850</v>
      </c>
      <c r="C53" s="231" t="s">
        <v>3849</v>
      </c>
      <c r="D53" s="230"/>
      <c r="K53" s="215" t="s">
        <v>3659</v>
      </c>
      <c r="L53" s="215">
        <f>'Feuille 1'!K37</f>
        <v>0</v>
      </c>
      <c r="M53" s="215">
        <f>'Feuille 1'!A37</f>
        <v>0</v>
      </c>
      <c r="N53" s="215">
        <f>IF(M53="amulette",-L53,0)</f>
        <v>0</v>
      </c>
      <c r="O53" s="215" t="b">
        <f>IF(M53="amulette",TRUE,FALSE)</f>
        <v>0</v>
      </c>
      <c r="P53" s="215">
        <f>IF(O53=TRUE,N53,0)</f>
        <v>0</v>
      </c>
    </row>
    <row r="54" spans="2:17">
      <c r="B54" t="s">
        <v>3846</v>
      </c>
      <c r="C54" t="b">
        <f>IF(psio_version="2.0",TRUE,FALSE)</f>
        <v>1</v>
      </c>
      <c r="D54" s="24"/>
      <c r="K54" s="214" t="s">
        <v>3660</v>
      </c>
      <c r="L54" s="214">
        <f>'Feuille 1'!K38</f>
        <v>0</v>
      </c>
      <c r="M54" s="214">
        <f>'Feuille 1'!A38</f>
        <v>0</v>
      </c>
      <c r="N54" s="214">
        <f>IF(M54="amulette",-L54,0)</f>
        <v>0</v>
      </c>
      <c r="O54" s="214" t="b">
        <f>IF(M54="amulette",TRUE,FALSE)</f>
        <v>0</v>
      </c>
      <c r="P54" s="214">
        <f>IF(O54=TRUE,N54,0)</f>
        <v>0</v>
      </c>
    </row>
    <row r="55" spans="2:17">
      <c r="B55" t="s">
        <v>3847</v>
      </c>
      <c r="C55" t="b">
        <f>IF(psio_version="2.5",TRUE,FALSE)</f>
        <v>0</v>
      </c>
      <c r="D55" s="24"/>
      <c r="K55" s="215" t="s">
        <v>3661</v>
      </c>
      <c r="L55" s="215">
        <f>'Feuille 1'!K37</f>
        <v>0</v>
      </c>
      <c r="M55" s="215">
        <f>'Feuille 1'!A37</f>
        <v>0</v>
      </c>
      <c r="N55" s="215">
        <f>IF(AND(M55&lt;&gt;0,M55&lt;&gt;"anneau",M55&lt;&gt;"cape",M55&lt;&gt;"amulette"),-L55,0)</f>
        <v>0</v>
      </c>
      <c r="O55" s="215" t="b">
        <f>IF(AND(M55&lt;&gt;0,M55&lt;&gt;"anneau",M55&lt;&gt;"cape",M55&lt;&gt;"amulette"),TRUE,FALSE)</f>
        <v>0</v>
      </c>
      <c r="P55" s="215">
        <f t="shared" ref="P55" si="2">IF(O55=TRUE,N55,0)</f>
        <v>0</v>
      </c>
    </row>
    <row r="56" spans="2:17">
      <c r="B56" t="s">
        <v>296</v>
      </c>
      <c r="C56" t="b">
        <f>IF(Campagne="Dark Sun",TRUE,FALSE)</f>
        <v>0</v>
      </c>
      <c r="D56" s="24"/>
      <c r="K56" s="214" t="s">
        <v>3662</v>
      </c>
      <c r="L56" s="214">
        <f>'Feuille 1'!K38</f>
        <v>0</v>
      </c>
      <c r="M56" s="214">
        <f>'Feuille 1'!A38</f>
        <v>0</v>
      </c>
      <c r="N56" s="214">
        <f>IF(AND(M56&lt;&gt;0,M56&lt;&gt;"anneau",M56&lt;&gt;"cape",M56&lt;&gt;"amulette"),-L56,0)</f>
        <v>0</v>
      </c>
      <c r="O56" s="214" t="b">
        <f>IF(AND(M56&lt;&gt;0,M56&lt;&gt;"anneau",M56&lt;&gt;"cape",M56&lt;&gt;"amulette"),TRUE,FALSE)</f>
        <v>0</v>
      </c>
      <c r="P56" s="214">
        <f>IF(O56=TRUE,N56,0)</f>
        <v>0</v>
      </c>
    </row>
    <row r="57" spans="2:17">
      <c r="B57" t="s">
        <v>3851</v>
      </c>
      <c r="C57" t="b">
        <f>LOOKUP(TRUE,C54:C56)</f>
        <v>0</v>
      </c>
      <c r="D57" s="24"/>
      <c r="O57" s="216" t="s">
        <v>3521</v>
      </c>
      <c r="P57" s="215">
        <f>SUM(P60,P47:P48,MIN(P49:P50),MIN(P51:P52),MIN(P53:P54),P55:P56)</f>
        <v>10</v>
      </c>
      <c r="Q57" s="215">
        <f>IF(P57&lt;-10,-10,P57)</f>
        <v>10</v>
      </c>
    </row>
    <row r="58" spans="2:17">
      <c r="B58" s="211" t="s">
        <v>3852</v>
      </c>
      <c r="C58" s="211" t="s">
        <v>3849</v>
      </c>
      <c r="D58" s="31"/>
      <c r="O58" s="216" t="s">
        <v>3664</v>
      </c>
      <c r="P58" s="214">
        <f>SUM(P60,P47,MIN(P49:P50),MIN(P51:P52),MIN(P53:P54),P55:P56)</f>
        <v>10</v>
      </c>
      <c r="Q58" s="214">
        <f>IF(P58&lt;-10,-10,P58)</f>
        <v>10</v>
      </c>
    </row>
    <row r="59" spans="2:17">
      <c r="B59" t="s">
        <v>3469</v>
      </c>
      <c r="C59" t="b">
        <f>IF(Classe="Psioniste",TRUE,FALSE)</f>
        <v>0</v>
      </c>
      <c r="O59" s="217" t="s">
        <v>3663</v>
      </c>
      <c r="P59" s="215">
        <f>SUM(P60,MIN(P49:P50),MIN(P51:P52),MIN(P53:P54),P55:P56)</f>
        <v>10</v>
      </c>
      <c r="Q59" s="215">
        <f t="shared" ref="Q59:Q60" si="3">IF(P59&lt;-10,-10,P59)</f>
        <v>10</v>
      </c>
    </row>
    <row r="60" spans="2:17">
      <c r="B60" t="s">
        <v>3470</v>
      </c>
      <c r="C60" t="b">
        <f>IF(Classe2="Psioniste",TRUE,FALSE)</f>
        <v>0</v>
      </c>
      <c r="O60" s="218" t="s">
        <v>3666</v>
      </c>
      <c r="P60" s="214">
        <f>IF(O44=TRUE,IF(O46=TRUE,Q46,Q45),IF(O46=TRUE,P46,P45))</f>
        <v>10</v>
      </c>
      <c r="Q60" s="214">
        <f t="shared" si="3"/>
        <v>10</v>
      </c>
    </row>
    <row r="61" spans="2:17">
      <c r="B61" t="s">
        <v>3471</v>
      </c>
      <c r="C61" t="b">
        <f>IF(Classe3="Psioniste",TRUE,FALSE)</f>
        <v>0</v>
      </c>
    </row>
    <row r="62" spans="2:17">
      <c r="B62" t="s">
        <v>3848</v>
      </c>
      <c r="C62" t="b">
        <f>IF('Feuille 1'!AH7=TRUE,TRUE,FALSE)</f>
        <v>0</v>
      </c>
    </row>
    <row r="63" spans="2:17">
      <c r="B63" t="s">
        <v>296</v>
      </c>
      <c r="C63" t="b">
        <f>IF(Campagne="Dark Sun",TRUE,FALSE)</f>
        <v>0</v>
      </c>
    </row>
    <row r="64" spans="2:17">
      <c r="B64" t="s">
        <v>3853</v>
      </c>
      <c r="C64" t="b">
        <f>IF(AND(LOOKUP(TRUE,C59:C63)=TRUE,C57=TRUE),TRUE,FALSE)</f>
        <v>0</v>
      </c>
    </row>
    <row r="73" spans="3:15">
      <c r="K73" s="235" t="s">
        <v>3854</v>
      </c>
      <c r="L73" s="235"/>
      <c r="M73" s="235"/>
      <c r="N73" s="235"/>
      <c r="O73" s="235"/>
    </row>
    <row r="74" spans="3:15">
      <c r="K74" s="236" t="s">
        <v>3855</v>
      </c>
      <c r="L74" s="236" t="s">
        <v>3856</v>
      </c>
      <c r="M74" s="236" t="s">
        <v>3857</v>
      </c>
      <c r="N74" s="236" t="s">
        <v>296</v>
      </c>
      <c r="O74" s="236" t="s">
        <v>3866</v>
      </c>
    </row>
    <row r="75" spans="3:15">
      <c r="C75" s="31"/>
      <c r="K75" s="236" t="s">
        <v>735</v>
      </c>
      <c r="L75" s="236" t="s">
        <v>3859</v>
      </c>
      <c r="M75" s="236" t="s">
        <v>735</v>
      </c>
      <c r="N75" s="236" t="s">
        <v>3858</v>
      </c>
      <c r="O75" s="236" t="str">
        <f>""</f>
        <v/>
      </c>
    </row>
    <row r="76" spans="3:15">
      <c r="C76" s="31"/>
      <c r="K76" s="236" t="s">
        <v>737</v>
      </c>
      <c r="L76" s="236" t="s">
        <v>3860</v>
      </c>
      <c r="M76" s="236" t="s">
        <v>739</v>
      </c>
      <c r="N76" s="236" t="s">
        <v>735</v>
      </c>
      <c r="O76" s="236" t="str">
        <f>""</f>
        <v/>
      </c>
    </row>
    <row r="77" spans="3:15">
      <c r="C77" s="31"/>
      <c r="K77" s="236" t="s">
        <v>736</v>
      </c>
      <c r="L77" s="236" t="s">
        <v>3861</v>
      </c>
      <c r="M77" s="236" t="s">
        <v>3864</v>
      </c>
      <c r="N77" s="236" t="s">
        <v>737</v>
      </c>
      <c r="O77" s="236" t="str">
        <f>""</f>
        <v/>
      </c>
    </row>
    <row r="78" spans="3:15">
      <c r="C78" s="31"/>
      <c r="K78" s="236" t="s">
        <v>739</v>
      </c>
      <c r="L78" s="236" t="s">
        <v>3862</v>
      </c>
      <c r="M78" s="236" t="s">
        <v>3865</v>
      </c>
      <c r="N78" s="236" t="s">
        <v>739</v>
      </c>
      <c r="O78" s="236" t="str">
        <f>""</f>
        <v/>
      </c>
    </row>
    <row r="79" spans="3:15">
      <c r="C79" s="31"/>
      <c r="K79" s="237" t="s">
        <v>738</v>
      </c>
      <c r="L79" s="237" t="s">
        <v>3863</v>
      </c>
      <c r="M79" s="237" t="s">
        <v>738</v>
      </c>
      <c r="N79" s="237" t="s">
        <v>738</v>
      </c>
      <c r="O79" s="237" t="str">
        <f>""</f>
        <v/>
      </c>
    </row>
    <row r="80" spans="3:15">
      <c r="C80" s="31"/>
    </row>
    <row r="81" spans="3:4">
      <c r="C81" s="31"/>
      <c r="D81" s="31"/>
    </row>
    <row r="82" spans="3:4">
      <c r="C82" s="31"/>
      <c r="D82" s="31"/>
    </row>
    <row r="83" spans="3:4">
      <c r="C83" s="31"/>
      <c r="D83" s="31"/>
    </row>
    <row r="84" spans="3:4">
      <c r="C84" s="31"/>
      <c r="D84" s="31"/>
    </row>
    <row r="85" spans="3:4">
      <c r="C85" s="31"/>
      <c r="D85" s="31"/>
    </row>
    <row r="86" spans="3:4">
      <c r="C86" s="31"/>
      <c r="D86" s="31"/>
    </row>
    <row r="87" spans="3:4">
      <c r="C87" s="31"/>
      <c r="D87" s="31"/>
    </row>
    <row r="88" spans="3:4">
      <c r="C88" s="31"/>
      <c r="D88" s="31"/>
    </row>
    <row r="89" spans="3:4">
      <c r="C89" s="31"/>
      <c r="D89" s="31"/>
    </row>
    <row r="90" spans="3:4">
      <c r="C90" s="31"/>
      <c r="D90" s="31"/>
    </row>
    <row r="91" spans="3:4">
      <c r="C91" s="31"/>
      <c r="D91" s="31"/>
    </row>
    <row r="92" spans="3:4">
      <c r="C92" s="31"/>
      <c r="D92" s="31"/>
    </row>
    <row r="93" spans="3:4">
      <c r="C93" s="31"/>
      <c r="D93" s="31"/>
    </row>
    <row r="94" spans="3:4">
      <c r="C94" s="31"/>
      <c r="D94" s="31"/>
    </row>
    <row r="95" spans="3:4">
      <c r="C95" s="31"/>
      <c r="D95" s="31"/>
    </row>
    <row r="96" spans="3:4">
      <c r="C96" s="31"/>
      <c r="D96" s="31"/>
    </row>
    <row r="97" spans="3:4">
      <c r="C97" s="31"/>
      <c r="D97" s="31"/>
    </row>
    <row r="98" spans="3:4">
      <c r="C98" s="31"/>
      <c r="D98" s="31"/>
    </row>
    <row r="99" spans="3:4">
      <c r="C99" s="31"/>
      <c r="D99" s="31"/>
    </row>
    <row r="100" spans="3:4">
      <c r="C100" s="31"/>
      <c r="D100" s="31"/>
    </row>
    <row r="101" spans="3:4">
      <c r="C101" s="31"/>
      <c r="D101" s="31"/>
    </row>
    <row r="102" spans="3:4">
      <c r="C102" s="31"/>
      <c r="D102" s="31"/>
    </row>
    <row r="103" spans="3:4">
      <c r="C103" s="31"/>
      <c r="D103" s="31"/>
    </row>
    <row r="104" spans="3:4">
      <c r="C104" s="31"/>
      <c r="D104" s="31"/>
    </row>
    <row r="105" spans="3:4">
      <c r="C105" s="31"/>
      <c r="D105" s="31"/>
    </row>
    <row r="106" spans="3:4">
      <c r="C106" s="31"/>
      <c r="D106" s="31"/>
    </row>
    <row r="107" spans="3:4">
      <c r="C107" s="31"/>
      <c r="D107" s="31"/>
    </row>
    <row r="108" spans="3:4">
      <c r="C108" s="31"/>
      <c r="D108" s="31"/>
    </row>
    <row r="109" spans="3:4">
      <c r="C109" s="31"/>
      <c r="D109" s="31"/>
    </row>
    <row r="110" spans="3:4">
      <c r="C110" s="31"/>
      <c r="D110" s="31"/>
    </row>
    <row r="111" spans="3:4">
      <c r="C111" s="31"/>
      <c r="D111" s="31"/>
    </row>
    <row r="112" spans="3:4">
      <c r="C112" s="31"/>
      <c r="D112" s="31"/>
    </row>
    <row r="113" spans="3:4">
      <c r="C113" s="31"/>
      <c r="D113" s="31"/>
    </row>
    <row r="114" spans="3:4">
      <c r="C114" s="31"/>
      <c r="D114" s="31"/>
    </row>
    <row r="115" spans="3:4">
      <c r="C115" s="31"/>
      <c r="D115" s="31"/>
    </row>
    <row r="116" spans="3:4">
      <c r="C116" s="31"/>
      <c r="D116" s="31"/>
    </row>
    <row r="117" spans="3:4">
      <c r="C117" s="31"/>
      <c r="D117" s="31"/>
    </row>
    <row r="118" spans="3:4">
      <c r="C118" s="31"/>
      <c r="D118" s="31"/>
    </row>
    <row r="119" spans="3:4">
      <c r="C119" s="31"/>
      <c r="D119" s="31"/>
    </row>
    <row r="120" spans="3:4">
      <c r="C120" s="31"/>
      <c r="D120" s="31"/>
    </row>
    <row r="121" spans="3:4">
      <c r="C121" s="31"/>
      <c r="D121" s="31"/>
    </row>
    <row r="122" spans="3:4">
      <c r="C122" s="31"/>
      <c r="D122" s="31"/>
    </row>
    <row r="123" spans="3:4">
      <c r="C123" s="31"/>
      <c r="D123" s="31"/>
    </row>
    <row r="124" spans="3:4">
      <c r="C124" s="31"/>
      <c r="D124" s="31"/>
    </row>
    <row r="125" spans="3:4">
      <c r="C125" s="31"/>
      <c r="D125" s="31"/>
    </row>
    <row r="126" spans="3:4">
      <c r="C126" s="31"/>
      <c r="D126" s="31"/>
    </row>
    <row r="127" spans="3:4">
      <c r="C127" s="31"/>
      <c r="D127" s="31"/>
    </row>
    <row r="128" spans="3:4">
      <c r="C128" s="31"/>
      <c r="D128" s="31"/>
    </row>
    <row r="129" spans="3:4">
      <c r="C129" s="31"/>
      <c r="D129" s="31"/>
    </row>
    <row r="130" spans="3:4">
      <c r="C130" s="31"/>
      <c r="D130" s="31"/>
    </row>
    <row r="131" spans="3:4">
      <c r="C131" s="31"/>
      <c r="D131" s="31"/>
    </row>
    <row r="132" spans="3:4">
      <c r="C132" s="31"/>
      <c r="D132" s="31"/>
    </row>
    <row r="133" spans="3:4">
      <c r="C133" s="31"/>
      <c r="D133" s="31"/>
    </row>
    <row r="134" spans="3:4">
      <c r="C134" s="31"/>
      <c r="D134" s="31"/>
    </row>
    <row r="135" spans="3:4">
      <c r="C135" s="31"/>
      <c r="D135" s="31"/>
    </row>
    <row r="136" spans="3:4">
      <c r="C136" s="31"/>
      <c r="D136" s="31"/>
    </row>
    <row r="137" spans="3:4">
      <c r="C137" s="31"/>
      <c r="D137" s="31"/>
    </row>
    <row r="138" spans="3:4">
      <c r="C138" s="31"/>
      <c r="D138" s="31"/>
    </row>
    <row r="139" spans="3:4">
      <c r="C139" s="31"/>
      <c r="D139" s="31"/>
    </row>
    <row r="140" spans="3:4">
      <c r="C140" s="31"/>
      <c r="D140" s="31"/>
    </row>
    <row r="141" spans="3:4">
      <c r="C141" s="31"/>
      <c r="D141" s="31"/>
    </row>
    <row r="142" spans="3:4">
      <c r="C142" s="31"/>
      <c r="D142" s="31"/>
    </row>
    <row r="143" spans="3:4">
      <c r="C143" s="31"/>
      <c r="D143" s="31"/>
    </row>
    <row r="144" spans="3:4">
      <c r="C144" s="31"/>
      <c r="D144" s="31"/>
    </row>
    <row r="145" spans="3:4">
      <c r="C145" s="31"/>
      <c r="D145" s="31"/>
    </row>
    <row r="146" spans="3:4">
      <c r="C146" s="31"/>
      <c r="D146" s="31"/>
    </row>
    <row r="147" spans="3:4">
      <c r="C147" s="31"/>
      <c r="D147" s="31"/>
    </row>
    <row r="148" spans="3:4">
      <c r="C148" s="31"/>
      <c r="D148" s="31"/>
    </row>
    <row r="149" spans="3:4">
      <c r="C149" s="31"/>
      <c r="D149" s="31"/>
    </row>
    <row r="150" spans="3:4">
      <c r="C150" s="31"/>
      <c r="D150" s="31"/>
    </row>
    <row r="151" spans="3:4">
      <c r="C151" s="31"/>
      <c r="D151" s="31"/>
    </row>
    <row r="152" spans="3:4">
      <c r="C152" s="31"/>
      <c r="D152" s="31"/>
    </row>
    <row r="153" spans="3:4">
      <c r="C153" s="31"/>
      <c r="D153" s="31"/>
    </row>
    <row r="154" spans="3:4">
      <c r="C154" s="31"/>
      <c r="D154" s="31"/>
    </row>
    <row r="155" spans="3:4">
      <c r="C155" s="31"/>
      <c r="D155" s="31"/>
    </row>
    <row r="156" spans="3:4">
      <c r="C156" s="31"/>
      <c r="D156" s="31"/>
    </row>
    <row r="157" spans="3:4">
      <c r="C157" s="31"/>
      <c r="D157" s="31"/>
    </row>
    <row r="158" spans="3:4">
      <c r="C158" s="31"/>
      <c r="D158" s="31"/>
    </row>
    <row r="159" spans="3:4">
      <c r="C159" s="31"/>
      <c r="D159" s="31"/>
    </row>
    <row r="160" spans="3:4">
      <c r="C160" s="31"/>
      <c r="D160" s="31"/>
    </row>
    <row r="161" spans="3:4">
      <c r="C161" s="31"/>
      <c r="D161" s="31"/>
    </row>
    <row r="162" spans="3:4">
      <c r="C162" s="31"/>
      <c r="D162" s="31"/>
    </row>
    <row r="163" spans="3:4">
      <c r="C163" s="31"/>
      <c r="D163" s="31"/>
    </row>
    <row r="164" spans="3:4">
      <c r="C164" s="31"/>
      <c r="D164" s="31"/>
    </row>
    <row r="165" spans="3:4">
      <c r="C165" s="31"/>
      <c r="D165" s="31"/>
    </row>
    <row r="166" spans="3:4">
      <c r="C166" s="31"/>
      <c r="D166" s="31"/>
    </row>
    <row r="167" spans="3:4">
      <c r="C167" s="31"/>
      <c r="D167" s="31"/>
    </row>
    <row r="168" spans="3:4">
      <c r="C168" s="31"/>
      <c r="D168" s="31"/>
    </row>
    <row r="169" spans="3:4">
      <c r="C169" s="31"/>
      <c r="D169" s="31"/>
    </row>
    <row r="170" spans="3:4">
      <c r="C170" s="31"/>
      <c r="D170" s="31"/>
    </row>
    <row r="171" spans="3:4">
      <c r="C171" s="31"/>
      <c r="D171" s="31"/>
    </row>
    <row r="172" spans="3:4">
      <c r="C172" s="31"/>
      <c r="D172" s="31"/>
    </row>
    <row r="173" spans="3:4">
      <c r="C173" s="31"/>
      <c r="D173" s="31"/>
    </row>
    <row r="174" spans="3:4">
      <c r="C174" s="31"/>
      <c r="D174" s="31"/>
    </row>
    <row r="175" spans="3:4">
      <c r="C175" s="31"/>
      <c r="D175" s="31"/>
    </row>
    <row r="176" spans="3:4">
      <c r="C176" s="31"/>
      <c r="D176" s="31"/>
    </row>
    <row r="177" spans="3:4">
      <c r="C177" s="31"/>
      <c r="D177" s="31"/>
    </row>
    <row r="178" spans="3:4">
      <c r="C178" s="31"/>
      <c r="D178" s="31"/>
    </row>
    <row r="179" spans="3:4">
      <c r="C179" s="31"/>
      <c r="D179" s="31"/>
    </row>
    <row r="180" spans="3:4">
      <c r="C180" s="31"/>
      <c r="D180" s="31"/>
    </row>
    <row r="181" spans="3:4">
      <c r="C181" s="31"/>
      <c r="D181" s="31"/>
    </row>
    <row r="182" spans="3:4">
      <c r="C182" s="31"/>
      <c r="D182" s="31"/>
    </row>
    <row r="183" spans="3:4">
      <c r="C183" s="31"/>
      <c r="D183" s="31"/>
    </row>
    <row r="184" spans="3:4">
      <c r="C184" s="31"/>
      <c r="D184" s="31"/>
    </row>
    <row r="185" spans="3:4">
      <c r="C185" s="31"/>
    </row>
    <row r="186" spans="3:4">
      <c r="C186" s="31"/>
    </row>
    <row r="187" spans="3:4">
      <c r="C187" s="31"/>
    </row>
    <row r="188" spans="3:4">
      <c r="C188" s="31"/>
    </row>
    <row r="189" spans="3:4">
      <c r="C189" s="31"/>
    </row>
    <row r="190" spans="3:4">
      <c r="C190" s="31"/>
    </row>
    <row r="191" spans="3:4">
      <c r="C191" s="31"/>
    </row>
    <row r="192" spans="3:4">
      <c r="C192" s="31"/>
    </row>
    <row r="193" spans="3:3">
      <c r="C193" s="31"/>
    </row>
    <row r="194" spans="3:3">
      <c r="C194" s="31"/>
    </row>
    <row r="195" spans="3:3">
      <c r="C195" s="31"/>
    </row>
    <row r="196" spans="3:3">
      <c r="C196" s="31"/>
    </row>
    <row r="197" spans="3:3">
      <c r="C197" s="31"/>
    </row>
    <row r="198" spans="3:3">
      <c r="C198" s="31"/>
    </row>
    <row r="199" spans="3:3">
      <c r="C199" s="31"/>
    </row>
    <row r="200" spans="3:3">
      <c r="C200" s="31"/>
    </row>
    <row r="201" spans="3:3">
      <c r="C201" s="31"/>
    </row>
    <row r="202" spans="3:3">
      <c r="C202" s="31"/>
    </row>
    <row r="203" spans="3:3">
      <c r="C203" s="31"/>
    </row>
  </sheetData>
  <sortState ref="V3:V33">
    <sortCondition ref="V2"/>
  </sortState>
  <mergeCells count="1">
    <mergeCell ref="R1:U1"/>
  </mergeCell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AJ216"/>
  <sheetViews>
    <sheetView topLeftCell="B1" zoomScale="85" zoomScaleNormal="85" workbookViewId="0">
      <selection activeCell="O27" sqref="O27"/>
    </sheetView>
  </sheetViews>
  <sheetFormatPr defaultRowHeight="15"/>
  <cols>
    <col min="1" max="1" width="17.5703125" customWidth="1"/>
    <col min="2" max="2" width="15.42578125" customWidth="1"/>
    <col min="3" max="3" width="10.28515625" customWidth="1"/>
    <col min="4" max="4" width="11.7109375" customWidth="1"/>
    <col min="5" max="5" width="12.5703125" customWidth="1"/>
    <col min="6" max="6" width="11.28515625" customWidth="1"/>
    <col min="7" max="7" width="11.5703125" customWidth="1"/>
    <col min="8" max="8" width="11.28515625" customWidth="1"/>
    <col min="9" max="9" width="12.5703125" customWidth="1"/>
    <col min="12" max="12" width="12.85546875" customWidth="1"/>
    <col min="13" max="13" width="16.5703125" customWidth="1"/>
    <col min="14" max="14" width="16.7109375" customWidth="1"/>
    <col min="15" max="15" width="19" customWidth="1"/>
    <col min="16" max="16" width="16.28515625" customWidth="1"/>
    <col min="17" max="17" width="9.85546875" customWidth="1"/>
    <col min="18" max="18" width="10.42578125" bestFit="1" customWidth="1"/>
    <col min="19" max="19" width="10.85546875" customWidth="1"/>
    <col min="20" max="20" width="11.85546875" customWidth="1"/>
    <col min="21" max="21" width="16.85546875" customWidth="1"/>
    <col min="22" max="22" width="14.28515625" customWidth="1"/>
    <col min="23" max="23" width="14.140625" customWidth="1"/>
    <col min="24" max="24" width="10.85546875" customWidth="1"/>
    <col min="25" max="25" width="9.7109375" customWidth="1"/>
    <col min="26" max="26" width="10.7109375" customWidth="1"/>
    <col min="27" max="27" width="12" customWidth="1"/>
    <col min="28" max="28" width="10.42578125" customWidth="1"/>
    <col min="29" max="29" width="12.42578125" customWidth="1"/>
    <col min="30" max="30" width="10.5703125" customWidth="1"/>
    <col min="31" max="31" width="8.7109375" customWidth="1"/>
  </cols>
  <sheetData>
    <row r="2" spans="1:36">
      <c r="A2" s="422" t="s">
        <v>1419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2"/>
    </row>
    <row r="3" spans="1:36" ht="42" customHeight="1">
      <c r="A3" s="137" t="s">
        <v>297</v>
      </c>
      <c r="B3" s="137" t="s">
        <v>853</v>
      </c>
      <c r="C3" s="137" t="s">
        <v>854</v>
      </c>
      <c r="D3" s="137" t="s">
        <v>3921</v>
      </c>
      <c r="E3" s="137" t="s">
        <v>882</v>
      </c>
      <c r="F3" s="137" t="s">
        <v>884</v>
      </c>
      <c r="G3" s="137" t="s">
        <v>883</v>
      </c>
      <c r="H3" s="137" t="s">
        <v>885</v>
      </c>
      <c r="I3" s="137" t="s">
        <v>3927</v>
      </c>
      <c r="J3" s="137" t="s">
        <v>861</v>
      </c>
      <c r="K3" s="137" t="s">
        <v>296</v>
      </c>
      <c r="L3" s="137" t="s">
        <v>295</v>
      </c>
      <c r="M3" s="137" t="s">
        <v>888</v>
      </c>
      <c r="N3" s="137" t="s">
        <v>886</v>
      </c>
      <c r="O3" s="137" t="s">
        <v>889</v>
      </c>
      <c r="P3" s="137" t="s">
        <v>890</v>
      </c>
      <c r="Q3" s="137" t="s">
        <v>1685</v>
      </c>
      <c r="R3" s="137" t="s">
        <v>852</v>
      </c>
      <c r="S3" s="137" t="s">
        <v>867</v>
      </c>
      <c r="T3" s="137" t="s">
        <v>863</v>
      </c>
      <c r="U3" s="137" t="s">
        <v>864</v>
      </c>
      <c r="V3" s="137" t="s">
        <v>1659</v>
      </c>
      <c r="W3" s="137" t="s">
        <v>865</v>
      </c>
      <c r="X3" s="137" t="s">
        <v>862</v>
      </c>
      <c r="Y3" s="137" t="s">
        <v>856</v>
      </c>
      <c r="Z3" s="137" t="s">
        <v>1527</v>
      </c>
      <c r="AA3" s="137" t="s">
        <v>887</v>
      </c>
      <c r="AB3" s="137" t="s">
        <v>855</v>
      </c>
      <c r="AC3" s="137" t="s">
        <v>294</v>
      </c>
      <c r="AD3" s="137" t="s">
        <v>1526</v>
      </c>
      <c r="AE3" s="137" t="s">
        <v>857</v>
      </c>
      <c r="AF3" s="137">
        <v>0</v>
      </c>
      <c r="AG3" s="137" t="s">
        <v>1430</v>
      </c>
    </row>
    <row r="4" spans="1:36">
      <c r="A4" s="138" t="s">
        <v>743</v>
      </c>
      <c r="B4" s="138" t="s">
        <v>1492</v>
      </c>
      <c r="C4" s="138" t="str">
        <f>""</f>
        <v/>
      </c>
      <c r="D4" s="138" t="s">
        <v>3919</v>
      </c>
      <c r="E4" s="138" t="str">
        <f>""</f>
        <v/>
      </c>
      <c r="F4" s="138" t="str">
        <f>""</f>
        <v/>
      </c>
      <c r="G4" s="138" t="s">
        <v>1436</v>
      </c>
      <c r="H4" s="138" t="str">
        <f>""</f>
        <v/>
      </c>
      <c r="I4" s="138" t="s">
        <v>3922</v>
      </c>
      <c r="J4" s="138" t="s">
        <v>1538</v>
      </c>
      <c r="K4" s="138" t="s">
        <v>1500</v>
      </c>
      <c r="L4" s="138" t="str">
        <f>""</f>
        <v/>
      </c>
      <c r="M4" s="138" t="s">
        <v>1420</v>
      </c>
      <c r="N4" s="138" t="str">
        <f>""</f>
        <v/>
      </c>
      <c r="O4" s="138" t="str">
        <f>""</f>
        <v/>
      </c>
      <c r="P4" s="138" t="str">
        <f>""</f>
        <v/>
      </c>
      <c r="Q4" s="138" t="s">
        <v>3928</v>
      </c>
      <c r="R4" s="138" t="str">
        <f>""</f>
        <v/>
      </c>
      <c r="S4" s="138" t="s">
        <v>1661</v>
      </c>
      <c r="T4" s="138" t="s">
        <v>1653</v>
      </c>
      <c r="U4" s="138" t="s">
        <v>1519</v>
      </c>
      <c r="V4" s="138" t="s">
        <v>1642</v>
      </c>
      <c r="W4" s="138" t="s">
        <v>1643</v>
      </c>
      <c r="X4" s="138" t="s">
        <v>1534</v>
      </c>
      <c r="Y4" s="138" t="str">
        <f>""</f>
        <v/>
      </c>
      <c r="Z4" s="138" t="s">
        <v>1686</v>
      </c>
      <c r="AA4" s="138" t="str">
        <f>""</f>
        <v/>
      </c>
      <c r="AB4" s="138" t="s">
        <v>1683</v>
      </c>
      <c r="AC4" s="138" t="str">
        <f>""</f>
        <v/>
      </c>
      <c r="AD4" s="138" t="str">
        <f>""</f>
        <v/>
      </c>
      <c r="AE4" s="138" t="str">
        <f>""</f>
        <v/>
      </c>
      <c r="AF4" s="138" t="str">
        <f t="shared" ref="AF4:AF18" si="0">AD4</f>
        <v/>
      </c>
      <c r="AG4" s="138" t="e">
        <f>HLOOKUP(Campagne,Faction_list_complete,2,FALSE)</f>
        <v>#N/A</v>
      </c>
    </row>
    <row r="5" spans="1:36">
      <c r="A5" s="75" t="s">
        <v>744</v>
      </c>
      <c r="B5" s="75" t="s">
        <v>1493</v>
      </c>
      <c r="C5" s="75" t="str">
        <f>""</f>
        <v/>
      </c>
      <c r="D5" s="75" t="s">
        <v>3920</v>
      </c>
      <c r="E5" s="75" t="str">
        <f>""</f>
        <v/>
      </c>
      <c r="F5" s="75" t="str">
        <f>""</f>
        <v/>
      </c>
      <c r="G5" s="75" t="s">
        <v>1437</v>
      </c>
      <c r="H5" s="75" t="str">
        <f>""</f>
        <v/>
      </c>
      <c r="I5" s="75" t="s">
        <v>3923</v>
      </c>
      <c r="J5" s="75" t="s">
        <v>1539</v>
      </c>
      <c r="K5" s="75" t="s">
        <v>1501</v>
      </c>
      <c r="L5" s="75" t="str">
        <f>""</f>
        <v/>
      </c>
      <c r="M5" s="75" t="s">
        <v>1421</v>
      </c>
      <c r="N5" s="75" t="str">
        <f>""</f>
        <v/>
      </c>
      <c r="O5" s="75" t="str">
        <f>""</f>
        <v/>
      </c>
      <c r="P5" s="75" t="str">
        <f>""</f>
        <v/>
      </c>
      <c r="Q5" s="75" t="s">
        <v>3929</v>
      </c>
      <c r="R5" s="75" t="str">
        <f>""</f>
        <v/>
      </c>
      <c r="S5" s="75" t="s">
        <v>1660</v>
      </c>
      <c r="T5" s="75" t="s">
        <v>1654</v>
      </c>
      <c r="U5" s="75" t="s">
        <v>1522</v>
      </c>
      <c r="V5" s="75" t="s">
        <v>1635</v>
      </c>
      <c r="W5" s="75" t="s">
        <v>1649</v>
      </c>
      <c r="X5" s="75" t="s">
        <v>1528</v>
      </c>
      <c r="Y5" s="75" t="str">
        <f>""</f>
        <v/>
      </c>
      <c r="Z5" s="75" t="s">
        <v>1687</v>
      </c>
      <c r="AA5" s="75" t="str">
        <f>""</f>
        <v/>
      </c>
      <c r="AB5" s="75" t="s">
        <v>1684</v>
      </c>
      <c r="AC5" s="75" t="str">
        <f>""</f>
        <v/>
      </c>
      <c r="AD5" s="75" t="str">
        <f>""</f>
        <v/>
      </c>
      <c r="AE5" s="75" t="str">
        <f>""</f>
        <v/>
      </c>
      <c r="AF5" s="75" t="str">
        <f t="shared" si="0"/>
        <v/>
      </c>
      <c r="AG5" s="75" t="e">
        <f>HLOOKUP(Campagne,Faction_list_complete,3,FALSE)</f>
        <v>#N/A</v>
      </c>
    </row>
    <row r="6" spans="1:36">
      <c r="A6" s="138" t="s">
        <v>745</v>
      </c>
      <c r="B6" s="138" t="s">
        <v>1494</v>
      </c>
      <c r="C6" s="138" t="str">
        <f>""</f>
        <v/>
      </c>
      <c r="D6" s="138" t="str">
        <f>""</f>
        <v/>
      </c>
      <c r="E6" s="138" t="str">
        <f>""</f>
        <v/>
      </c>
      <c r="F6" s="138" t="str">
        <f>""</f>
        <v/>
      </c>
      <c r="G6" s="138" t="s">
        <v>1438</v>
      </c>
      <c r="H6" s="138" t="str">
        <f>""</f>
        <v/>
      </c>
      <c r="I6" s="138" t="s">
        <v>3924</v>
      </c>
      <c r="J6" s="138" t="s">
        <v>1540</v>
      </c>
      <c r="K6" s="138" t="s">
        <v>1502</v>
      </c>
      <c r="L6" s="138" t="str">
        <f>""</f>
        <v/>
      </c>
      <c r="M6" s="138" t="s">
        <v>1422</v>
      </c>
      <c r="N6" s="138" t="str">
        <f>""</f>
        <v/>
      </c>
      <c r="O6" s="138" t="str">
        <f>""</f>
        <v/>
      </c>
      <c r="P6" s="138" t="str">
        <f>""</f>
        <v/>
      </c>
      <c r="Q6" s="138" t="s">
        <v>3930</v>
      </c>
      <c r="R6" s="138" t="str">
        <f>""</f>
        <v/>
      </c>
      <c r="S6" s="138" t="s">
        <v>1471</v>
      </c>
      <c r="T6" s="138" t="s">
        <v>1647</v>
      </c>
      <c r="U6" s="138" t="s">
        <v>1524</v>
      </c>
      <c r="V6" s="138" t="s">
        <v>1638</v>
      </c>
      <c r="W6" s="138" t="s">
        <v>1651</v>
      </c>
      <c r="X6" s="138" t="s">
        <v>1529</v>
      </c>
      <c r="Y6" s="138" t="str">
        <f>""</f>
        <v/>
      </c>
      <c r="Z6" s="138" t="s">
        <v>1688</v>
      </c>
      <c r="AA6" s="138" t="str">
        <f>""</f>
        <v/>
      </c>
      <c r="AB6" s="138" t="s">
        <v>1778</v>
      </c>
      <c r="AC6" s="138" t="str">
        <f>""</f>
        <v/>
      </c>
      <c r="AD6" s="138" t="str">
        <f>""</f>
        <v/>
      </c>
      <c r="AE6" s="138" t="str">
        <f>""</f>
        <v/>
      </c>
      <c r="AF6" s="138" t="str">
        <f t="shared" si="0"/>
        <v/>
      </c>
      <c r="AG6" s="138" t="e">
        <f>HLOOKUP(Campagne,Faction_list_complete,4,FALSE)</f>
        <v>#N/A</v>
      </c>
    </row>
    <row r="7" spans="1:36">
      <c r="A7" s="75" t="s">
        <v>746</v>
      </c>
      <c r="B7" s="75" t="s">
        <v>1495</v>
      </c>
      <c r="C7" s="75" t="str">
        <f>""</f>
        <v/>
      </c>
      <c r="D7" s="75" t="str">
        <f>""</f>
        <v/>
      </c>
      <c r="E7" s="75" t="str">
        <f>""</f>
        <v/>
      </c>
      <c r="F7" s="75" t="str">
        <f>""</f>
        <v/>
      </c>
      <c r="G7" s="75" t="s">
        <v>1439</v>
      </c>
      <c r="H7" s="75" t="str">
        <f>""</f>
        <v/>
      </c>
      <c r="I7" s="75" t="s">
        <v>3925</v>
      </c>
      <c r="J7" s="75" t="s">
        <v>1541</v>
      </c>
      <c r="K7" s="75" t="s">
        <v>1503</v>
      </c>
      <c r="L7" s="75" t="str">
        <f>""</f>
        <v/>
      </c>
      <c r="M7" s="75" t="s">
        <v>1423</v>
      </c>
      <c r="N7" s="75" t="str">
        <f>""</f>
        <v/>
      </c>
      <c r="O7" s="75" t="str">
        <f>""</f>
        <v/>
      </c>
      <c r="P7" s="75" t="str">
        <f>""</f>
        <v/>
      </c>
      <c r="Q7" s="75" t="s">
        <v>3931</v>
      </c>
      <c r="R7" s="75" t="str">
        <f>""</f>
        <v/>
      </c>
      <c r="S7" s="75" t="s">
        <v>1662</v>
      </c>
      <c r="T7" s="75" t="s">
        <v>1644</v>
      </c>
      <c r="U7" s="75" t="s">
        <v>1525</v>
      </c>
      <c r="V7" s="75" t="s">
        <v>1633</v>
      </c>
      <c r="W7" s="75" t="s">
        <v>1652</v>
      </c>
      <c r="X7" s="75" t="s">
        <v>1530</v>
      </c>
      <c r="Y7" s="75" t="str">
        <f>""</f>
        <v/>
      </c>
      <c r="Z7" s="75" t="s">
        <v>1689</v>
      </c>
      <c r="AA7" s="75" t="str">
        <f>""</f>
        <v/>
      </c>
      <c r="AB7" s="75" t="s">
        <v>1836</v>
      </c>
      <c r="AC7" s="75" t="str">
        <f>""</f>
        <v/>
      </c>
      <c r="AD7" s="75" t="str">
        <f>""</f>
        <v/>
      </c>
      <c r="AE7" s="75" t="str">
        <f>""</f>
        <v/>
      </c>
      <c r="AF7" s="75" t="str">
        <f t="shared" si="0"/>
        <v/>
      </c>
      <c r="AG7" s="75" t="e">
        <f>HLOOKUP(Campagne,Faction_list_complete,5,FALSE)</f>
        <v>#N/A</v>
      </c>
    </row>
    <row r="8" spans="1:36">
      <c r="A8" s="138" t="s">
        <v>747</v>
      </c>
      <c r="B8" s="138" t="s">
        <v>1496</v>
      </c>
      <c r="C8" s="138" t="str">
        <f>""</f>
        <v/>
      </c>
      <c r="D8" s="138" t="str">
        <f>""</f>
        <v/>
      </c>
      <c r="E8" s="138" t="str">
        <f>""</f>
        <v/>
      </c>
      <c r="F8" s="138" t="str">
        <f>""</f>
        <v/>
      </c>
      <c r="G8" s="138" t="s">
        <v>1440</v>
      </c>
      <c r="H8" s="138" t="str">
        <f>""</f>
        <v/>
      </c>
      <c r="I8" s="138" t="s">
        <v>3926</v>
      </c>
      <c r="J8" s="138" t="s">
        <v>1542</v>
      </c>
      <c r="K8" s="138" t="s">
        <v>1504</v>
      </c>
      <c r="L8" s="138" t="str">
        <f>""</f>
        <v/>
      </c>
      <c r="M8" s="138" t="s">
        <v>1424</v>
      </c>
      <c r="N8" s="138" t="str">
        <f>""</f>
        <v/>
      </c>
      <c r="O8" s="138" t="str">
        <f>""</f>
        <v/>
      </c>
      <c r="P8" s="138" t="str">
        <f>""</f>
        <v/>
      </c>
      <c r="Q8" s="138" t="s">
        <v>3932</v>
      </c>
      <c r="R8" s="138" t="str">
        <f>""</f>
        <v/>
      </c>
      <c r="S8" s="138" t="s">
        <v>1663</v>
      </c>
      <c r="T8" s="138" t="s">
        <v>1655</v>
      </c>
      <c r="U8" s="138" t="s">
        <v>1523</v>
      </c>
      <c r="V8" s="138" t="s">
        <v>1637</v>
      </c>
      <c r="W8" s="138" t="s">
        <v>1645</v>
      </c>
      <c r="X8" s="138" t="s">
        <v>1531</v>
      </c>
      <c r="Y8" s="138" t="str">
        <f>""</f>
        <v/>
      </c>
      <c r="Z8" s="138" t="s">
        <v>1690</v>
      </c>
      <c r="AA8" s="138" t="str">
        <f>""</f>
        <v/>
      </c>
      <c r="AB8" s="138" t="s">
        <v>1837</v>
      </c>
      <c r="AC8" s="138" t="str">
        <f>""</f>
        <v/>
      </c>
      <c r="AD8" s="138" t="str">
        <f>""</f>
        <v/>
      </c>
      <c r="AE8" s="138" t="str">
        <f>""</f>
        <v/>
      </c>
      <c r="AF8" s="138" t="str">
        <f t="shared" si="0"/>
        <v/>
      </c>
      <c r="AG8" s="138" t="e">
        <f>HLOOKUP(Campagne,Faction_list_complete,6,FALSE)</f>
        <v>#N/A</v>
      </c>
      <c r="AJ8" s="31"/>
    </row>
    <row r="9" spans="1:36">
      <c r="A9" s="75" t="s">
        <v>748</v>
      </c>
      <c r="B9" s="75" t="s">
        <v>1497</v>
      </c>
      <c r="C9" s="75" t="str">
        <f>""</f>
        <v/>
      </c>
      <c r="D9" s="75" t="str">
        <f>""</f>
        <v/>
      </c>
      <c r="E9" s="75" t="str">
        <f>""</f>
        <v/>
      </c>
      <c r="F9" s="75" t="str">
        <f>""</f>
        <v/>
      </c>
      <c r="G9" s="75" t="s">
        <v>1441</v>
      </c>
      <c r="H9" s="75" t="str">
        <f>""</f>
        <v/>
      </c>
      <c r="I9" s="75" t="str">
        <f>""</f>
        <v/>
      </c>
      <c r="J9" s="75" t="s">
        <v>1543</v>
      </c>
      <c r="K9" s="75" t="s">
        <v>1505</v>
      </c>
      <c r="L9" s="75" t="str">
        <f>""</f>
        <v/>
      </c>
      <c r="M9" s="75" t="s">
        <v>1425</v>
      </c>
      <c r="N9" s="75" t="str">
        <f>""</f>
        <v/>
      </c>
      <c r="O9" s="75" t="str">
        <f>""</f>
        <v/>
      </c>
      <c r="P9" s="75" t="str">
        <f>""</f>
        <v/>
      </c>
      <c r="Q9" s="75" t="s">
        <v>3933</v>
      </c>
      <c r="R9" s="75" t="str">
        <f>""</f>
        <v/>
      </c>
      <c r="S9" s="75" t="s">
        <v>1664</v>
      </c>
      <c r="T9" s="75" t="s">
        <v>1656</v>
      </c>
      <c r="U9" s="75" t="s">
        <v>1640</v>
      </c>
      <c r="V9" s="75" t="s">
        <v>1641</v>
      </c>
      <c r="W9" s="75" t="str">
        <f>""</f>
        <v/>
      </c>
      <c r="X9" s="75" t="s">
        <v>1532</v>
      </c>
      <c r="Y9" s="75" t="str">
        <f>""</f>
        <v/>
      </c>
      <c r="Z9" s="75" t="s">
        <v>1691</v>
      </c>
      <c r="AA9" s="75" t="str">
        <f>""</f>
        <v/>
      </c>
      <c r="AB9" s="75" t="s">
        <v>1838</v>
      </c>
      <c r="AC9" s="75" t="str">
        <f>""</f>
        <v/>
      </c>
      <c r="AD9" s="75" t="str">
        <f>""</f>
        <v/>
      </c>
      <c r="AE9" s="75" t="str">
        <f>""</f>
        <v/>
      </c>
      <c r="AF9" s="75" t="str">
        <f t="shared" si="0"/>
        <v/>
      </c>
      <c r="AG9" s="75" t="e">
        <f>HLOOKUP(Campagne,Faction_list_complete,7,FALSE)</f>
        <v>#N/A</v>
      </c>
      <c r="AJ9" s="31"/>
    </row>
    <row r="10" spans="1:36">
      <c r="A10" s="138" t="s">
        <v>749</v>
      </c>
      <c r="B10" s="138" t="s">
        <v>1498</v>
      </c>
      <c r="C10" s="138" t="str">
        <f>""</f>
        <v/>
      </c>
      <c r="D10" s="138" t="str">
        <f>""</f>
        <v/>
      </c>
      <c r="E10" s="138" t="str">
        <f>""</f>
        <v/>
      </c>
      <c r="F10" s="138" t="str">
        <f>""</f>
        <v/>
      </c>
      <c r="G10" s="138" t="s">
        <v>1442</v>
      </c>
      <c r="H10" s="138" t="str">
        <f>""</f>
        <v/>
      </c>
      <c r="I10" s="138" t="str">
        <f>""</f>
        <v/>
      </c>
      <c r="J10" s="138" t="s">
        <v>1544</v>
      </c>
      <c r="K10" s="138" t="s">
        <v>1506</v>
      </c>
      <c r="L10" s="138" t="str">
        <f>""</f>
        <v/>
      </c>
      <c r="M10" s="138" t="s">
        <v>1426</v>
      </c>
      <c r="N10" s="138" t="str">
        <f>""</f>
        <v/>
      </c>
      <c r="O10" s="138" t="str">
        <f>""</f>
        <v/>
      </c>
      <c r="P10" s="138" t="str">
        <f>""</f>
        <v/>
      </c>
      <c r="Q10" s="138" t="s">
        <v>3934</v>
      </c>
      <c r="R10" s="138" t="str">
        <f>""</f>
        <v/>
      </c>
      <c r="S10" s="138" t="s">
        <v>1665</v>
      </c>
      <c r="T10" s="138" t="s">
        <v>1657</v>
      </c>
      <c r="U10" s="138" t="s">
        <v>1521</v>
      </c>
      <c r="V10" s="138" t="s">
        <v>1636</v>
      </c>
      <c r="W10" s="138" t="str">
        <f>""</f>
        <v/>
      </c>
      <c r="X10" s="138" t="s">
        <v>1533</v>
      </c>
      <c r="Y10" s="138" t="str">
        <f>""</f>
        <v/>
      </c>
      <c r="Z10" s="138" t="s">
        <v>1692</v>
      </c>
      <c r="AA10" s="138" t="str">
        <f>""</f>
        <v/>
      </c>
      <c r="AB10" s="138" t="s">
        <v>1839</v>
      </c>
      <c r="AC10" s="138" t="str">
        <f>""</f>
        <v/>
      </c>
      <c r="AD10" s="138" t="str">
        <f>""</f>
        <v/>
      </c>
      <c r="AE10" s="138" t="str">
        <f>""</f>
        <v/>
      </c>
      <c r="AF10" s="138" t="str">
        <f t="shared" si="0"/>
        <v/>
      </c>
      <c r="AG10" s="138" t="e">
        <f>HLOOKUP(Campagne,Faction_list_complete,8,FALSE)</f>
        <v>#N/A</v>
      </c>
      <c r="AJ10" s="143"/>
    </row>
    <row r="11" spans="1:36">
      <c r="A11" s="75" t="s">
        <v>750</v>
      </c>
      <c r="B11" s="75" t="s">
        <v>1499</v>
      </c>
      <c r="C11" s="75" t="str">
        <f>""</f>
        <v/>
      </c>
      <c r="D11" s="75" t="str">
        <f>""</f>
        <v/>
      </c>
      <c r="E11" s="75" t="str">
        <f>""</f>
        <v/>
      </c>
      <c r="F11" s="75" t="str">
        <f>""</f>
        <v/>
      </c>
      <c r="G11" s="75" t="s">
        <v>1443</v>
      </c>
      <c r="H11" s="75" t="str">
        <f>""</f>
        <v/>
      </c>
      <c r="I11" s="75" t="str">
        <f>""</f>
        <v/>
      </c>
      <c r="J11" s="75" t="s">
        <v>1545</v>
      </c>
      <c r="K11" s="75" t="s">
        <v>1507</v>
      </c>
      <c r="L11" s="75" t="str">
        <f>""</f>
        <v/>
      </c>
      <c r="M11" s="75" t="s">
        <v>1427</v>
      </c>
      <c r="N11" s="75" t="str">
        <f>""</f>
        <v/>
      </c>
      <c r="O11" s="75" t="str">
        <f>""</f>
        <v/>
      </c>
      <c r="P11" s="75" t="str">
        <f>""</f>
        <v/>
      </c>
      <c r="Q11" s="75" t="s">
        <v>3935</v>
      </c>
      <c r="R11" s="75" t="str">
        <f>""</f>
        <v/>
      </c>
      <c r="S11" s="75" t="s">
        <v>1666</v>
      </c>
      <c r="T11" s="75" t="s">
        <v>1648</v>
      </c>
      <c r="U11" s="75" t="s">
        <v>1520</v>
      </c>
      <c r="V11" s="75" t="s">
        <v>1631</v>
      </c>
      <c r="W11" s="75" t="str">
        <f>""</f>
        <v/>
      </c>
      <c r="X11" s="75" t="s">
        <v>1650</v>
      </c>
      <c r="Y11" s="75" t="str">
        <f>""</f>
        <v/>
      </c>
      <c r="Z11" s="75" t="s">
        <v>1693</v>
      </c>
      <c r="AA11" s="75" t="str">
        <f>""</f>
        <v/>
      </c>
      <c r="AB11" s="75" t="s">
        <v>1840</v>
      </c>
      <c r="AC11" s="75" t="str">
        <f>""</f>
        <v/>
      </c>
      <c r="AD11" s="75" t="str">
        <f>""</f>
        <v/>
      </c>
      <c r="AE11" s="75" t="str">
        <f>""</f>
        <v/>
      </c>
      <c r="AF11" s="75" t="str">
        <f t="shared" si="0"/>
        <v/>
      </c>
      <c r="AG11" s="75" t="e">
        <f>HLOOKUP(Campagne,Faction_list_complete,9,FALSE)</f>
        <v>#N/A</v>
      </c>
      <c r="AJ11" s="143"/>
    </row>
    <row r="12" spans="1:36">
      <c r="A12" s="138" t="s">
        <v>751</v>
      </c>
      <c r="B12" s="138" t="str">
        <f>""</f>
        <v/>
      </c>
      <c r="C12" s="138" t="str">
        <f>""</f>
        <v/>
      </c>
      <c r="D12" s="138" t="str">
        <f>""</f>
        <v/>
      </c>
      <c r="E12" s="138" t="str">
        <f>""</f>
        <v/>
      </c>
      <c r="F12" s="138" t="str">
        <f>""</f>
        <v/>
      </c>
      <c r="G12" s="138" t="s">
        <v>1444</v>
      </c>
      <c r="H12" s="138" t="str">
        <f>""</f>
        <v/>
      </c>
      <c r="I12" s="138" t="str">
        <f>""</f>
        <v/>
      </c>
      <c r="J12" s="138" t="s">
        <v>1546</v>
      </c>
      <c r="K12" s="138" t="s">
        <v>1508</v>
      </c>
      <c r="L12" s="138" t="str">
        <f>""</f>
        <v/>
      </c>
      <c r="M12" s="138" t="s">
        <v>1428</v>
      </c>
      <c r="N12" s="138" t="str">
        <f>""</f>
        <v/>
      </c>
      <c r="O12" s="138" t="str">
        <f>""</f>
        <v/>
      </c>
      <c r="P12" s="138" t="str">
        <f>""</f>
        <v/>
      </c>
      <c r="Q12" s="138" t="s">
        <v>3936</v>
      </c>
      <c r="R12" s="138" t="str">
        <f>""</f>
        <v/>
      </c>
      <c r="S12" s="138" t="s">
        <v>1667</v>
      </c>
      <c r="T12" s="138" t="s">
        <v>1646</v>
      </c>
      <c r="U12" s="138" t="str">
        <f>""</f>
        <v/>
      </c>
      <c r="V12" s="138" t="s">
        <v>1632</v>
      </c>
      <c r="W12" s="138" t="str">
        <f>""</f>
        <v/>
      </c>
      <c r="X12" s="138" t="str">
        <f>""</f>
        <v/>
      </c>
      <c r="Y12" s="138" t="str">
        <f>""</f>
        <v/>
      </c>
      <c r="Z12" s="138" t="s">
        <v>1694</v>
      </c>
      <c r="AA12" s="138" t="str">
        <f>""</f>
        <v/>
      </c>
      <c r="AB12" s="138" t="s">
        <v>1841</v>
      </c>
      <c r="AC12" s="138" t="str">
        <f>""</f>
        <v/>
      </c>
      <c r="AD12" s="138" t="str">
        <f>""</f>
        <v/>
      </c>
      <c r="AE12" s="138" t="str">
        <f>""</f>
        <v/>
      </c>
      <c r="AF12" s="138" t="str">
        <f t="shared" si="0"/>
        <v/>
      </c>
      <c r="AG12" s="138" t="e">
        <f>HLOOKUP(Campagne,Faction_list_complete,10,FALSE)</f>
        <v>#N/A</v>
      </c>
      <c r="AJ12" s="143"/>
    </row>
    <row r="13" spans="1:36">
      <c r="A13" s="75" t="s">
        <v>752</v>
      </c>
      <c r="B13" s="75" t="str">
        <f>""</f>
        <v/>
      </c>
      <c r="C13" s="75" t="str">
        <f>""</f>
        <v/>
      </c>
      <c r="D13" s="75" t="str">
        <f>""</f>
        <v/>
      </c>
      <c r="E13" s="75" t="str">
        <f>""</f>
        <v/>
      </c>
      <c r="F13" s="75" t="str">
        <f>""</f>
        <v/>
      </c>
      <c r="G13" s="75" t="s">
        <v>1445</v>
      </c>
      <c r="H13" s="75" t="str">
        <f>""</f>
        <v/>
      </c>
      <c r="I13" s="75" t="str">
        <f>""</f>
        <v/>
      </c>
      <c r="J13" s="75" t="s">
        <v>1547</v>
      </c>
      <c r="K13" s="75" t="s">
        <v>1509</v>
      </c>
      <c r="L13" s="75" t="str">
        <f>""</f>
        <v/>
      </c>
      <c r="M13" s="75" t="s">
        <v>1429</v>
      </c>
      <c r="N13" s="75" t="str">
        <f>""</f>
        <v/>
      </c>
      <c r="O13" s="75" t="str">
        <f>""</f>
        <v/>
      </c>
      <c r="P13" s="75" t="str">
        <f>""</f>
        <v/>
      </c>
      <c r="Q13" s="75" t="s">
        <v>3937</v>
      </c>
      <c r="R13" s="75" t="str">
        <f>""</f>
        <v/>
      </c>
      <c r="S13" s="75" t="s">
        <v>1668</v>
      </c>
      <c r="T13" s="75" t="s">
        <v>1658</v>
      </c>
      <c r="U13" s="75" t="str">
        <f>""</f>
        <v/>
      </c>
      <c r="V13" s="75" t="s">
        <v>1639</v>
      </c>
      <c r="W13" s="75" t="str">
        <f>""</f>
        <v/>
      </c>
      <c r="X13" s="75" t="str">
        <f>""</f>
        <v/>
      </c>
      <c r="Y13" s="75" t="str">
        <f>""</f>
        <v/>
      </c>
      <c r="Z13" s="75" t="s">
        <v>1695</v>
      </c>
      <c r="AA13" s="75" t="str">
        <f>""</f>
        <v/>
      </c>
      <c r="AB13" s="75" t="s">
        <v>1842</v>
      </c>
      <c r="AC13" s="75" t="str">
        <f>""</f>
        <v/>
      </c>
      <c r="AD13" s="75" t="str">
        <f>""</f>
        <v/>
      </c>
      <c r="AE13" s="75" t="str">
        <f>""</f>
        <v/>
      </c>
      <c r="AF13" s="75" t="str">
        <f t="shared" si="0"/>
        <v/>
      </c>
      <c r="AG13" s="75" t="e">
        <f>HLOOKUP(Campagne,Faction_list_complete,11,FALSE)</f>
        <v>#N/A</v>
      </c>
      <c r="AJ13" s="143"/>
    </row>
    <row r="14" spans="1:36">
      <c r="A14" s="138" t="s">
        <v>753</v>
      </c>
      <c r="B14" s="138" t="str">
        <f>""</f>
        <v/>
      </c>
      <c r="C14" s="138" t="str">
        <f>""</f>
        <v/>
      </c>
      <c r="D14" s="138" t="str">
        <f>""</f>
        <v/>
      </c>
      <c r="E14" s="138" t="str">
        <f>""</f>
        <v/>
      </c>
      <c r="F14" s="138" t="str">
        <f>""</f>
        <v/>
      </c>
      <c r="G14" s="138" t="s">
        <v>1446</v>
      </c>
      <c r="H14" s="138" t="str">
        <f>""</f>
        <v/>
      </c>
      <c r="I14" s="138" t="str">
        <f>""</f>
        <v/>
      </c>
      <c r="J14" s="138" t="s">
        <v>1548</v>
      </c>
      <c r="K14" s="138" t="s">
        <v>1510</v>
      </c>
      <c r="L14" s="138" t="str">
        <f>""</f>
        <v/>
      </c>
      <c r="M14" s="138" t="s">
        <v>1483</v>
      </c>
      <c r="N14" s="138" t="str">
        <f>""</f>
        <v/>
      </c>
      <c r="O14" s="138" t="str">
        <f>""</f>
        <v/>
      </c>
      <c r="P14" s="138" t="str">
        <f>""</f>
        <v/>
      </c>
      <c r="Q14" s="138" t="s">
        <v>3938</v>
      </c>
      <c r="R14" s="138" t="str">
        <f>""</f>
        <v/>
      </c>
      <c r="S14" s="138" t="s">
        <v>1669</v>
      </c>
      <c r="T14" s="138" t="str">
        <f>""</f>
        <v/>
      </c>
      <c r="U14" s="138" t="str">
        <f>""</f>
        <v/>
      </c>
      <c r="V14" s="138" t="s">
        <v>1634</v>
      </c>
      <c r="W14" s="138" t="str">
        <f>""</f>
        <v/>
      </c>
      <c r="X14" s="138" t="str">
        <f>""</f>
        <v/>
      </c>
      <c r="Y14" s="138" t="str">
        <f>""</f>
        <v/>
      </c>
      <c r="Z14" s="138" t="s">
        <v>1696</v>
      </c>
      <c r="AA14" s="138" t="str">
        <f>""</f>
        <v/>
      </c>
      <c r="AB14" s="138" t="s">
        <v>1843</v>
      </c>
      <c r="AC14" s="138" t="str">
        <f>""</f>
        <v/>
      </c>
      <c r="AD14" s="138" t="str">
        <f>""</f>
        <v/>
      </c>
      <c r="AE14" s="138" t="str">
        <f>""</f>
        <v/>
      </c>
      <c r="AF14" s="138" t="str">
        <f t="shared" si="0"/>
        <v/>
      </c>
      <c r="AG14" s="138" t="e">
        <f>HLOOKUP(Campagne,Faction_list_complete,12,FALSE)</f>
        <v>#N/A</v>
      </c>
      <c r="AJ14" s="143"/>
    </row>
    <row r="15" spans="1:36">
      <c r="A15" s="75" t="s">
        <v>754</v>
      </c>
      <c r="B15" s="75" t="str">
        <f>""</f>
        <v/>
      </c>
      <c r="C15" s="75" t="str">
        <f>""</f>
        <v/>
      </c>
      <c r="D15" s="75" t="str">
        <f>""</f>
        <v/>
      </c>
      <c r="E15" s="75" t="str">
        <f>""</f>
        <v/>
      </c>
      <c r="F15" s="75" t="str">
        <f>""</f>
        <v/>
      </c>
      <c r="G15" s="75" t="s">
        <v>1447</v>
      </c>
      <c r="H15" s="75" t="str">
        <f>""</f>
        <v/>
      </c>
      <c r="I15" s="75" t="str">
        <f>""</f>
        <v/>
      </c>
      <c r="J15" s="75" t="s">
        <v>1549</v>
      </c>
      <c r="K15" s="75" t="s">
        <v>1511</v>
      </c>
      <c r="L15" s="75" t="str">
        <f>""</f>
        <v/>
      </c>
      <c r="M15" s="75" t="s">
        <v>1484</v>
      </c>
      <c r="N15" s="75" t="str">
        <f>""</f>
        <v/>
      </c>
      <c r="O15" s="75" t="str">
        <f>""</f>
        <v/>
      </c>
      <c r="P15" s="75" t="str">
        <f>""</f>
        <v/>
      </c>
      <c r="Q15" s="75" t="s">
        <v>3939</v>
      </c>
      <c r="R15" s="75" t="str">
        <f>""</f>
        <v/>
      </c>
      <c r="S15" s="75" t="s">
        <v>1670</v>
      </c>
      <c r="T15" s="75" t="str">
        <f>""</f>
        <v/>
      </c>
      <c r="U15" s="75" t="str">
        <f>""</f>
        <v/>
      </c>
      <c r="V15" s="75" t="str">
        <f>""</f>
        <v/>
      </c>
      <c r="W15" s="75" t="str">
        <f>""</f>
        <v/>
      </c>
      <c r="X15" s="75" t="str">
        <f>""</f>
        <v/>
      </c>
      <c r="Y15" s="75" t="str">
        <f>""</f>
        <v/>
      </c>
      <c r="Z15" s="75" t="s">
        <v>1697</v>
      </c>
      <c r="AA15" s="75" t="str">
        <f>""</f>
        <v/>
      </c>
      <c r="AB15" s="75" t="s">
        <v>1844</v>
      </c>
      <c r="AC15" s="75" t="str">
        <f>""</f>
        <v/>
      </c>
      <c r="AD15" s="75" t="str">
        <f>""</f>
        <v/>
      </c>
      <c r="AE15" s="75" t="str">
        <f>""</f>
        <v/>
      </c>
      <c r="AF15" s="75" t="str">
        <f t="shared" si="0"/>
        <v/>
      </c>
      <c r="AG15" s="75" t="e">
        <f>HLOOKUP(Campagne,Faction_list_complete,13,FALSE)</f>
        <v>#N/A</v>
      </c>
      <c r="AJ15" s="143"/>
    </row>
    <row r="16" spans="1:36">
      <c r="A16" s="138" t="s">
        <v>755</v>
      </c>
      <c r="B16" s="138" t="str">
        <f>""</f>
        <v/>
      </c>
      <c r="C16" s="138" t="str">
        <f>""</f>
        <v/>
      </c>
      <c r="D16" s="138" t="str">
        <f>""</f>
        <v/>
      </c>
      <c r="E16" s="138" t="str">
        <f>""</f>
        <v/>
      </c>
      <c r="F16" s="138" t="str">
        <f>""</f>
        <v/>
      </c>
      <c r="G16" s="138" t="s">
        <v>1448</v>
      </c>
      <c r="H16" s="138" t="str">
        <f>""</f>
        <v/>
      </c>
      <c r="I16" s="138" t="str">
        <f>""</f>
        <v/>
      </c>
      <c r="J16" s="138" t="s">
        <v>1550</v>
      </c>
      <c r="K16" s="138" t="s">
        <v>1512</v>
      </c>
      <c r="L16" s="138" t="str">
        <f>""</f>
        <v/>
      </c>
      <c r="M16" s="138" t="s">
        <v>1485</v>
      </c>
      <c r="N16" s="138" t="str">
        <f>""</f>
        <v/>
      </c>
      <c r="O16" s="138" t="str">
        <f>""</f>
        <v/>
      </c>
      <c r="P16" s="138" t="str">
        <f>""</f>
        <v/>
      </c>
      <c r="Q16" s="138" t="s">
        <v>3940</v>
      </c>
      <c r="R16" s="138" t="str">
        <f>""</f>
        <v/>
      </c>
      <c r="S16" s="138" t="s">
        <v>1671</v>
      </c>
      <c r="T16" s="138" t="str">
        <f>""</f>
        <v/>
      </c>
      <c r="U16" s="138" t="str">
        <f>""</f>
        <v/>
      </c>
      <c r="V16" s="138" t="str">
        <f>""</f>
        <v/>
      </c>
      <c r="W16" s="138" t="str">
        <f>""</f>
        <v/>
      </c>
      <c r="X16" s="138" t="str">
        <f>""</f>
        <v/>
      </c>
      <c r="Y16" s="138" t="str">
        <f>""</f>
        <v/>
      </c>
      <c r="Z16" s="138" t="s">
        <v>1698</v>
      </c>
      <c r="AA16" s="138" t="str">
        <f>""</f>
        <v/>
      </c>
      <c r="AB16" s="138" t="s">
        <v>1845</v>
      </c>
      <c r="AC16" s="138" t="str">
        <f>""</f>
        <v/>
      </c>
      <c r="AD16" s="138" t="str">
        <f>""</f>
        <v/>
      </c>
      <c r="AE16" s="138" t="str">
        <f>""</f>
        <v/>
      </c>
      <c r="AF16" s="138" t="str">
        <f t="shared" si="0"/>
        <v/>
      </c>
      <c r="AG16" s="138" t="e">
        <f>HLOOKUP(Campagne,Faction_list_complete,14,FALSE)</f>
        <v>#N/A</v>
      </c>
      <c r="AJ16" s="143"/>
    </row>
    <row r="17" spans="1:36">
      <c r="A17" s="75" t="s">
        <v>756</v>
      </c>
      <c r="B17" s="75" t="str">
        <f>""</f>
        <v/>
      </c>
      <c r="C17" s="75" t="str">
        <f>""</f>
        <v/>
      </c>
      <c r="D17" s="75" t="str">
        <f>""</f>
        <v/>
      </c>
      <c r="E17" s="75" t="str">
        <f>""</f>
        <v/>
      </c>
      <c r="F17" s="75" t="str">
        <f>""</f>
        <v/>
      </c>
      <c r="G17" s="75" t="s">
        <v>1449</v>
      </c>
      <c r="H17" s="75" t="str">
        <f>""</f>
        <v/>
      </c>
      <c r="I17" s="75" t="str">
        <f>""</f>
        <v/>
      </c>
      <c r="J17" s="75" t="s">
        <v>1551</v>
      </c>
      <c r="K17" s="75" t="s">
        <v>1513</v>
      </c>
      <c r="L17" s="75" t="str">
        <f>""</f>
        <v/>
      </c>
      <c r="M17" s="75" t="s">
        <v>1486</v>
      </c>
      <c r="N17" s="75" t="str">
        <f>""</f>
        <v/>
      </c>
      <c r="O17" s="75" t="str">
        <f>""</f>
        <v/>
      </c>
      <c r="P17" s="75" t="str">
        <f>""</f>
        <v/>
      </c>
      <c r="Q17" s="75" t="s">
        <v>3941</v>
      </c>
      <c r="R17" s="75" t="str">
        <f>""</f>
        <v/>
      </c>
      <c r="S17" s="75" t="s">
        <v>1672</v>
      </c>
      <c r="T17" s="75" t="str">
        <f>""</f>
        <v/>
      </c>
      <c r="U17" s="75" t="str">
        <f>""</f>
        <v/>
      </c>
      <c r="V17" s="75" t="str">
        <f>""</f>
        <v/>
      </c>
      <c r="W17" s="75" t="str">
        <f>""</f>
        <v/>
      </c>
      <c r="X17" s="75" t="str">
        <f>""</f>
        <v/>
      </c>
      <c r="Y17" s="75" t="str">
        <f>""</f>
        <v/>
      </c>
      <c r="Z17" s="75" t="s">
        <v>1699</v>
      </c>
      <c r="AA17" s="75" t="str">
        <f>""</f>
        <v/>
      </c>
      <c r="AB17" s="75" t="s">
        <v>1846</v>
      </c>
      <c r="AC17" s="75" t="str">
        <f>""</f>
        <v/>
      </c>
      <c r="AD17" s="75" t="str">
        <f>""</f>
        <v/>
      </c>
      <c r="AE17" s="75" t="str">
        <f>""</f>
        <v/>
      </c>
      <c r="AF17" s="75" t="str">
        <f t="shared" si="0"/>
        <v/>
      </c>
      <c r="AG17" s="75" t="e">
        <f>HLOOKUP(Campagne,Faction_list_complete,15,FALSE)</f>
        <v>#N/A</v>
      </c>
      <c r="AJ17" s="143"/>
    </row>
    <row r="18" spans="1:36">
      <c r="A18" s="138" t="s">
        <v>757</v>
      </c>
      <c r="B18" s="138" t="str">
        <f>""</f>
        <v/>
      </c>
      <c r="C18" s="138" t="str">
        <f>""</f>
        <v/>
      </c>
      <c r="D18" s="138" t="str">
        <f>""</f>
        <v/>
      </c>
      <c r="E18" s="138" t="str">
        <f>""</f>
        <v/>
      </c>
      <c r="F18" s="138" t="str">
        <f>""</f>
        <v/>
      </c>
      <c r="G18" s="138" t="s">
        <v>1450</v>
      </c>
      <c r="H18" s="138" t="str">
        <f>""</f>
        <v/>
      </c>
      <c r="I18" s="138" t="str">
        <f>""</f>
        <v/>
      </c>
      <c r="J18" s="138" t="s">
        <v>1552</v>
      </c>
      <c r="K18" s="138" t="s">
        <v>1514</v>
      </c>
      <c r="L18" s="138" t="str">
        <f>""</f>
        <v/>
      </c>
      <c r="M18" s="138" t="s">
        <v>1487</v>
      </c>
      <c r="N18" s="138" t="str">
        <f>""</f>
        <v/>
      </c>
      <c r="O18" s="138" t="str">
        <f>""</f>
        <v/>
      </c>
      <c r="P18" s="138" t="str">
        <f>""</f>
        <v/>
      </c>
      <c r="Q18" s="138" t="s">
        <v>3942</v>
      </c>
      <c r="R18" s="138" t="str">
        <f>""</f>
        <v/>
      </c>
      <c r="S18" s="138" t="s">
        <v>1673</v>
      </c>
      <c r="T18" s="138" t="str">
        <f>""</f>
        <v/>
      </c>
      <c r="U18" s="138" t="str">
        <f>""</f>
        <v/>
      </c>
      <c r="V18" s="138" t="str">
        <f>""</f>
        <v/>
      </c>
      <c r="W18" s="138" t="str">
        <f>""</f>
        <v/>
      </c>
      <c r="X18" s="138" t="str">
        <f>""</f>
        <v/>
      </c>
      <c r="Y18" s="138" t="str">
        <f>""</f>
        <v/>
      </c>
      <c r="Z18" s="138" t="s">
        <v>1700</v>
      </c>
      <c r="AA18" s="138" t="str">
        <f>""</f>
        <v/>
      </c>
      <c r="AB18" s="138" t="s">
        <v>1847</v>
      </c>
      <c r="AC18" s="138" t="str">
        <f>""</f>
        <v/>
      </c>
      <c r="AD18" s="138" t="str">
        <f>""</f>
        <v/>
      </c>
      <c r="AE18" s="138" t="str">
        <f>""</f>
        <v/>
      </c>
      <c r="AF18" s="138" t="str">
        <f t="shared" si="0"/>
        <v/>
      </c>
      <c r="AG18" s="138" t="e">
        <f>HLOOKUP(Campagne,Faction_list_complete,16,FALSE)</f>
        <v>#N/A</v>
      </c>
      <c r="AJ18" s="143"/>
    </row>
    <row r="19" spans="1:36">
      <c r="A19" s="75" t="s">
        <v>758</v>
      </c>
      <c r="B19" s="75" t="str">
        <f>""</f>
        <v/>
      </c>
      <c r="C19" s="75" t="str">
        <f>""</f>
        <v/>
      </c>
      <c r="D19" s="75" t="str">
        <f>""</f>
        <v/>
      </c>
      <c r="E19" s="75" t="str">
        <f>""</f>
        <v/>
      </c>
      <c r="F19" s="75" t="str">
        <f>""</f>
        <v/>
      </c>
      <c r="G19" s="75" t="s">
        <v>1451</v>
      </c>
      <c r="H19" s="75" t="str">
        <f>""</f>
        <v/>
      </c>
      <c r="I19" s="75" t="str">
        <f>""</f>
        <v/>
      </c>
      <c r="J19" s="75" t="s">
        <v>1553</v>
      </c>
      <c r="K19" s="75" t="s">
        <v>1515</v>
      </c>
      <c r="L19" s="75" t="str">
        <f>""</f>
        <v/>
      </c>
      <c r="M19" s="75" t="s">
        <v>1488</v>
      </c>
      <c r="N19" s="75" t="str">
        <f>""</f>
        <v/>
      </c>
      <c r="O19" s="75" t="str">
        <f>""</f>
        <v/>
      </c>
      <c r="P19" s="75" t="str">
        <f>""</f>
        <v/>
      </c>
      <c r="Q19" s="75" t="s">
        <v>3943</v>
      </c>
      <c r="R19" s="75" t="str">
        <f>""</f>
        <v/>
      </c>
      <c r="S19" s="75" t="s">
        <v>1675</v>
      </c>
      <c r="T19" s="75" t="str">
        <f>""</f>
        <v/>
      </c>
      <c r="U19" s="75" t="str">
        <f>""</f>
        <v/>
      </c>
      <c r="V19" s="75" t="str">
        <f>""</f>
        <v/>
      </c>
      <c r="W19" s="75" t="str">
        <f>""</f>
        <v/>
      </c>
      <c r="X19" s="75" t="str">
        <f>""</f>
        <v/>
      </c>
      <c r="Y19" s="75" t="str">
        <f>""</f>
        <v/>
      </c>
      <c r="Z19" s="75" t="s">
        <v>1701</v>
      </c>
      <c r="AA19" s="75" t="str">
        <f>""</f>
        <v/>
      </c>
      <c r="AB19" s="75" t="s">
        <v>1848</v>
      </c>
      <c r="AC19" s="75" t="str">
        <f>""</f>
        <v/>
      </c>
      <c r="AD19" s="75" t="str">
        <f>""</f>
        <v/>
      </c>
      <c r="AE19" s="75" t="str">
        <f>""</f>
        <v/>
      </c>
      <c r="AF19" s="75" t="str">
        <f>""</f>
        <v/>
      </c>
      <c r="AG19" s="75" t="e">
        <f>HLOOKUP(Campagne,Faction_list_complete,17,FALSE)</f>
        <v>#N/A</v>
      </c>
      <c r="AJ19" s="143"/>
    </row>
    <row r="20" spans="1:36">
      <c r="A20" s="138" t="s">
        <v>1462</v>
      </c>
      <c r="B20" s="138" t="str">
        <f>""</f>
        <v/>
      </c>
      <c r="C20" s="138" t="str">
        <f>""</f>
        <v/>
      </c>
      <c r="D20" s="138" t="str">
        <f>""</f>
        <v/>
      </c>
      <c r="E20" s="138" t="str">
        <f>""</f>
        <v/>
      </c>
      <c r="F20" s="138" t="str">
        <f>""</f>
        <v/>
      </c>
      <c r="G20" s="138" t="s">
        <v>1452</v>
      </c>
      <c r="H20" s="138" t="str">
        <f>""</f>
        <v/>
      </c>
      <c r="I20" s="138" t="str">
        <f>""</f>
        <v/>
      </c>
      <c r="J20" s="138" t="s">
        <v>1554</v>
      </c>
      <c r="K20" s="138" t="s">
        <v>1516</v>
      </c>
      <c r="L20" s="138" t="str">
        <f>""</f>
        <v/>
      </c>
      <c r="M20" s="138" t="s">
        <v>1489</v>
      </c>
      <c r="N20" s="138" t="str">
        <f>""</f>
        <v/>
      </c>
      <c r="O20" s="138" t="str">
        <f>""</f>
        <v/>
      </c>
      <c r="P20" s="138" t="str">
        <f>""</f>
        <v/>
      </c>
      <c r="Q20" s="138" t="s">
        <v>3944</v>
      </c>
      <c r="R20" s="138" t="str">
        <f>""</f>
        <v/>
      </c>
      <c r="S20" s="138" t="s">
        <v>1674</v>
      </c>
      <c r="T20" s="138" t="str">
        <f>""</f>
        <v/>
      </c>
      <c r="U20" s="138" t="str">
        <f>""</f>
        <v/>
      </c>
      <c r="V20" s="138" t="str">
        <f>""</f>
        <v/>
      </c>
      <c r="W20" s="138" t="str">
        <f>""</f>
        <v/>
      </c>
      <c r="X20" s="138" t="str">
        <f>""</f>
        <v/>
      </c>
      <c r="Y20" s="138" t="str">
        <f>""</f>
        <v/>
      </c>
      <c r="Z20" s="138" t="s">
        <v>1702</v>
      </c>
      <c r="AA20" s="138" t="str">
        <f>""</f>
        <v/>
      </c>
      <c r="AB20" s="138" t="s">
        <v>1849</v>
      </c>
      <c r="AC20" s="138" t="str">
        <f>""</f>
        <v/>
      </c>
      <c r="AD20" s="138" t="str">
        <f>""</f>
        <v/>
      </c>
      <c r="AE20" s="138" t="str">
        <f>""</f>
        <v/>
      </c>
      <c r="AF20" s="138" t="str">
        <f>""</f>
        <v/>
      </c>
      <c r="AG20" s="138" t="e">
        <f>HLOOKUP(Campagne,Faction_list_complete,18,FALSE)</f>
        <v>#N/A</v>
      </c>
      <c r="AJ20" s="143"/>
    </row>
    <row r="21" spans="1:36">
      <c r="A21" s="75" t="s">
        <v>1463</v>
      </c>
      <c r="B21" s="75" t="str">
        <f>""</f>
        <v/>
      </c>
      <c r="C21" s="75" t="str">
        <f>""</f>
        <v/>
      </c>
      <c r="D21" s="75" t="str">
        <f>""</f>
        <v/>
      </c>
      <c r="E21" s="75" t="str">
        <f>""</f>
        <v/>
      </c>
      <c r="F21" s="75" t="str">
        <f>""</f>
        <v/>
      </c>
      <c r="G21" s="75" t="s">
        <v>1453</v>
      </c>
      <c r="H21" s="75" t="str">
        <f>""</f>
        <v/>
      </c>
      <c r="I21" s="75" t="str">
        <f>""</f>
        <v/>
      </c>
      <c r="J21" s="75" t="s">
        <v>1555</v>
      </c>
      <c r="K21" s="75" t="s">
        <v>1517</v>
      </c>
      <c r="L21" s="75" t="str">
        <f>""</f>
        <v/>
      </c>
      <c r="M21" s="75" t="s">
        <v>1490</v>
      </c>
      <c r="N21" s="75" t="str">
        <f>""</f>
        <v/>
      </c>
      <c r="O21" s="75" t="str">
        <f>""</f>
        <v/>
      </c>
      <c r="P21" s="75" t="str">
        <f>""</f>
        <v/>
      </c>
      <c r="Q21" s="75" t="s">
        <v>3945</v>
      </c>
      <c r="R21" s="75" t="str">
        <f>""</f>
        <v/>
      </c>
      <c r="S21" s="75" t="s">
        <v>1677</v>
      </c>
      <c r="T21" s="75" t="str">
        <f>""</f>
        <v/>
      </c>
      <c r="U21" s="75" t="str">
        <f>""</f>
        <v/>
      </c>
      <c r="V21" s="75" t="str">
        <f>""</f>
        <v/>
      </c>
      <c r="W21" s="75" t="str">
        <f>""</f>
        <v/>
      </c>
      <c r="X21" s="75" t="str">
        <f>""</f>
        <v/>
      </c>
      <c r="Y21" s="75" t="str">
        <f>""</f>
        <v/>
      </c>
      <c r="Z21" s="75" t="s">
        <v>1703</v>
      </c>
      <c r="AA21" s="75" t="str">
        <f>""</f>
        <v/>
      </c>
      <c r="AB21" s="75" t="str">
        <f>""</f>
        <v/>
      </c>
      <c r="AC21" s="75" t="str">
        <f>""</f>
        <v/>
      </c>
      <c r="AD21" s="75" t="str">
        <f>""</f>
        <v/>
      </c>
      <c r="AE21" s="75" t="str">
        <f>""</f>
        <v/>
      </c>
      <c r="AF21" s="75" t="str">
        <f>""</f>
        <v/>
      </c>
      <c r="AG21" s="75" t="e">
        <f>HLOOKUP(Campagne,Faction_list_complete,19,FALSE)</f>
        <v>#N/A</v>
      </c>
      <c r="AJ21" s="31"/>
    </row>
    <row r="22" spans="1:36">
      <c r="A22" s="138" t="s">
        <v>1464</v>
      </c>
      <c r="B22" s="138" t="str">
        <f>""</f>
        <v/>
      </c>
      <c r="C22" s="138" t="str">
        <f>""</f>
        <v/>
      </c>
      <c r="D22" s="138" t="str">
        <f>""</f>
        <v/>
      </c>
      <c r="E22" s="138" t="str">
        <f>""</f>
        <v/>
      </c>
      <c r="F22" s="138" t="str">
        <f>""</f>
        <v/>
      </c>
      <c r="G22" s="138" t="s">
        <v>1454</v>
      </c>
      <c r="H22" s="138" t="str">
        <f>""</f>
        <v/>
      </c>
      <c r="I22" s="138" t="str">
        <f>""</f>
        <v/>
      </c>
      <c r="J22" s="138" t="s">
        <v>1556</v>
      </c>
      <c r="K22" s="138" t="s">
        <v>1518</v>
      </c>
      <c r="L22" s="138" t="str">
        <f>""</f>
        <v/>
      </c>
      <c r="M22" s="138" t="s">
        <v>1491</v>
      </c>
      <c r="N22" s="138" t="str">
        <f>""</f>
        <v/>
      </c>
      <c r="O22" s="138" t="str">
        <f>""</f>
        <v/>
      </c>
      <c r="P22" s="138" t="str">
        <f>""</f>
        <v/>
      </c>
      <c r="Q22" s="138" t="s">
        <v>3946</v>
      </c>
      <c r="R22" s="138" t="str">
        <f>""</f>
        <v/>
      </c>
      <c r="S22" s="138" t="s">
        <v>1676</v>
      </c>
      <c r="T22" s="138" t="str">
        <f>""</f>
        <v/>
      </c>
      <c r="U22" s="138" t="str">
        <f>""</f>
        <v/>
      </c>
      <c r="V22" s="138" t="str">
        <f>""</f>
        <v/>
      </c>
      <c r="W22" s="138" t="str">
        <f>""</f>
        <v/>
      </c>
      <c r="X22" s="138" t="str">
        <f>""</f>
        <v/>
      </c>
      <c r="Y22" s="138" t="str">
        <f>""</f>
        <v/>
      </c>
      <c r="Z22" s="138" t="s">
        <v>1704</v>
      </c>
      <c r="AA22" s="138" t="str">
        <f>""</f>
        <v/>
      </c>
      <c r="AB22" s="138" t="str">
        <f>""</f>
        <v/>
      </c>
      <c r="AC22" s="138" t="str">
        <f>""</f>
        <v/>
      </c>
      <c r="AD22" s="138" t="str">
        <f>""</f>
        <v/>
      </c>
      <c r="AE22" s="138" t="str">
        <f>""</f>
        <v/>
      </c>
      <c r="AF22" s="138" t="str">
        <f>""</f>
        <v/>
      </c>
      <c r="AG22" s="138" t="e">
        <f>HLOOKUP(Campagne,Faction_list_complete,20,FALSE)</f>
        <v>#N/A</v>
      </c>
      <c r="AJ22" s="31"/>
    </row>
    <row r="23" spans="1:36">
      <c r="A23" s="75" t="s">
        <v>1465</v>
      </c>
      <c r="B23" s="75" t="str">
        <f>""</f>
        <v/>
      </c>
      <c r="C23" s="75" t="str">
        <f>""</f>
        <v/>
      </c>
      <c r="D23" s="75" t="str">
        <f>""</f>
        <v/>
      </c>
      <c r="E23" s="75" t="str">
        <f>""</f>
        <v/>
      </c>
      <c r="F23" s="75" t="str">
        <f>""</f>
        <v/>
      </c>
      <c r="G23" s="75" t="s">
        <v>1455</v>
      </c>
      <c r="H23" s="75" t="str">
        <f>""</f>
        <v/>
      </c>
      <c r="I23" s="75" t="str">
        <f>""</f>
        <v/>
      </c>
      <c r="J23" s="75" t="s">
        <v>1557</v>
      </c>
      <c r="K23" s="75" t="s">
        <v>1850</v>
      </c>
      <c r="L23" s="75" t="str">
        <f>""</f>
        <v/>
      </c>
      <c r="M23" s="75" t="str">
        <f>""</f>
        <v/>
      </c>
      <c r="N23" s="75" t="str">
        <f>""</f>
        <v/>
      </c>
      <c r="O23" s="75" t="str">
        <f>""</f>
        <v/>
      </c>
      <c r="P23" s="75" t="str">
        <f>""</f>
        <v/>
      </c>
      <c r="Q23" s="75" t="s">
        <v>3947</v>
      </c>
      <c r="R23" s="75" t="str">
        <f>""</f>
        <v/>
      </c>
      <c r="S23" s="75" t="s">
        <v>1678</v>
      </c>
      <c r="T23" s="75" t="str">
        <f>""</f>
        <v/>
      </c>
      <c r="U23" s="75" t="str">
        <f>""</f>
        <v/>
      </c>
      <c r="V23" s="75" t="str">
        <f>""</f>
        <v/>
      </c>
      <c r="W23" s="75" t="str">
        <f>""</f>
        <v/>
      </c>
      <c r="X23" s="75" t="str">
        <f>""</f>
        <v/>
      </c>
      <c r="Y23" s="75" t="str">
        <f>""</f>
        <v/>
      </c>
      <c r="Z23" s="75" t="s">
        <v>1705</v>
      </c>
      <c r="AA23" s="75" t="str">
        <f>""</f>
        <v/>
      </c>
      <c r="AB23" s="75" t="str">
        <f>""</f>
        <v/>
      </c>
      <c r="AC23" s="75" t="str">
        <f>""</f>
        <v/>
      </c>
      <c r="AD23" s="75" t="str">
        <f>""</f>
        <v/>
      </c>
      <c r="AE23" s="75" t="str">
        <f>""</f>
        <v/>
      </c>
      <c r="AF23" s="75" t="str">
        <f>""</f>
        <v/>
      </c>
      <c r="AG23" s="75" t="e">
        <f>HLOOKUP(Campagne,Faction_list_complete,21,FALSE)</f>
        <v>#N/A</v>
      </c>
      <c r="AJ23" s="31"/>
    </row>
    <row r="24" spans="1:36">
      <c r="A24" s="138" t="s">
        <v>1466</v>
      </c>
      <c r="B24" s="138" t="str">
        <f>""</f>
        <v/>
      </c>
      <c r="C24" s="138" t="str">
        <f>""</f>
        <v/>
      </c>
      <c r="D24" s="138" t="str">
        <f>""</f>
        <v/>
      </c>
      <c r="E24" s="138" t="str">
        <f>""</f>
        <v/>
      </c>
      <c r="F24" s="138" t="str">
        <f>""</f>
        <v/>
      </c>
      <c r="G24" s="138" t="s">
        <v>1456</v>
      </c>
      <c r="H24" s="138" t="str">
        <f>""</f>
        <v/>
      </c>
      <c r="I24" s="138" t="str">
        <f>""</f>
        <v/>
      </c>
      <c r="J24" s="138" t="s">
        <v>1558</v>
      </c>
      <c r="K24" s="138" t="s">
        <v>1851</v>
      </c>
      <c r="L24" s="138" t="str">
        <f>""</f>
        <v/>
      </c>
      <c r="M24" s="138" t="str">
        <f>""</f>
        <v/>
      </c>
      <c r="N24" s="138" t="str">
        <f>""</f>
        <v/>
      </c>
      <c r="O24" s="138" t="str">
        <f>""</f>
        <v/>
      </c>
      <c r="P24" s="138" t="str">
        <f>""</f>
        <v/>
      </c>
      <c r="Q24" s="138" t="s">
        <v>3948</v>
      </c>
      <c r="R24" s="138" t="str">
        <f>""</f>
        <v/>
      </c>
      <c r="S24" s="138" t="s">
        <v>1679</v>
      </c>
      <c r="T24" s="138" t="str">
        <f>""</f>
        <v/>
      </c>
      <c r="U24" s="138" t="str">
        <f>""</f>
        <v/>
      </c>
      <c r="V24" s="138" t="str">
        <f>""</f>
        <v/>
      </c>
      <c r="W24" s="138" t="str">
        <f>""</f>
        <v/>
      </c>
      <c r="X24" s="138" t="str">
        <f>""</f>
        <v/>
      </c>
      <c r="Y24" s="138" t="str">
        <f>""</f>
        <v/>
      </c>
      <c r="Z24" s="138" t="s">
        <v>1706</v>
      </c>
      <c r="AA24" s="138" t="str">
        <f>""</f>
        <v/>
      </c>
      <c r="AB24" s="138" t="str">
        <f>""</f>
        <v/>
      </c>
      <c r="AC24" s="138" t="str">
        <f>""</f>
        <v/>
      </c>
      <c r="AD24" s="138" t="str">
        <f>""</f>
        <v/>
      </c>
      <c r="AE24" s="138" t="str">
        <f>""</f>
        <v/>
      </c>
      <c r="AF24" s="138" t="str">
        <f>""</f>
        <v/>
      </c>
      <c r="AG24" s="138" t="e">
        <f>HLOOKUP(Campagne,Faction_list_complete,22,FALSE)</f>
        <v>#N/A</v>
      </c>
      <c r="AJ24" s="31"/>
    </row>
    <row r="25" spans="1:36">
      <c r="A25" s="75" t="s">
        <v>1467</v>
      </c>
      <c r="B25" s="75" t="str">
        <f>""</f>
        <v/>
      </c>
      <c r="C25" s="75" t="str">
        <f>""</f>
        <v/>
      </c>
      <c r="D25" s="75" t="str">
        <f>""</f>
        <v/>
      </c>
      <c r="E25" s="75" t="str">
        <f>""</f>
        <v/>
      </c>
      <c r="F25" s="75" t="str">
        <f>""</f>
        <v/>
      </c>
      <c r="G25" s="75" t="s">
        <v>1457</v>
      </c>
      <c r="H25" s="75" t="str">
        <f>""</f>
        <v/>
      </c>
      <c r="I25" s="75" t="str">
        <f>""</f>
        <v/>
      </c>
      <c r="J25" s="75" t="s">
        <v>1559</v>
      </c>
      <c r="K25" s="75" t="s">
        <v>1852</v>
      </c>
      <c r="L25" s="75" t="str">
        <f>""</f>
        <v/>
      </c>
      <c r="M25" s="75" t="str">
        <f>""</f>
        <v/>
      </c>
      <c r="N25" s="75" t="str">
        <f>""</f>
        <v/>
      </c>
      <c r="O25" s="75" t="str">
        <f>""</f>
        <v/>
      </c>
      <c r="P25" s="75" t="str">
        <f>""</f>
        <v/>
      </c>
      <c r="Q25" s="75" t="s">
        <v>3949</v>
      </c>
      <c r="R25" s="75" t="str">
        <f>""</f>
        <v/>
      </c>
      <c r="S25" s="75" t="s">
        <v>1680</v>
      </c>
      <c r="T25" s="75" t="str">
        <f>""</f>
        <v/>
      </c>
      <c r="U25" s="75" t="str">
        <f>""</f>
        <v/>
      </c>
      <c r="V25" s="75" t="str">
        <f>""</f>
        <v/>
      </c>
      <c r="W25" s="75" t="str">
        <f>""</f>
        <v/>
      </c>
      <c r="X25" s="75" t="str">
        <f>""</f>
        <v/>
      </c>
      <c r="Y25" s="75" t="str">
        <f>""</f>
        <v/>
      </c>
      <c r="Z25" s="75" t="s">
        <v>1707</v>
      </c>
      <c r="AA25" s="75" t="str">
        <f>""</f>
        <v/>
      </c>
      <c r="AB25" s="75" t="str">
        <f>""</f>
        <v/>
      </c>
      <c r="AC25" s="75" t="str">
        <f>""</f>
        <v/>
      </c>
      <c r="AD25" s="75" t="str">
        <f>""</f>
        <v/>
      </c>
      <c r="AE25" s="75" t="str">
        <f>""</f>
        <v/>
      </c>
      <c r="AF25" s="75" t="str">
        <f>""</f>
        <v/>
      </c>
      <c r="AG25" s="75" t="e">
        <f>HLOOKUP(Campagne,Faction_list_complete,23,FALSE)</f>
        <v>#N/A</v>
      </c>
    </row>
    <row r="26" spans="1:36">
      <c r="A26" s="138" t="s">
        <v>1468</v>
      </c>
      <c r="B26" s="138" t="str">
        <f>""</f>
        <v/>
      </c>
      <c r="C26" s="138" t="str">
        <f>""</f>
        <v/>
      </c>
      <c r="D26" s="138" t="str">
        <f>""</f>
        <v/>
      </c>
      <c r="E26" s="138" t="str">
        <f>""</f>
        <v/>
      </c>
      <c r="F26" s="138" t="str">
        <f>""</f>
        <v/>
      </c>
      <c r="G26" s="138" t="s">
        <v>1458</v>
      </c>
      <c r="H26" s="138" t="str">
        <f>""</f>
        <v/>
      </c>
      <c r="I26" s="138" t="str">
        <f>""</f>
        <v/>
      </c>
      <c r="J26" s="138" t="s">
        <v>1560</v>
      </c>
      <c r="K26" s="138" t="s">
        <v>1853</v>
      </c>
      <c r="L26" s="138" t="str">
        <f>""</f>
        <v/>
      </c>
      <c r="M26" s="138" t="str">
        <f>""</f>
        <v/>
      </c>
      <c r="N26" s="138" t="str">
        <f>""</f>
        <v/>
      </c>
      <c r="O26" s="138" t="str">
        <f>""</f>
        <v/>
      </c>
      <c r="P26" s="138" t="str">
        <f>""</f>
        <v/>
      </c>
      <c r="Q26" s="138" t="s">
        <v>3950</v>
      </c>
      <c r="R26" s="138" t="str">
        <f>""</f>
        <v/>
      </c>
      <c r="S26" s="138" t="s">
        <v>1681</v>
      </c>
      <c r="T26" s="138" t="str">
        <f>""</f>
        <v/>
      </c>
      <c r="U26" s="138" t="str">
        <f>""</f>
        <v/>
      </c>
      <c r="V26" s="138" t="str">
        <f>""</f>
        <v/>
      </c>
      <c r="W26" s="138" t="str">
        <f>""</f>
        <v/>
      </c>
      <c r="X26" s="138" t="str">
        <f>""</f>
        <v/>
      </c>
      <c r="Y26" s="138" t="str">
        <f>""</f>
        <v/>
      </c>
      <c r="Z26" s="138" t="s">
        <v>1708</v>
      </c>
      <c r="AA26" s="138" t="str">
        <f>""</f>
        <v/>
      </c>
      <c r="AB26" s="138" t="str">
        <f>""</f>
        <v/>
      </c>
      <c r="AC26" s="138" t="str">
        <f>""</f>
        <v/>
      </c>
      <c r="AD26" s="138" t="str">
        <f>""</f>
        <v/>
      </c>
      <c r="AE26" s="138" t="str">
        <f>""</f>
        <v/>
      </c>
      <c r="AF26" s="138" t="str">
        <f>""</f>
        <v/>
      </c>
      <c r="AG26" s="138" t="e">
        <f>HLOOKUP(Campagne,Faction_list_complete,24,FALSE)</f>
        <v>#N/A</v>
      </c>
    </row>
    <row r="27" spans="1:36">
      <c r="A27" s="75" t="s">
        <v>1469</v>
      </c>
      <c r="B27" s="75" t="str">
        <f>""</f>
        <v/>
      </c>
      <c r="C27" s="75" t="str">
        <f>""</f>
        <v/>
      </c>
      <c r="D27" s="75" t="str">
        <f>""</f>
        <v/>
      </c>
      <c r="E27" s="75" t="str">
        <f>""</f>
        <v/>
      </c>
      <c r="F27" s="75" t="str">
        <f>""</f>
        <v/>
      </c>
      <c r="G27" s="75" t="s">
        <v>1459</v>
      </c>
      <c r="H27" s="75" t="str">
        <f>""</f>
        <v/>
      </c>
      <c r="I27" s="75" t="str">
        <f>""</f>
        <v/>
      </c>
      <c r="J27" s="75" t="s">
        <v>1561</v>
      </c>
      <c r="K27" s="75" t="s">
        <v>1854</v>
      </c>
      <c r="L27" s="75" t="str">
        <f>""</f>
        <v/>
      </c>
      <c r="M27" s="75" t="str">
        <f>""</f>
        <v/>
      </c>
      <c r="N27" s="75" t="str">
        <f>""</f>
        <v/>
      </c>
      <c r="O27" s="75" t="str">
        <f>""</f>
        <v/>
      </c>
      <c r="P27" s="75" t="str">
        <f>""</f>
        <v/>
      </c>
      <c r="Q27" s="75" t="s">
        <v>3951</v>
      </c>
      <c r="R27" s="75" t="str">
        <f>""</f>
        <v/>
      </c>
      <c r="S27" s="75" t="s">
        <v>1682</v>
      </c>
      <c r="T27" s="75" t="str">
        <f>""</f>
        <v/>
      </c>
      <c r="U27" s="75" t="str">
        <f>""</f>
        <v/>
      </c>
      <c r="V27" s="75" t="str">
        <f>""</f>
        <v/>
      </c>
      <c r="W27" s="75" t="str">
        <f>""</f>
        <v/>
      </c>
      <c r="X27" s="75" t="str">
        <f>""</f>
        <v/>
      </c>
      <c r="Y27" s="75" t="str">
        <f>""</f>
        <v/>
      </c>
      <c r="Z27" s="75" t="s">
        <v>1709</v>
      </c>
      <c r="AA27" s="75" t="str">
        <f>""</f>
        <v/>
      </c>
      <c r="AB27" s="75" t="str">
        <f>""</f>
        <v/>
      </c>
      <c r="AC27" s="75" t="str">
        <f>""</f>
        <v/>
      </c>
      <c r="AD27" s="75" t="str">
        <f>""</f>
        <v/>
      </c>
      <c r="AE27" s="75" t="str">
        <f>""</f>
        <v/>
      </c>
      <c r="AF27" s="75" t="str">
        <f>""</f>
        <v/>
      </c>
      <c r="AG27" s="75" t="e">
        <f>HLOOKUP(Campagne,Faction_list_complete,25,FALSE)</f>
        <v>#N/A</v>
      </c>
    </row>
    <row r="28" spans="1:36">
      <c r="A28" s="138" t="s">
        <v>1470</v>
      </c>
      <c r="B28" s="138" t="str">
        <f>""</f>
        <v/>
      </c>
      <c r="C28" s="138" t="str">
        <f>""</f>
        <v/>
      </c>
      <c r="D28" s="138" t="str">
        <f>""</f>
        <v/>
      </c>
      <c r="E28" s="138" t="str">
        <f>""</f>
        <v/>
      </c>
      <c r="F28" s="138" t="str">
        <f>""</f>
        <v/>
      </c>
      <c r="G28" s="138" t="s">
        <v>1460</v>
      </c>
      <c r="H28" s="138" t="str">
        <f>""</f>
        <v/>
      </c>
      <c r="I28" s="138" t="str">
        <f>""</f>
        <v/>
      </c>
      <c r="J28" s="138" t="s">
        <v>1562</v>
      </c>
      <c r="K28" s="138" t="s">
        <v>1855</v>
      </c>
      <c r="L28" s="138" t="str">
        <f>""</f>
        <v/>
      </c>
      <c r="M28" s="138" t="str">
        <f>""</f>
        <v/>
      </c>
      <c r="N28" s="138" t="str">
        <f>""</f>
        <v/>
      </c>
      <c r="O28" s="138" t="str">
        <f>""</f>
        <v/>
      </c>
      <c r="P28" s="138" t="str">
        <f>""</f>
        <v/>
      </c>
      <c r="Q28" s="138" t="s">
        <v>3952</v>
      </c>
      <c r="R28" s="138" t="str">
        <f>""</f>
        <v/>
      </c>
      <c r="S28" s="138" t="str">
        <f>""</f>
        <v/>
      </c>
      <c r="T28" s="138" t="str">
        <f>""</f>
        <v/>
      </c>
      <c r="U28" s="138" t="str">
        <f>""</f>
        <v/>
      </c>
      <c r="V28" s="138" t="str">
        <f>""</f>
        <v/>
      </c>
      <c r="W28" s="138" t="str">
        <f>""</f>
        <v/>
      </c>
      <c r="X28" s="138" t="str">
        <f>""</f>
        <v/>
      </c>
      <c r="Y28" s="138" t="str">
        <f>""</f>
        <v/>
      </c>
      <c r="Z28" s="138" t="s">
        <v>1710</v>
      </c>
      <c r="AA28" s="138" t="str">
        <f>""</f>
        <v/>
      </c>
      <c r="AB28" s="138" t="str">
        <f>""</f>
        <v/>
      </c>
      <c r="AC28" s="138" t="str">
        <f>""</f>
        <v/>
      </c>
      <c r="AD28" s="138" t="str">
        <f>""</f>
        <v/>
      </c>
      <c r="AE28" s="138" t="str">
        <f>""</f>
        <v/>
      </c>
      <c r="AF28" s="138" t="str">
        <f>""</f>
        <v/>
      </c>
      <c r="AG28" s="138" t="e">
        <f>HLOOKUP(Campagne,Faction_list_complete,26,FALSE)</f>
        <v>#N/A</v>
      </c>
    </row>
    <row r="29" spans="1:36">
      <c r="A29" s="75" t="s">
        <v>1471</v>
      </c>
      <c r="B29" s="75" t="str">
        <f>""</f>
        <v/>
      </c>
      <c r="C29" s="75" t="str">
        <f>""</f>
        <v/>
      </c>
      <c r="D29" s="75" t="str">
        <f>""</f>
        <v/>
      </c>
      <c r="E29" s="75" t="str">
        <f>""</f>
        <v/>
      </c>
      <c r="F29" s="75" t="str">
        <f>""</f>
        <v/>
      </c>
      <c r="G29" s="75" t="s">
        <v>1461</v>
      </c>
      <c r="H29" s="75" t="str">
        <f>""</f>
        <v/>
      </c>
      <c r="I29" s="75" t="str">
        <f>""</f>
        <v/>
      </c>
      <c r="J29" s="75" t="s">
        <v>1563</v>
      </c>
      <c r="K29" s="75" t="s">
        <v>1856</v>
      </c>
      <c r="L29" s="75" t="str">
        <f>""</f>
        <v/>
      </c>
      <c r="M29" s="75" t="str">
        <f>""</f>
        <v/>
      </c>
      <c r="N29" s="75" t="str">
        <f>""</f>
        <v/>
      </c>
      <c r="O29" s="75" t="str">
        <f>""</f>
        <v/>
      </c>
      <c r="P29" s="75" t="str">
        <f>""</f>
        <v/>
      </c>
      <c r="Q29" s="75" t="s">
        <v>3953</v>
      </c>
      <c r="R29" s="75" t="str">
        <f>""</f>
        <v/>
      </c>
      <c r="S29" s="75" t="str">
        <f>""</f>
        <v/>
      </c>
      <c r="T29" s="75" t="str">
        <f>""</f>
        <v/>
      </c>
      <c r="U29" s="75" t="str">
        <f>""</f>
        <v/>
      </c>
      <c r="V29" s="75" t="str">
        <f>""</f>
        <v/>
      </c>
      <c r="W29" s="75" t="str">
        <f>""</f>
        <v/>
      </c>
      <c r="X29" s="75" t="str">
        <f>""</f>
        <v/>
      </c>
      <c r="Y29" s="75" t="str">
        <f>""</f>
        <v/>
      </c>
      <c r="Z29" s="75" t="s">
        <v>1711</v>
      </c>
      <c r="AA29" s="75" t="str">
        <f>""</f>
        <v/>
      </c>
      <c r="AB29" s="75" t="str">
        <f>""</f>
        <v/>
      </c>
      <c r="AC29" s="75" t="str">
        <f>""</f>
        <v/>
      </c>
      <c r="AD29" s="75" t="str">
        <f>""</f>
        <v/>
      </c>
      <c r="AE29" s="75" t="str">
        <f>""</f>
        <v/>
      </c>
      <c r="AF29" s="75" t="str">
        <f>""</f>
        <v/>
      </c>
      <c r="AG29" s="75" t="e">
        <f>HLOOKUP(Campagne,Faction_list_complete,27,FALSE)</f>
        <v>#N/A</v>
      </c>
    </row>
    <row r="30" spans="1:36">
      <c r="A30" s="138" t="s">
        <v>1472</v>
      </c>
      <c r="B30" s="138" t="str">
        <f>""</f>
        <v/>
      </c>
      <c r="C30" s="138" t="str">
        <f>""</f>
        <v/>
      </c>
      <c r="D30" s="138" t="str">
        <f>""</f>
        <v/>
      </c>
      <c r="E30" s="138" t="str">
        <f>""</f>
        <v/>
      </c>
      <c r="F30" s="138" t="str">
        <f>""</f>
        <v/>
      </c>
      <c r="G30" s="138" t="str">
        <f>""</f>
        <v/>
      </c>
      <c r="H30" s="138" t="str">
        <f>""</f>
        <v/>
      </c>
      <c r="I30" s="138" t="str">
        <f>""</f>
        <v/>
      </c>
      <c r="J30" s="138" t="s">
        <v>1564</v>
      </c>
      <c r="K30" s="138" t="str">
        <f>""</f>
        <v/>
      </c>
      <c r="L30" s="138" t="str">
        <f>""</f>
        <v/>
      </c>
      <c r="M30" s="138" t="str">
        <f>""</f>
        <v/>
      </c>
      <c r="N30" s="138" t="str">
        <f>""</f>
        <v/>
      </c>
      <c r="O30" s="138" t="str">
        <f>""</f>
        <v/>
      </c>
      <c r="P30" s="138" t="str">
        <f>""</f>
        <v/>
      </c>
      <c r="Q30" s="138" t="s">
        <v>3954</v>
      </c>
      <c r="R30" s="138" t="str">
        <f>""</f>
        <v/>
      </c>
      <c r="S30" s="138" t="str">
        <f>""</f>
        <v/>
      </c>
      <c r="T30" s="138" t="str">
        <f>""</f>
        <v/>
      </c>
      <c r="U30" s="138" t="str">
        <f>""</f>
        <v/>
      </c>
      <c r="V30" s="138" t="str">
        <f>""</f>
        <v/>
      </c>
      <c r="W30" s="138" t="str">
        <f>""</f>
        <v/>
      </c>
      <c r="X30" s="138" t="str">
        <f>""</f>
        <v/>
      </c>
      <c r="Y30" s="138" t="str">
        <f>""</f>
        <v/>
      </c>
      <c r="Z30" s="138" t="s">
        <v>1712</v>
      </c>
      <c r="AA30" s="138" t="str">
        <f>""</f>
        <v/>
      </c>
      <c r="AB30" s="138" t="str">
        <f>""</f>
        <v/>
      </c>
      <c r="AC30" s="138" t="str">
        <f>""</f>
        <v/>
      </c>
      <c r="AD30" s="138" t="str">
        <f>""</f>
        <v/>
      </c>
      <c r="AE30" s="138" t="str">
        <f>""</f>
        <v/>
      </c>
      <c r="AF30" s="138" t="str">
        <f>""</f>
        <v/>
      </c>
      <c r="AG30" s="138" t="e">
        <f>HLOOKUP(Campagne,Faction_list_complete,28,FALSE)</f>
        <v>#N/A</v>
      </c>
    </row>
    <row r="31" spans="1:36">
      <c r="A31" s="75" t="s">
        <v>1473</v>
      </c>
      <c r="B31" s="75" t="str">
        <f>""</f>
        <v/>
      </c>
      <c r="C31" s="75" t="str">
        <f>""</f>
        <v/>
      </c>
      <c r="D31" s="75" t="str">
        <f>""</f>
        <v/>
      </c>
      <c r="E31" s="75" t="str">
        <f>""</f>
        <v/>
      </c>
      <c r="F31" s="75" t="str">
        <f>""</f>
        <v/>
      </c>
      <c r="G31" s="75" t="str">
        <f>""</f>
        <v/>
      </c>
      <c r="H31" s="75" t="str">
        <f>""</f>
        <v/>
      </c>
      <c r="I31" s="75" t="str">
        <f>""</f>
        <v/>
      </c>
      <c r="J31" s="75" t="s">
        <v>1565</v>
      </c>
      <c r="K31" s="75" t="str">
        <f>""</f>
        <v/>
      </c>
      <c r="L31" s="75" t="str">
        <f>""</f>
        <v/>
      </c>
      <c r="M31" s="75" t="str">
        <f>""</f>
        <v/>
      </c>
      <c r="N31" s="75" t="str">
        <f>""</f>
        <v/>
      </c>
      <c r="O31" s="75" t="str">
        <f>""</f>
        <v/>
      </c>
      <c r="P31" s="75" t="str">
        <f>""</f>
        <v/>
      </c>
      <c r="Q31" s="75" t="s">
        <v>3955</v>
      </c>
      <c r="R31" s="75" t="str">
        <f>""</f>
        <v/>
      </c>
      <c r="S31" s="75" t="str">
        <f>""</f>
        <v/>
      </c>
      <c r="T31" s="75" t="str">
        <f>""</f>
        <v/>
      </c>
      <c r="U31" s="75" t="str">
        <f>""</f>
        <v/>
      </c>
      <c r="V31" s="75" t="str">
        <f>""</f>
        <v/>
      </c>
      <c r="W31" s="75" t="str">
        <f>""</f>
        <v/>
      </c>
      <c r="X31" s="75" t="str">
        <f>""</f>
        <v/>
      </c>
      <c r="Y31" s="75" t="str">
        <f>""</f>
        <v/>
      </c>
      <c r="Z31" s="75" t="s">
        <v>1713</v>
      </c>
      <c r="AA31" s="75" t="str">
        <f>""</f>
        <v/>
      </c>
      <c r="AB31" s="75" t="str">
        <f>""</f>
        <v/>
      </c>
      <c r="AC31" s="75" t="str">
        <f>""</f>
        <v/>
      </c>
      <c r="AD31" s="75" t="str">
        <f>""</f>
        <v/>
      </c>
      <c r="AE31" s="75" t="str">
        <f>""</f>
        <v/>
      </c>
      <c r="AF31" s="75" t="str">
        <f>""</f>
        <v/>
      </c>
      <c r="AG31" s="75" t="e">
        <f>HLOOKUP(Campagne,Faction_list_complete,29,FALSE)</f>
        <v>#N/A</v>
      </c>
    </row>
    <row r="32" spans="1:36">
      <c r="A32" s="138" t="s">
        <v>1474</v>
      </c>
      <c r="B32" s="138" t="str">
        <f>""</f>
        <v/>
      </c>
      <c r="C32" s="138" t="str">
        <f>""</f>
        <v/>
      </c>
      <c r="D32" s="138" t="str">
        <f>""</f>
        <v/>
      </c>
      <c r="E32" s="138" t="str">
        <f>""</f>
        <v/>
      </c>
      <c r="F32" s="138" t="str">
        <f>""</f>
        <v/>
      </c>
      <c r="G32" s="138" t="str">
        <f>""</f>
        <v/>
      </c>
      <c r="H32" s="138" t="str">
        <f>""</f>
        <v/>
      </c>
      <c r="I32" s="138" t="str">
        <f>""</f>
        <v/>
      </c>
      <c r="J32" s="138" t="s">
        <v>1566</v>
      </c>
      <c r="K32" s="138" t="str">
        <f>""</f>
        <v/>
      </c>
      <c r="L32" s="138" t="str">
        <f>""</f>
        <v/>
      </c>
      <c r="M32" s="138" t="str">
        <f>""</f>
        <v/>
      </c>
      <c r="N32" s="138" t="str">
        <f>""</f>
        <v/>
      </c>
      <c r="O32" s="138" t="str">
        <f>""</f>
        <v/>
      </c>
      <c r="P32" s="138" t="str">
        <f>""</f>
        <v/>
      </c>
      <c r="Q32" s="138" t="s">
        <v>3956</v>
      </c>
      <c r="R32" s="138" t="str">
        <f>""</f>
        <v/>
      </c>
      <c r="S32" s="138" t="str">
        <f>""</f>
        <v/>
      </c>
      <c r="T32" s="138" t="str">
        <f>""</f>
        <v/>
      </c>
      <c r="U32" s="138" t="str">
        <f>""</f>
        <v/>
      </c>
      <c r="V32" s="138" t="str">
        <f>""</f>
        <v/>
      </c>
      <c r="W32" s="138" t="str">
        <f>""</f>
        <v/>
      </c>
      <c r="X32" s="138" t="str">
        <f>""</f>
        <v/>
      </c>
      <c r="Y32" s="138" t="str">
        <f>""</f>
        <v/>
      </c>
      <c r="Z32" s="138" t="s">
        <v>1714</v>
      </c>
      <c r="AA32" s="138" t="str">
        <f>""</f>
        <v/>
      </c>
      <c r="AB32" s="138" t="str">
        <f>""</f>
        <v/>
      </c>
      <c r="AC32" s="138" t="str">
        <f>""</f>
        <v/>
      </c>
      <c r="AD32" s="138" t="str">
        <f>""</f>
        <v/>
      </c>
      <c r="AE32" s="138" t="str">
        <f>""</f>
        <v/>
      </c>
      <c r="AF32" s="138" t="str">
        <f>""</f>
        <v/>
      </c>
      <c r="AG32" s="138" t="e">
        <f>HLOOKUP(Campagne,Faction_list_complete,30,FALSE)</f>
        <v>#N/A</v>
      </c>
    </row>
    <row r="33" spans="1:33">
      <c r="A33" s="75" t="s">
        <v>1475</v>
      </c>
      <c r="B33" s="75" t="str">
        <f>""</f>
        <v/>
      </c>
      <c r="C33" s="75" t="str">
        <f>""</f>
        <v/>
      </c>
      <c r="D33" s="75" t="str">
        <f>""</f>
        <v/>
      </c>
      <c r="E33" s="75" t="str">
        <f>""</f>
        <v/>
      </c>
      <c r="F33" s="75" t="str">
        <f>""</f>
        <v/>
      </c>
      <c r="G33" s="75" t="str">
        <f>""</f>
        <v/>
      </c>
      <c r="H33" s="75" t="str">
        <f>""</f>
        <v/>
      </c>
      <c r="I33" s="75" t="str">
        <f>""</f>
        <v/>
      </c>
      <c r="J33" s="75" t="s">
        <v>1567</v>
      </c>
      <c r="K33" s="75" t="str">
        <f>""</f>
        <v/>
      </c>
      <c r="L33" s="75" t="str">
        <f>""</f>
        <v/>
      </c>
      <c r="M33" s="75" t="str">
        <f>""</f>
        <v/>
      </c>
      <c r="N33" s="75" t="str">
        <f>""</f>
        <v/>
      </c>
      <c r="O33" s="75" t="str">
        <f>""</f>
        <v/>
      </c>
      <c r="P33" s="75" t="str">
        <f>""</f>
        <v/>
      </c>
      <c r="Q33" s="75" t="s">
        <v>3957</v>
      </c>
      <c r="R33" s="75" t="str">
        <f>""</f>
        <v/>
      </c>
      <c r="S33" s="75" t="str">
        <f>""</f>
        <v/>
      </c>
      <c r="T33" s="75" t="str">
        <f>""</f>
        <v/>
      </c>
      <c r="U33" s="75" t="str">
        <f>""</f>
        <v/>
      </c>
      <c r="V33" s="75" t="str">
        <f>""</f>
        <v/>
      </c>
      <c r="W33" s="75" t="str">
        <f>""</f>
        <v/>
      </c>
      <c r="X33" s="75" t="str">
        <f>""</f>
        <v/>
      </c>
      <c r="Y33" s="75" t="str">
        <f>""</f>
        <v/>
      </c>
      <c r="Z33" s="75" t="s">
        <v>1715</v>
      </c>
      <c r="AA33" s="75" t="str">
        <f>""</f>
        <v/>
      </c>
      <c r="AB33" s="75" t="str">
        <f>""</f>
        <v/>
      </c>
      <c r="AC33" s="75" t="str">
        <f>""</f>
        <v/>
      </c>
      <c r="AD33" s="75" t="str">
        <f>""</f>
        <v/>
      </c>
      <c r="AE33" s="75" t="str">
        <f>""</f>
        <v/>
      </c>
      <c r="AF33" s="75" t="str">
        <f>""</f>
        <v/>
      </c>
      <c r="AG33" s="75" t="e">
        <f>HLOOKUP(Campagne,Faction_list_complete,31,FALSE)</f>
        <v>#N/A</v>
      </c>
    </row>
    <row r="34" spans="1:33">
      <c r="A34" s="138" t="s">
        <v>1476</v>
      </c>
      <c r="B34" s="138" t="str">
        <f>""</f>
        <v/>
      </c>
      <c r="C34" s="138" t="str">
        <f>""</f>
        <v/>
      </c>
      <c r="D34" s="138" t="str">
        <f>""</f>
        <v/>
      </c>
      <c r="E34" s="138" t="str">
        <f>""</f>
        <v/>
      </c>
      <c r="F34" s="138" t="str">
        <f>""</f>
        <v/>
      </c>
      <c r="G34" s="138" t="str">
        <f>""</f>
        <v/>
      </c>
      <c r="H34" s="138" t="str">
        <f>""</f>
        <v/>
      </c>
      <c r="I34" s="138" t="str">
        <f>""</f>
        <v/>
      </c>
      <c r="J34" s="138" t="s">
        <v>1568</v>
      </c>
      <c r="K34" s="138" t="str">
        <f>""</f>
        <v/>
      </c>
      <c r="L34" s="138" t="str">
        <f>""</f>
        <v/>
      </c>
      <c r="M34" s="138" t="str">
        <f>""</f>
        <v/>
      </c>
      <c r="N34" s="138" t="str">
        <f>""</f>
        <v/>
      </c>
      <c r="O34" s="138" t="str">
        <f>""</f>
        <v/>
      </c>
      <c r="P34" s="138" t="str">
        <f>""</f>
        <v/>
      </c>
      <c r="Q34" s="138" t="s">
        <v>3958</v>
      </c>
      <c r="R34" s="138" t="str">
        <f>""</f>
        <v/>
      </c>
      <c r="S34" s="138" t="str">
        <f>""</f>
        <v/>
      </c>
      <c r="T34" s="138" t="str">
        <f>""</f>
        <v/>
      </c>
      <c r="U34" s="138" t="str">
        <f>""</f>
        <v/>
      </c>
      <c r="V34" s="138" t="str">
        <f>""</f>
        <v/>
      </c>
      <c r="W34" s="138" t="str">
        <f>""</f>
        <v/>
      </c>
      <c r="X34" s="138" t="str">
        <f>""</f>
        <v/>
      </c>
      <c r="Y34" s="138" t="str">
        <f>""</f>
        <v/>
      </c>
      <c r="Z34" s="138" t="s">
        <v>1716</v>
      </c>
      <c r="AA34" s="138" t="str">
        <f>""</f>
        <v/>
      </c>
      <c r="AB34" s="138" t="str">
        <f>""</f>
        <v/>
      </c>
      <c r="AC34" s="138" t="str">
        <f>""</f>
        <v/>
      </c>
      <c r="AD34" s="138" t="str">
        <f>""</f>
        <v/>
      </c>
      <c r="AE34" s="138" t="str">
        <f>""</f>
        <v/>
      </c>
      <c r="AF34" s="138" t="str">
        <f>""</f>
        <v/>
      </c>
      <c r="AG34" s="138" t="e">
        <f>HLOOKUP(Campagne,Faction_list_complete,32,FALSE)</f>
        <v>#N/A</v>
      </c>
    </row>
    <row r="35" spans="1:33">
      <c r="A35" s="75" t="s">
        <v>1477</v>
      </c>
      <c r="B35" s="75" t="str">
        <f>""</f>
        <v/>
      </c>
      <c r="C35" s="75" t="str">
        <f>""</f>
        <v/>
      </c>
      <c r="D35" s="75" t="str">
        <f>""</f>
        <v/>
      </c>
      <c r="E35" s="75" t="str">
        <f>""</f>
        <v/>
      </c>
      <c r="F35" s="75" t="str">
        <f>""</f>
        <v/>
      </c>
      <c r="G35" s="75" t="str">
        <f>""</f>
        <v/>
      </c>
      <c r="H35" s="75" t="str">
        <f>""</f>
        <v/>
      </c>
      <c r="I35" s="75" t="str">
        <f>""</f>
        <v/>
      </c>
      <c r="J35" s="75" t="s">
        <v>1569</v>
      </c>
      <c r="K35" s="75" t="str">
        <f>""</f>
        <v/>
      </c>
      <c r="L35" s="75" t="str">
        <f>""</f>
        <v/>
      </c>
      <c r="M35" s="75" t="str">
        <f>""</f>
        <v/>
      </c>
      <c r="N35" s="75" t="str">
        <f>""</f>
        <v/>
      </c>
      <c r="O35" s="75" t="str">
        <f>""</f>
        <v/>
      </c>
      <c r="P35" s="75" t="str">
        <f>""</f>
        <v/>
      </c>
      <c r="Q35" s="75" t="s">
        <v>3959</v>
      </c>
      <c r="R35" s="75" t="str">
        <f>""</f>
        <v/>
      </c>
      <c r="S35" s="75" t="str">
        <f>""</f>
        <v/>
      </c>
      <c r="T35" s="75" t="str">
        <f>""</f>
        <v/>
      </c>
      <c r="U35" s="75" t="str">
        <f>""</f>
        <v/>
      </c>
      <c r="V35" s="75" t="str">
        <f>""</f>
        <v/>
      </c>
      <c r="W35" s="75" t="str">
        <f>""</f>
        <v/>
      </c>
      <c r="X35" s="75" t="str">
        <f>""</f>
        <v/>
      </c>
      <c r="Y35" s="75" t="str">
        <f>""</f>
        <v/>
      </c>
      <c r="Z35" s="75" t="s">
        <v>1717</v>
      </c>
      <c r="AA35" s="75" t="str">
        <f>""</f>
        <v/>
      </c>
      <c r="AB35" s="75" t="str">
        <f>""</f>
        <v/>
      </c>
      <c r="AC35" s="75" t="str">
        <f>""</f>
        <v/>
      </c>
      <c r="AD35" s="75" t="str">
        <f>""</f>
        <v/>
      </c>
      <c r="AE35" s="75" t="str">
        <f>""</f>
        <v/>
      </c>
      <c r="AF35" s="75" t="str">
        <f>""</f>
        <v/>
      </c>
      <c r="AG35" s="75" t="e">
        <f>HLOOKUP(Campagne,Faction_list_complete,33,FALSE)</f>
        <v>#N/A</v>
      </c>
    </row>
    <row r="36" spans="1:33">
      <c r="A36" s="138" t="s">
        <v>1478</v>
      </c>
      <c r="B36" s="138" t="str">
        <f>""</f>
        <v/>
      </c>
      <c r="C36" s="138" t="str">
        <f>""</f>
        <v/>
      </c>
      <c r="D36" s="138" t="str">
        <f>""</f>
        <v/>
      </c>
      <c r="E36" s="138" t="str">
        <f>""</f>
        <v/>
      </c>
      <c r="F36" s="138" t="str">
        <f>""</f>
        <v/>
      </c>
      <c r="G36" s="138" t="str">
        <f>""</f>
        <v/>
      </c>
      <c r="H36" s="138" t="str">
        <f>""</f>
        <v/>
      </c>
      <c r="I36" s="138" t="str">
        <f>""</f>
        <v/>
      </c>
      <c r="J36" s="138" t="s">
        <v>1570</v>
      </c>
      <c r="K36" s="138" t="str">
        <f>""</f>
        <v/>
      </c>
      <c r="L36" s="138" t="str">
        <f>""</f>
        <v/>
      </c>
      <c r="M36" s="138" t="str">
        <f>""</f>
        <v/>
      </c>
      <c r="N36" s="138" t="str">
        <f>""</f>
        <v/>
      </c>
      <c r="O36" s="138" t="str">
        <f>""</f>
        <v/>
      </c>
      <c r="P36" s="138" t="str">
        <f>""</f>
        <v/>
      </c>
      <c r="Q36" s="138" t="s">
        <v>3960</v>
      </c>
      <c r="R36" s="138" t="str">
        <f>""</f>
        <v/>
      </c>
      <c r="S36" s="138" t="str">
        <f>""</f>
        <v/>
      </c>
      <c r="T36" s="138" t="str">
        <f>""</f>
        <v/>
      </c>
      <c r="U36" s="138" t="str">
        <f>""</f>
        <v/>
      </c>
      <c r="V36" s="138" t="str">
        <f>""</f>
        <v/>
      </c>
      <c r="W36" s="138" t="str">
        <f>""</f>
        <v/>
      </c>
      <c r="X36" s="138" t="str">
        <f>""</f>
        <v/>
      </c>
      <c r="Y36" s="138" t="str">
        <f>""</f>
        <v/>
      </c>
      <c r="Z36" s="138" t="s">
        <v>1718</v>
      </c>
      <c r="AA36" s="138" t="str">
        <f>""</f>
        <v/>
      </c>
      <c r="AB36" s="138" t="str">
        <f>""</f>
        <v/>
      </c>
      <c r="AC36" s="138" t="str">
        <f>""</f>
        <v/>
      </c>
      <c r="AD36" s="138" t="str">
        <f>""</f>
        <v/>
      </c>
      <c r="AE36" s="138" t="str">
        <f>""</f>
        <v/>
      </c>
      <c r="AF36" s="138" t="str">
        <f>""</f>
        <v/>
      </c>
      <c r="AG36" s="138" t="e">
        <f>HLOOKUP(Campagne,Faction_list_complete,34,FALSE)</f>
        <v>#N/A</v>
      </c>
    </row>
    <row r="37" spans="1:33">
      <c r="A37" s="75" t="s">
        <v>1479</v>
      </c>
      <c r="B37" s="75" t="str">
        <f>""</f>
        <v/>
      </c>
      <c r="C37" s="75" t="str">
        <f>""</f>
        <v/>
      </c>
      <c r="D37" s="75" t="str">
        <f>""</f>
        <v/>
      </c>
      <c r="E37" s="75" t="str">
        <f>""</f>
        <v/>
      </c>
      <c r="F37" s="75" t="str">
        <f>""</f>
        <v/>
      </c>
      <c r="G37" s="75" t="str">
        <f>""</f>
        <v/>
      </c>
      <c r="H37" s="75" t="str">
        <f>""</f>
        <v/>
      </c>
      <c r="I37" s="75" t="str">
        <f>""</f>
        <v/>
      </c>
      <c r="J37" s="75" t="s">
        <v>1571</v>
      </c>
      <c r="K37" s="75" t="str">
        <f>""</f>
        <v/>
      </c>
      <c r="L37" s="75" t="str">
        <f>""</f>
        <v/>
      </c>
      <c r="M37" s="75" t="str">
        <f>""</f>
        <v/>
      </c>
      <c r="N37" s="75" t="str">
        <f>""</f>
        <v/>
      </c>
      <c r="O37" s="75" t="str">
        <f>""</f>
        <v/>
      </c>
      <c r="P37" s="75" t="str">
        <f>""</f>
        <v/>
      </c>
      <c r="Q37" s="75" t="s">
        <v>3961</v>
      </c>
      <c r="R37" s="75" t="str">
        <f>""</f>
        <v/>
      </c>
      <c r="S37" s="75" t="str">
        <f>""</f>
        <v/>
      </c>
      <c r="T37" s="75" t="str">
        <f>""</f>
        <v/>
      </c>
      <c r="U37" s="75" t="str">
        <f>""</f>
        <v/>
      </c>
      <c r="V37" s="75" t="str">
        <f>""</f>
        <v/>
      </c>
      <c r="W37" s="75" t="str">
        <f>""</f>
        <v/>
      </c>
      <c r="X37" s="75" t="str">
        <f>""</f>
        <v/>
      </c>
      <c r="Y37" s="75" t="str">
        <f>""</f>
        <v/>
      </c>
      <c r="Z37" s="75" t="s">
        <v>1719</v>
      </c>
      <c r="AA37" s="75" t="str">
        <f>""</f>
        <v/>
      </c>
      <c r="AB37" s="75" t="str">
        <f>""</f>
        <v/>
      </c>
      <c r="AC37" s="75" t="str">
        <f>""</f>
        <v/>
      </c>
      <c r="AD37" s="75" t="str">
        <f>""</f>
        <v/>
      </c>
      <c r="AE37" s="75" t="str">
        <f>""</f>
        <v/>
      </c>
      <c r="AF37" s="75" t="str">
        <f>""</f>
        <v/>
      </c>
      <c r="AG37" s="75" t="e">
        <f>HLOOKUP(Campagne,Faction_list_complete,35,FALSE)</f>
        <v>#N/A</v>
      </c>
    </row>
    <row r="38" spans="1:33">
      <c r="A38" s="138" t="s">
        <v>1480</v>
      </c>
      <c r="B38" s="138" t="str">
        <f>""</f>
        <v/>
      </c>
      <c r="C38" s="138" t="str">
        <f>""</f>
        <v/>
      </c>
      <c r="D38" s="138" t="str">
        <f>""</f>
        <v/>
      </c>
      <c r="E38" s="138" t="str">
        <f>""</f>
        <v/>
      </c>
      <c r="F38" s="138" t="str">
        <f>""</f>
        <v/>
      </c>
      <c r="G38" s="138" t="str">
        <f>""</f>
        <v/>
      </c>
      <c r="H38" s="138" t="str">
        <f>""</f>
        <v/>
      </c>
      <c r="I38" s="138" t="str">
        <f>""</f>
        <v/>
      </c>
      <c r="J38" s="138" t="s">
        <v>1572</v>
      </c>
      <c r="K38" s="138" t="str">
        <f>""</f>
        <v/>
      </c>
      <c r="L38" s="138" t="str">
        <f>""</f>
        <v/>
      </c>
      <c r="M38" s="138" t="str">
        <f>""</f>
        <v/>
      </c>
      <c r="N38" s="138" t="str">
        <f>""</f>
        <v/>
      </c>
      <c r="O38" s="138" t="str">
        <f>""</f>
        <v/>
      </c>
      <c r="P38" s="138" t="str">
        <f>""</f>
        <v/>
      </c>
      <c r="Q38" s="138" t="s">
        <v>3962</v>
      </c>
      <c r="R38" s="138" t="str">
        <f>""</f>
        <v/>
      </c>
      <c r="S38" s="138" t="str">
        <f>""</f>
        <v/>
      </c>
      <c r="T38" s="138" t="str">
        <f>""</f>
        <v/>
      </c>
      <c r="U38" s="138" t="str">
        <f>""</f>
        <v/>
      </c>
      <c r="V38" s="138" t="str">
        <f>""</f>
        <v/>
      </c>
      <c r="W38" s="138" t="str">
        <f>""</f>
        <v/>
      </c>
      <c r="X38" s="138" t="str">
        <f>""</f>
        <v/>
      </c>
      <c r="Y38" s="138" t="str">
        <f>""</f>
        <v/>
      </c>
      <c r="Z38" s="138" t="s">
        <v>1720</v>
      </c>
      <c r="AA38" s="138" t="str">
        <f>""</f>
        <v/>
      </c>
      <c r="AB38" s="138" t="str">
        <f>""</f>
        <v/>
      </c>
      <c r="AC38" s="138" t="str">
        <f>""</f>
        <v/>
      </c>
      <c r="AD38" s="138" t="str">
        <f>""</f>
        <v/>
      </c>
      <c r="AE38" s="138" t="str">
        <f>""</f>
        <v/>
      </c>
      <c r="AF38" s="138" t="str">
        <f>""</f>
        <v/>
      </c>
      <c r="AG38" s="138" t="e">
        <f>HLOOKUP(Campagne,Faction_list_complete,36,FALSE)</f>
        <v>#N/A</v>
      </c>
    </row>
    <row r="39" spans="1:33">
      <c r="A39" s="75" t="s">
        <v>1481</v>
      </c>
      <c r="B39" s="75" t="str">
        <f>""</f>
        <v/>
      </c>
      <c r="C39" s="75" t="str">
        <f>""</f>
        <v/>
      </c>
      <c r="D39" s="75" t="str">
        <f>""</f>
        <v/>
      </c>
      <c r="E39" s="75" t="str">
        <f>""</f>
        <v/>
      </c>
      <c r="F39" s="75" t="str">
        <f>""</f>
        <v/>
      </c>
      <c r="G39" s="75" t="str">
        <f>""</f>
        <v/>
      </c>
      <c r="H39" s="75" t="str">
        <f>""</f>
        <v/>
      </c>
      <c r="I39" s="75" t="str">
        <f>""</f>
        <v/>
      </c>
      <c r="J39" s="75" t="s">
        <v>1573</v>
      </c>
      <c r="K39" s="75" t="str">
        <f>""</f>
        <v/>
      </c>
      <c r="L39" s="75" t="str">
        <f>""</f>
        <v/>
      </c>
      <c r="M39" s="75" t="str">
        <f>""</f>
        <v/>
      </c>
      <c r="N39" s="75" t="str">
        <f>""</f>
        <v/>
      </c>
      <c r="O39" s="75" t="str">
        <f>""</f>
        <v/>
      </c>
      <c r="P39" s="75" t="str">
        <f>""</f>
        <v/>
      </c>
      <c r="Q39" s="75" t="s">
        <v>3963</v>
      </c>
      <c r="R39" s="75" t="str">
        <f>""</f>
        <v/>
      </c>
      <c r="S39" s="75" t="str">
        <f>""</f>
        <v/>
      </c>
      <c r="T39" s="75" t="str">
        <f>""</f>
        <v/>
      </c>
      <c r="U39" s="75" t="str">
        <f>""</f>
        <v/>
      </c>
      <c r="V39" s="75" t="str">
        <f>""</f>
        <v/>
      </c>
      <c r="W39" s="75" t="str">
        <f>""</f>
        <v/>
      </c>
      <c r="X39" s="75" t="str">
        <f>""</f>
        <v/>
      </c>
      <c r="Y39" s="75" t="str">
        <f>""</f>
        <v/>
      </c>
      <c r="Z39" s="75" t="s">
        <v>1721</v>
      </c>
      <c r="AA39" s="75" t="str">
        <f>""</f>
        <v/>
      </c>
      <c r="AB39" s="75" t="str">
        <f>""</f>
        <v/>
      </c>
      <c r="AC39" s="75" t="str">
        <f>""</f>
        <v/>
      </c>
      <c r="AD39" s="75" t="str">
        <f>""</f>
        <v/>
      </c>
      <c r="AE39" s="75" t="str">
        <f>""</f>
        <v/>
      </c>
      <c r="AF39" s="75" t="str">
        <f>""</f>
        <v/>
      </c>
      <c r="AG39" s="75" t="e">
        <f>HLOOKUP(Campagne,Faction_list_complete,37,FALSE)</f>
        <v>#N/A</v>
      </c>
    </row>
    <row r="40" spans="1:33">
      <c r="A40" s="138" t="s">
        <v>1482</v>
      </c>
      <c r="B40" s="138" t="str">
        <f>""</f>
        <v/>
      </c>
      <c r="C40" s="138" t="str">
        <f>""</f>
        <v/>
      </c>
      <c r="D40" s="138" t="str">
        <f>""</f>
        <v/>
      </c>
      <c r="E40" s="138" t="str">
        <f>""</f>
        <v/>
      </c>
      <c r="F40" s="138" t="str">
        <f>""</f>
        <v/>
      </c>
      <c r="G40" s="138" t="str">
        <f>""</f>
        <v/>
      </c>
      <c r="H40" s="138" t="str">
        <f>""</f>
        <v/>
      </c>
      <c r="I40" s="138" t="str">
        <f>""</f>
        <v/>
      </c>
      <c r="J40" s="138" t="s">
        <v>1574</v>
      </c>
      <c r="K40" s="138" t="str">
        <f>""</f>
        <v/>
      </c>
      <c r="L40" s="138" t="str">
        <f>""</f>
        <v/>
      </c>
      <c r="M40" s="138" t="str">
        <f>""</f>
        <v/>
      </c>
      <c r="N40" s="138" t="str">
        <f>""</f>
        <v/>
      </c>
      <c r="O40" s="138" t="str">
        <f>""</f>
        <v/>
      </c>
      <c r="P40" s="138" t="str">
        <f>""</f>
        <v/>
      </c>
      <c r="Q40" s="138" t="s">
        <v>3964</v>
      </c>
      <c r="R40" s="138" t="str">
        <f>""</f>
        <v/>
      </c>
      <c r="S40" s="138" t="str">
        <f>""</f>
        <v/>
      </c>
      <c r="T40" s="138" t="str">
        <f>""</f>
        <v/>
      </c>
      <c r="U40" s="138" t="str">
        <f>""</f>
        <v/>
      </c>
      <c r="V40" s="138" t="str">
        <f>""</f>
        <v/>
      </c>
      <c r="W40" s="138" t="str">
        <f>""</f>
        <v/>
      </c>
      <c r="X40" s="138" t="str">
        <f>""</f>
        <v/>
      </c>
      <c r="Y40" s="138" t="str">
        <f>""</f>
        <v/>
      </c>
      <c r="Z40" s="138" t="s">
        <v>1722</v>
      </c>
      <c r="AA40" s="138" t="str">
        <f>""</f>
        <v/>
      </c>
      <c r="AB40" s="138" t="str">
        <f>""</f>
        <v/>
      </c>
      <c r="AC40" s="138" t="str">
        <f>""</f>
        <v/>
      </c>
      <c r="AD40" s="138" t="str">
        <f>""</f>
        <v/>
      </c>
      <c r="AE40" s="138" t="str">
        <f>""</f>
        <v/>
      </c>
      <c r="AF40" s="138" t="str">
        <f>""</f>
        <v/>
      </c>
      <c r="AG40" s="138" t="e">
        <f>HLOOKUP(Campagne,Faction_list_complete,38,FALSE)</f>
        <v>#N/A</v>
      </c>
    </row>
    <row r="41" spans="1:33">
      <c r="A41" s="75" t="str">
        <f>""</f>
        <v/>
      </c>
      <c r="B41" s="75" t="str">
        <f>""</f>
        <v/>
      </c>
      <c r="C41" s="75" t="str">
        <f>""</f>
        <v/>
      </c>
      <c r="D41" s="75" t="str">
        <f>""</f>
        <v/>
      </c>
      <c r="E41" s="75" t="str">
        <f>""</f>
        <v/>
      </c>
      <c r="F41" s="75" t="str">
        <f>""</f>
        <v/>
      </c>
      <c r="G41" s="75" t="str">
        <f>""</f>
        <v/>
      </c>
      <c r="H41" s="75" t="str">
        <f>""</f>
        <v/>
      </c>
      <c r="I41" s="75" t="str">
        <f>""</f>
        <v/>
      </c>
      <c r="J41" s="75" t="s">
        <v>1575</v>
      </c>
      <c r="K41" s="75" t="str">
        <f>""</f>
        <v/>
      </c>
      <c r="L41" s="75" t="str">
        <f>""</f>
        <v/>
      </c>
      <c r="M41" s="75" t="str">
        <f>""</f>
        <v/>
      </c>
      <c r="N41" s="75" t="str">
        <f>""</f>
        <v/>
      </c>
      <c r="O41" s="75" t="str">
        <f>""</f>
        <v/>
      </c>
      <c r="P41" s="75" t="str">
        <f>""</f>
        <v/>
      </c>
      <c r="Q41" s="75" t="s">
        <v>3965</v>
      </c>
      <c r="R41" s="75" t="str">
        <f>""</f>
        <v/>
      </c>
      <c r="S41" s="75" t="str">
        <f>""</f>
        <v/>
      </c>
      <c r="T41" s="75" t="str">
        <f>""</f>
        <v/>
      </c>
      <c r="U41" s="75" t="str">
        <f>""</f>
        <v/>
      </c>
      <c r="V41" s="75" t="str">
        <f>""</f>
        <v/>
      </c>
      <c r="W41" s="75" t="str">
        <f>""</f>
        <v/>
      </c>
      <c r="X41" s="75" t="str">
        <f>""</f>
        <v/>
      </c>
      <c r="Y41" s="75" t="str">
        <f>""</f>
        <v/>
      </c>
      <c r="Z41" s="75" t="s">
        <v>1723</v>
      </c>
      <c r="AA41" s="75" t="str">
        <f>""</f>
        <v/>
      </c>
      <c r="AB41" s="75" t="str">
        <f>""</f>
        <v/>
      </c>
      <c r="AC41" s="75" t="str">
        <f>""</f>
        <v/>
      </c>
      <c r="AD41" s="75" t="str">
        <f>""</f>
        <v/>
      </c>
      <c r="AE41" s="75" t="str">
        <f>""</f>
        <v/>
      </c>
      <c r="AF41" s="75" t="str">
        <f>""</f>
        <v/>
      </c>
      <c r="AG41" s="75" t="e">
        <f>HLOOKUP(Campagne,Faction_list_complete,39,FALSE)</f>
        <v>#N/A</v>
      </c>
    </row>
    <row r="42" spans="1:33">
      <c r="A42" s="138" t="str">
        <f>""</f>
        <v/>
      </c>
      <c r="B42" s="138" t="str">
        <f>""</f>
        <v/>
      </c>
      <c r="C42" s="138" t="str">
        <f>""</f>
        <v/>
      </c>
      <c r="D42" s="138" t="str">
        <f>""</f>
        <v/>
      </c>
      <c r="E42" s="138" t="str">
        <f>""</f>
        <v/>
      </c>
      <c r="F42" s="138" t="str">
        <f>""</f>
        <v/>
      </c>
      <c r="G42" s="138" t="str">
        <f>""</f>
        <v/>
      </c>
      <c r="H42" s="138" t="str">
        <f>""</f>
        <v/>
      </c>
      <c r="I42" s="138" t="str">
        <f>""</f>
        <v/>
      </c>
      <c r="J42" s="138" t="s">
        <v>1576</v>
      </c>
      <c r="K42" s="138" t="str">
        <f>""</f>
        <v/>
      </c>
      <c r="L42" s="138" t="str">
        <f>""</f>
        <v/>
      </c>
      <c r="M42" s="138" t="str">
        <f>""</f>
        <v/>
      </c>
      <c r="N42" s="138" t="str">
        <f>""</f>
        <v/>
      </c>
      <c r="O42" s="138" t="str">
        <f>""</f>
        <v/>
      </c>
      <c r="P42" s="138" t="str">
        <f>""</f>
        <v/>
      </c>
      <c r="Q42" s="138" t="s">
        <v>3966</v>
      </c>
      <c r="R42" s="138" t="str">
        <f>""</f>
        <v/>
      </c>
      <c r="S42" s="138" t="str">
        <f>""</f>
        <v/>
      </c>
      <c r="T42" s="138" t="str">
        <f>""</f>
        <v/>
      </c>
      <c r="U42" s="138" t="str">
        <f>""</f>
        <v/>
      </c>
      <c r="V42" s="138" t="str">
        <f>""</f>
        <v/>
      </c>
      <c r="W42" s="138" t="str">
        <f>""</f>
        <v/>
      </c>
      <c r="X42" s="138" t="str">
        <f>""</f>
        <v/>
      </c>
      <c r="Y42" s="138" t="str">
        <f>""</f>
        <v/>
      </c>
      <c r="Z42" s="138" t="s">
        <v>1724</v>
      </c>
      <c r="AA42" s="138" t="str">
        <f>""</f>
        <v/>
      </c>
      <c r="AB42" s="138" t="str">
        <f>""</f>
        <v/>
      </c>
      <c r="AC42" s="138" t="str">
        <f>""</f>
        <v/>
      </c>
      <c r="AD42" s="138" t="str">
        <f>""</f>
        <v/>
      </c>
      <c r="AE42" s="138" t="str">
        <f>""</f>
        <v/>
      </c>
      <c r="AF42" s="138" t="str">
        <f>""</f>
        <v/>
      </c>
      <c r="AG42" s="138" t="e">
        <f>HLOOKUP(Campagne,Faction_list_complete,40,FALSE)</f>
        <v>#N/A</v>
      </c>
    </row>
    <row r="43" spans="1:33">
      <c r="A43" s="75" t="str">
        <f>""</f>
        <v/>
      </c>
      <c r="B43" s="75" t="str">
        <f>""</f>
        <v/>
      </c>
      <c r="C43" s="75" t="str">
        <f>""</f>
        <v/>
      </c>
      <c r="D43" s="75" t="str">
        <f>""</f>
        <v/>
      </c>
      <c r="E43" s="75" t="str">
        <f>""</f>
        <v/>
      </c>
      <c r="F43" s="75" t="str">
        <f>""</f>
        <v/>
      </c>
      <c r="G43" s="75" t="str">
        <f>""</f>
        <v/>
      </c>
      <c r="H43" s="75" t="str">
        <f>""</f>
        <v/>
      </c>
      <c r="I43" s="75" t="str">
        <f>""</f>
        <v/>
      </c>
      <c r="J43" s="75" t="s">
        <v>1577</v>
      </c>
      <c r="K43" s="75" t="str">
        <f>""</f>
        <v/>
      </c>
      <c r="L43" s="75" t="str">
        <f>""</f>
        <v/>
      </c>
      <c r="M43" s="75" t="str">
        <f>""</f>
        <v/>
      </c>
      <c r="N43" s="75" t="str">
        <f>""</f>
        <v/>
      </c>
      <c r="O43" s="75" t="str">
        <f>""</f>
        <v/>
      </c>
      <c r="P43" s="75" t="str">
        <f>""</f>
        <v/>
      </c>
      <c r="Q43" s="75" t="s">
        <v>3967</v>
      </c>
      <c r="R43" s="75" t="str">
        <f>""</f>
        <v/>
      </c>
      <c r="S43" s="75" t="str">
        <f>""</f>
        <v/>
      </c>
      <c r="T43" s="75" t="str">
        <f>""</f>
        <v/>
      </c>
      <c r="U43" s="75" t="str">
        <f>""</f>
        <v/>
      </c>
      <c r="V43" s="75" t="str">
        <f>""</f>
        <v/>
      </c>
      <c r="W43" s="75" t="str">
        <f>""</f>
        <v/>
      </c>
      <c r="X43" s="75" t="str">
        <f>""</f>
        <v/>
      </c>
      <c r="Y43" s="75" t="str">
        <f>""</f>
        <v/>
      </c>
      <c r="Z43" s="75" t="s">
        <v>1725</v>
      </c>
      <c r="AA43" s="75" t="str">
        <f>""</f>
        <v/>
      </c>
      <c r="AB43" s="75" t="str">
        <f>""</f>
        <v/>
      </c>
      <c r="AC43" s="75" t="str">
        <f>""</f>
        <v/>
      </c>
      <c r="AD43" s="75" t="str">
        <f>""</f>
        <v/>
      </c>
      <c r="AE43" s="75" t="str">
        <f>""</f>
        <v/>
      </c>
      <c r="AF43" s="75" t="str">
        <f>""</f>
        <v/>
      </c>
      <c r="AG43" s="75" t="e">
        <f>HLOOKUP(Campagne,Faction_list_complete,41,FALSE)</f>
        <v>#N/A</v>
      </c>
    </row>
    <row r="44" spans="1:33">
      <c r="A44" s="138" t="str">
        <f>""</f>
        <v/>
      </c>
      <c r="B44" s="138" t="str">
        <f>""</f>
        <v/>
      </c>
      <c r="C44" s="138" t="str">
        <f>""</f>
        <v/>
      </c>
      <c r="D44" s="138" t="str">
        <f>""</f>
        <v/>
      </c>
      <c r="E44" s="138" t="str">
        <f>""</f>
        <v/>
      </c>
      <c r="F44" s="138" t="str">
        <f>""</f>
        <v/>
      </c>
      <c r="G44" s="138" t="str">
        <f>""</f>
        <v/>
      </c>
      <c r="H44" s="138" t="str">
        <f>""</f>
        <v/>
      </c>
      <c r="I44" s="138" t="str">
        <f>""</f>
        <v/>
      </c>
      <c r="J44" s="138" t="s">
        <v>1578</v>
      </c>
      <c r="K44" s="138" t="str">
        <f>""</f>
        <v/>
      </c>
      <c r="L44" s="138" t="str">
        <f>""</f>
        <v/>
      </c>
      <c r="M44" s="138" t="str">
        <f>""</f>
        <v/>
      </c>
      <c r="N44" s="138" t="str">
        <f>""</f>
        <v/>
      </c>
      <c r="O44" s="138" t="str">
        <f>""</f>
        <v/>
      </c>
      <c r="P44" s="138" t="str">
        <f>""</f>
        <v/>
      </c>
      <c r="Q44" s="138" t="s">
        <v>3968</v>
      </c>
      <c r="R44" s="138" t="str">
        <f>""</f>
        <v/>
      </c>
      <c r="S44" s="138" t="str">
        <f>""</f>
        <v/>
      </c>
      <c r="T44" s="138" t="str">
        <f>""</f>
        <v/>
      </c>
      <c r="U44" s="138" t="str">
        <f>""</f>
        <v/>
      </c>
      <c r="V44" s="138" t="str">
        <f>""</f>
        <v/>
      </c>
      <c r="W44" s="138" t="str">
        <f>""</f>
        <v/>
      </c>
      <c r="X44" s="138" t="str">
        <f>""</f>
        <v/>
      </c>
      <c r="Y44" s="138" t="str">
        <f>""</f>
        <v/>
      </c>
      <c r="Z44" s="138" t="str">
        <f>""</f>
        <v/>
      </c>
      <c r="AA44" s="138" t="str">
        <f>""</f>
        <v/>
      </c>
      <c r="AB44" s="138" t="str">
        <f>""</f>
        <v/>
      </c>
      <c r="AC44" s="138" t="str">
        <f>""</f>
        <v/>
      </c>
      <c r="AD44" s="138" t="str">
        <f>""</f>
        <v/>
      </c>
      <c r="AE44" s="138" t="str">
        <f>""</f>
        <v/>
      </c>
      <c r="AF44" s="138" t="str">
        <f>""</f>
        <v/>
      </c>
      <c r="AG44" s="138" t="e">
        <f>HLOOKUP(Campagne,Faction_list_complete,42,FALSE)</f>
        <v>#N/A</v>
      </c>
    </row>
    <row r="45" spans="1:33">
      <c r="A45" s="75" t="str">
        <f>""</f>
        <v/>
      </c>
      <c r="B45" s="75" t="str">
        <f>""</f>
        <v/>
      </c>
      <c r="C45" s="75" t="str">
        <f>""</f>
        <v/>
      </c>
      <c r="D45" s="75" t="str">
        <f>""</f>
        <v/>
      </c>
      <c r="E45" s="75" t="str">
        <f>""</f>
        <v/>
      </c>
      <c r="F45" s="75" t="str">
        <f>""</f>
        <v/>
      </c>
      <c r="G45" s="75" t="str">
        <f>""</f>
        <v/>
      </c>
      <c r="H45" s="75" t="str">
        <f>""</f>
        <v/>
      </c>
      <c r="I45" s="75" t="str">
        <f>""</f>
        <v/>
      </c>
      <c r="J45" s="75" t="s">
        <v>1579</v>
      </c>
      <c r="K45" s="75" t="str">
        <f>""</f>
        <v/>
      </c>
      <c r="L45" s="75" t="str">
        <f>""</f>
        <v/>
      </c>
      <c r="M45" s="75" t="str">
        <f>""</f>
        <v/>
      </c>
      <c r="N45" s="75" t="str">
        <f>""</f>
        <v/>
      </c>
      <c r="O45" s="75" t="str">
        <f>""</f>
        <v/>
      </c>
      <c r="P45" s="75" t="str">
        <f>""</f>
        <v/>
      </c>
      <c r="Q45" s="75" t="s">
        <v>3969</v>
      </c>
      <c r="R45" s="75" t="str">
        <f>""</f>
        <v/>
      </c>
      <c r="S45" s="75" t="str">
        <f>""</f>
        <v/>
      </c>
      <c r="T45" s="75" t="str">
        <f>""</f>
        <v/>
      </c>
      <c r="U45" s="75" t="str">
        <f>""</f>
        <v/>
      </c>
      <c r="V45" s="75" t="str">
        <f>""</f>
        <v/>
      </c>
      <c r="W45" s="75" t="str">
        <f>""</f>
        <v/>
      </c>
      <c r="X45" s="75" t="str">
        <f>""</f>
        <v/>
      </c>
      <c r="Y45" s="75" t="str">
        <f>""</f>
        <v/>
      </c>
      <c r="Z45" s="75" t="str">
        <f>""</f>
        <v/>
      </c>
      <c r="AA45" s="75" t="str">
        <f>""</f>
        <v/>
      </c>
      <c r="AB45" s="75" t="str">
        <f>""</f>
        <v/>
      </c>
      <c r="AC45" s="75" t="str">
        <f>""</f>
        <v/>
      </c>
      <c r="AD45" s="75" t="str">
        <f>""</f>
        <v/>
      </c>
      <c r="AE45" s="75" t="str">
        <f>""</f>
        <v/>
      </c>
      <c r="AF45" s="75" t="str">
        <f>""</f>
        <v/>
      </c>
      <c r="AG45" s="75" t="e">
        <f>HLOOKUP(Campagne,Faction_list_complete,43,FALSE)</f>
        <v>#N/A</v>
      </c>
    </row>
    <row r="46" spans="1:33">
      <c r="A46" s="138" t="str">
        <f>""</f>
        <v/>
      </c>
      <c r="B46" s="138" t="str">
        <f>""</f>
        <v/>
      </c>
      <c r="C46" s="138" t="str">
        <f>""</f>
        <v/>
      </c>
      <c r="D46" s="138" t="str">
        <f>""</f>
        <v/>
      </c>
      <c r="E46" s="138" t="str">
        <f>""</f>
        <v/>
      </c>
      <c r="F46" s="138" t="str">
        <f>""</f>
        <v/>
      </c>
      <c r="G46" s="138" t="str">
        <f>""</f>
        <v/>
      </c>
      <c r="H46" s="138" t="str">
        <f>""</f>
        <v/>
      </c>
      <c r="I46" s="138" t="str">
        <f>""</f>
        <v/>
      </c>
      <c r="J46" s="138" t="s">
        <v>1580</v>
      </c>
      <c r="K46" s="138" t="str">
        <f>""</f>
        <v/>
      </c>
      <c r="L46" s="138" t="str">
        <f>""</f>
        <v/>
      </c>
      <c r="M46" s="138" t="str">
        <f>""</f>
        <v/>
      </c>
      <c r="N46" s="138" t="str">
        <f>""</f>
        <v/>
      </c>
      <c r="O46" s="138" t="str">
        <f>""</f>
        <v/>
      </c>
      <c r="P46" s="138" t="str">
        <f>""</f>
        <v/>
      </c>
      <c r="Q46" s="138" t="s">
        <v>3970</v>
      </c>
      <c r="R46" s="138" t="str">
        <f>""</f>
        <v/>
      </c>
      <c r="S46" s="138" t="str">
        <f>""</f>
        <v/>
      </c>
      <c r="T46" s="138" t="str">
        <f>""</f>
        <v/>
      </c>
      <c r="U46" s="138" t="str">
        <f>""</f>
        <v/>
      </c>
      <c r="V46" s="138" t="str">
        <f>""</f>
        <v/>
      </c>
      <c r="W46" s="138" t="str">
        <f>""</f>
        <v/>
      </c>
      <c r="X46" s="138" t="str">
        <f>""</f>
        <v/>
      </c>
      <c r="Y46" s="138" t="str">
        <f>""</f>
        <v/>
      </c>
      <c r="Z46" s="138" t="str">
        <f>""</f>
        <v/>
      </c>
      <c r="AA46" s="138" t="str">
        <f>""</f>
        <v/>
      </c>
      <c r="AB46" s="138" t="str">
        <f>""</f>
        <v/>
      </c>
      <c r="AC46" s="138" t="str">
        <f>""</f>
        <v/>
      </c>
      <c r="AD46" s="138" t="str">
        <f>""</f>
        <v/>
      </c>
      <c r="AE46" s="138" t="str">
        <f>""</f>
        <v/>
      </c>
      <c r="AF46" s="138" t="str">
        <f>""</f>
        <v/>
      </c>
      <c r="AG46" s="138" t="e">
        <f>HLOOKUP(Campagne,Faction_list_complete,44,FALSE)</f>
        <v>#N/A</v>
      </c>
    </row>
    <row r="47" spans="1:33">
      <c r="A47" s="75" t="str">
        <f>""</f>
        <v/>
      </c>
      <c r="B47" s="75" t="str">
        <f>""</f>
        <v/>
      </c>
      <c r="C47" s="75" t="str">
        <f>""</f>
        <v/>
      </c>
      <c r="D47" s="75" t="str">
        <f>""</f>
        <v/>
      </c>
      <c r="E47" s="75" t="str">
        <f>""</f>
        <v/>
      </c>
      <c r="F47" s="75" t="str">
        <f>""</f>
        <v/>
      </c>
      <c r="G47" s="75" t="str">
        <f>""</f>
        <v/>
      </c>
      <c r="H47" s="75" t="str">
        <f>""</f>
        <v/>
      </c>
      <c r="I47" s="75" t="str">
        <f>""</f>
        <v/>
      </c>
      <c r="J47" s="75" t="s">
        <v>1581</v>
      </c>
      <c r="K47" s="75" t="str">
        <f>""</f>
        <v/>
      </c>
      <c r="L47" s="75" t="str">
        <f>""</f>
        <v/>
      </c>
      <c r="M47" s="75" t="str">
        <f>""</f>
        <v/>
      </c>
      <c r="N47" s="75" t="str">
        <f>""</f>
        <v/>
      </c>
      <c r="O47" s="75" t="str">
        <f>""</f>
        <v/>
      </c>
      <c r="P47" s="75" t="str">
        <f>""</f>
        <v/>
      </c>
      <c r="Q47" s="75" t="s">
        <v>3971</v>
      </c>
      <c r="R47" s="75" t="str">
        <f>""</f>
        <v/>
      </c>
      <c r="S47" s="75" t="str">
        <f>""</f>
        <v/>
      </c>
      <c r="T47" s="75" t="str">
        <f>""</f>
        <v/>
      </c>
      <c r="U47" s="75" t="str">
        <f>""</f>
        <v/>
      </c>
      <c r="V47" s="75" t="str">
        <f>""</f>
        <v/>
      </c>
      <c r="W47" s="75" t="str">
        <f>""</f>
        <v/>
      </c>
      <c r="X47" s="75" t="str">
        <f>""</f>
        <v/>
      </c>
      <c r="Y47" s="75" t="str">
        <f>""</f>
        <v/>
      </c>
      <c r="Z47" s="75" t="str">
        <f>""</f>
        <v/>
      </c>
      <c r="AA47" s="75" t="str">
        <f>""</f>
        <v/>
      </c>
      <c r="AB47" s="75" t="str">
        <f>""</f>
        <v/>
      </c>
      <c r="AC47" s="75" t="str">
        <f>""</f>
        <v/>
      </c>
      <c r="AD47" s="75" t="str">
        <f>""</f>
        <v/>
      </c>
      <c r="AE47" s="75" t="str">
        <f>""</f>
        <v/>
      </c>
      <c r="AF47" s="75" t="str">
        <f>""</f>
        <v/>
      </c>
      <c r="AG47" s="75" t="e">
        <f>HLOOKUP(Campagne,Faction_list_complete,45,FALSE)</f>
        <v>#N/A</v>
      </c>
    </row>
    <row r="48" spans="1:33">
      <c r="A48" s="138" t="str">
        <f>""</f>
        <v/>
      </c>
      <c r="B48" s="138" t="str">
        <f>""</f>
        <v/>
      </c>
      <c r="C48" s="138" t="str">
        <f>""</f>
        <v/>
      </c>
      <c r="D48" s="138" t="str">
        <f>""</f>
        <v/>
      </c>
      <c r="E48" s="138" t="str">
        <f>""</f>
        <v/>
      </c>
      <c r="F48" s="138" t="str">
        <f>""</f>
        <v/>
      </c>
      <c r="G48" s="138" t="str">
        <f>""</f>
        <v/>
      </c>
      <c r="H48" s="138" t="str">
        <f>""</f>
        <v/>
      </c>
      <c r="I48" s="138" t="str">
        <f>""</f>
        <v/>
      </c>
      <c r="J48" s="138" t="s">
        <v>1582</v>
      </c>
      <c r="K48" s="138" t="str">
        <f>""</f>
        <v/>
      </c>
      <c r="L48" s="138" t="str">
        <f>""</f>
        <v/>
      </c>
      <c r="M48" s="138" t="str">
        <f>""</f>
        <v/>
      </c>
      <c r="N48" s="138" t="str">
        <f>""</f>
        <v/>
      </c>
      <c r="O48" s="138" t="str">
        <f>""</f>
        <v/>
      </c>
      <c r="P48" s="138" t="str">
        <f>""</f>
        <v/>
      </c>
      <c r="Q48" s="138" t="s">
        <v>3972</v>
      </c>
      <c r="R48" s="138" t="str">
        <f>""</f>
        <v/>
      </c>
      <c r="S48" s="138" t="str">
        <f>""</f>
        <v/>
      </c>
      <c r="T48" s="138" t="str">
        <f>""</f>
        <v/>
      </c>
      <c r="U48" s="138" t="str">
        <f>""</f>
        <v/>
      </c>
      <c r="V48" s="138" t="str">
        <f>""</f>
        <v/>
      </c>
      <c r="W48" s="138" t="str">
        <f>""</f>
        <v/>
      </c>
      <c r="X48" s="138" t="str">
        <f>""</f>
        <v/>
      </c>
      <c r="Y48" s="138" t="str">
        <f>""</f>
        <v/>
      </c>
      <c r="Z48" s="138" t="str">
        <f>""</f>
        <v/>
      </c>
      <c r="AA48" s="138" t="str">
        <f>""</f>
        <v/>
      </c>
      <c r="AB48" s="138" t="str">
        <f>""</f>
        <v/>
      </c>
      <c r="AC48" s="138" t="str">
        <f>""</f>
        <v/>
      </c>
      <c r="AD48" s="138" t="str">
        <f>""</f>
        <v/>
      </c>
      <c r="AE48" s="138" t="str">
        <f>""</f>
        <v/>
      </c>
      <c r="AF48" s="138" t="str">
        <f>""</f>
        <v/>
      </c>
      <c r="AG48" s="138" t="e">
        <f>HLOOKUP(Campagne,Faction_list_complete,46,FALSE)</f>
        <v>#N/A</v>
      </c>
    </row>
    <row r="49" spans="1:33">
      <c r="A49" s="75" t="str">
        <f>""</f>
        <v/>
      </c>
      <c r="B49" s="75" t="str">
        <f>""</f>
        <v/>
      </c>
      <c r="C49" s="75" t="str">
        <f>""</f>
        <v/>
      </c>
      <c r="D49" s="75" t="str">
        <f>""</f>
        <v/>
      </c>
      <c r="E49" s="75" t="str">
        <f>""</f>
        <v/>
      </c>
      <c r="F49" s="75" t="str">
        <f>""</f>
        <v/>
      </c>
      <c r="G49" s="75" t="str">
        <f>""</f>
        <v/>
      </c>
      <c r="H49" s="75" t="str">
        <f>""</f>
        <v/>
      </c>
      <c r="I49" s="75" t="str">
        <f>""</f>
        <v/>
      </c>
      <c r="J49" s="75" t="s">
        <v>1583</v>
      </c>
      <c r="K49" s="75" t="str">
        <f>""</f>
        <v/>
      </c>
      <c r="L49" s="75" t="str">
        <f>""</f>
        <v/>
      </c>
      <c r="M49" s="75" t="str">
        <f>""</f>
        <v/>
      </c>
      <c r="N49" s="75" t="str">
        <f>""</f>
        <v/>
      </c>
      <c r="O49" s="75" t="str">
        <f>""</f>
        <v/>
      </c>
      <c r="P49" s="75" t="str">
        <f>""</f>
        <v/>
      </c>
      <c r="Q49" s="75" t="s">
        <v>3973</v>
      </c>
      <c r="R49" s="75" t="str">
        <f>""</f>
        <v/>
      </c>
      <c r="S49" s="75" t="str">
        <f>""</f>
        <v/>
      </c>
      <c r="T49" s="75" t="str">
        <f>""</f>
        <v/>
      </c>
      <c r="U49" s="75" t="str">
        <f>""</f>
        <v/>
      </c>
      <c r="V49" s="75" t="str">
        <f>""</f>
        <v/>
      </c>
      <c r="W49" s="75" t="str">
        <f>""</f>
        <v/>
      </c>
      <c r="X49" s="75" t="str">
        <f>""</f>
        <v/>
      </c>
      <c r="Y49" s="75" t="str">
        <f>""</f>
        <v/>
      </c>
      <c r="Z49" s="75" t="str">
        <f>""</f>
        <v/>
      </c>
      <c r="AA49" s="75" t="str">
        <f>""</f>
        <v/>
      </c>
      <c r="AB49" s="75" t="str">
        <f>""</f>
        <v/>
      </c>
      <c r="AC49" s="75" t="str">
        <f>""</f>
        <v/>
      </c>
      <c r="AD49" s="75" t="str">
        <f>""</f>
        <v/>
      </c>
      <c r="AE49" s="75" t="str">
        <f>""</f>
        <v/>
      </c>
      <c r="AF49" s="75" t="str">
        <f>""</f>
        <v/>
      </c>
      <c r="AG49" s="75" t="e">
        <f>HLOOKUP(Campagne,Faction_list_complete,47,FALSE)</f>
        <v>#N/A</v>
      </c>
    </row>
    <row r="50" spans="1:33">
      <c r="A50" s="138" t="str">
        <f>""</f>
        <v/>
      </c>
      <c r="B50" s="138" t="str">
        <f>""</f>
        <v/>
      </c>
      <c r="C50" s="138" t="str">
        <f>""</f>
        <v/>
      </c>
      <c r="D50" s="138" t="str">
        <f>""</f>
        <v/>
      </c>
      <c r="E50" s="138" t="str">
        <f>""</f>
        <v/>
      </c>
      <c r="F50" s="138" t="str">
        <f>""</f>
        <v/>
      </c>
      <c r="G50" s="138" t="str">
        <f>""</f>
        <v/>
      </c>
      <c r="H50" s="138" t="str">
        <f>""</f>
        <v/>
      </c>
      <c r="I50" s="138" t="str">
        <f>""</f>
        <v/>
      </c>
      <c r="J50" s="138" t="s">
        <v>1584</v>
      </c>
      <c r="K50" s="138" t="str">
        <f>""</f>
        <v/>
      </c>
      <c r="L50" s="138" t="str">
        <f>""</f>
        <v/>
      </c>
      <c r="M50" s="138" t="str">
        <f>""</f>
        <v/>
      </c>
      <c r="N50" s="138" t="str">
        <f>""</f>
        <v/>
      </c>
      <c r="O50" s="138" t="str">
        <f>""</f>
        <v/>
      </c>
      <c r="P50" s="138" t="str">
        <f>""</f>
        <v/>
      </c>
      <c r="Q50" s="138" t="s">
        <v>3974</v>
      </c>
      <c r="R50" s="138" t="str">
        <f>""</f>
        <v/>
      </c>
      <c r="S50" s="138" t="str">
        <f>""</f>
        <v/>
      </c>
      <c r="T50" s="138" t="str">
        <f>""</f>
        <v/>
      </c>
      <c r="U50" s="138" t="str">
        <f>""</f>
        <v/>
      </c>
      <c r="V50" s="138" t="str">
        <f>""</f>
        <v/>
      </c>
      <c r="W50" s="138" t="str">
        <f>""</f>
        <v/>
      </c>
      <c r="X50" s="138" t="str">
        <f>""</f>
        <v/>
      </c>
      <c r="Y50" s="138" t="str">
        <f>""</f>
        <v/>
      </c>
      <c r="Z50" s="138" t="str">
        <f>""</f>
        <v/>
      </c>
      <c r="AA50" s="138" t="str">
        <f>""</f>
        <v/>
      </c>
      <c r="AB50" s="138" t="str">
        <f>""</f>
        <v/>
      </c>
      <c r="AC50" s="138" t="str">
        <f>""</f>
        <v/>
      </c>
      <c r="AD50" s="138" t="str">
        <f>""</f>
        <v/>
      </c>
      <c r="AE50" s="138" t="str">
        <f>""</f>
        <v/>
      </c>
      <c r="AF50" s="138" t="str">
        <f>""</f>
        <v/>
      </c>
      <c r="AG50" s="138" t="e">
        <f>HLOOKUP(Campagne,Faction_list_complete,48,FALSE)</f>
        <v>#N/A</v>
      </c>
    </row>
    <row r="51" spans="1:33">
      <c r="A51" s="75" t="str">
        <f>""</f>
        <v/>
      </c>
      <c r="B51" s="75" t="str">
        <f>""</f>
        <v/>
      </c>
      <c r="C51" s="75" t="str">
        <f>""</f>
        <v/>
      </c>
      <c r="D51" s="75" t="str">
        <f>""</f>
        <v/>
      </c>
      <c r="E51" s="75" t="str">
        <f>""</f>
        <v/>
      </c>
      <c r="F51" s="75" t="str">
        <f>""</f>
        <v/>
      </c>
      <c r="G51" s="75" t="str">
        <f>""</f>
        <v/>
      </c>
      <c r="H51" s="75" t="str">
        <f>""</f>
        <v/>
      </c>
      <c r="I51" s="75" t="str">
        <f>""</f>
        <v/>
      </c>
      <c r="J51" s="75" t="s">
        <v>1585</v>
      </c>
      <c r="K51" s="75" t="str">
        <f>""</f>
        <v/>
      </c>
      <c r="L51" s="75" t="str">
        <f>""</f>
        <v/>
      </c>
      <c r="M51" s="75" t="str">
        <f>""</f>
        <v/>
      </c>
      <c r="N51" s="75" t="str">
        <f>""</f>
        <v/>
      </c>
      <c r="O51" s="75" t="str">
        <f>""</f>
        <v/>
      </c>
      <c r="P51" s="75" t="str">
        <f>""</f>
        <v/>
      </c>
      <c r="Q51" s="75" t="s">
        <v>3975</v>
      </c>
      <c r="R51" s="75" t="str">
        <f>""</f>
        <v/>
      </c>
      <c r="S51" s="75" t="str">
        <f>""</f>
        <v/>
      </c>
      <c r="T51" s="75" t="str">
        <f>""</f>
        <v/>
      </c>
      <c r="U51" s="75" t="str">
        <f>""</f>
        <v/>
      </c>
      <c r="V51" s="75" t="str">
        <f>""</f>
        <v/>
      </c>
      <c r="W51" s="75" t="str">
        <f>""</f>
        <v/>
      </c>
      <c r="X51" s="75" t="str">
        <f>""</f>
        <v/>
      </c>
      <c r="Y51" s="75" t="str">
        <f>""</f>
        <v/>
      </c>
      <c r="Z51" s="75" t="str">
        <f>""</f>
        <v/>
      </c>
      <c r="AA51" s="75" t="str">
        <f>""</f>
        <v/>
      </c>
      <c r="AB51" s="75" t="str">
        <f>""</f>
        <v/>
      </c>
      <c r="AC51" s="75" t="str">
        <f>""</f>
        <v/>
      </c>
      <c r="AD51" s="75" t="str">
        <f>""</f>
        <v/>
      </c>
      <c r="AE51" s="75" t="str">
        <f>""</f>
        <v/>
      </c>
      <c r="AF51" s="75" t="str">
        <f>""</f>
        <v/>
      </c>
      <c r="AG51" s="75" t="e">
        <f>HLOOKUP(Campagne,Faction_list_complete,49,FALSE)</f>
        <v>#N/A</v>
      </c>
    </row>
    <row r="52" spans="1:33">
      <c r="A52" s="138" t="str">
        <f>""</f>
        <v/>
      </c>
      <c r="B52" s="138" t="str">
        <f>""</f>
        <v/>
      </c>
      <c r="C52" s="138" t="str">
        <f>""</f>
        <v/>
      </c>
      <c r="D52" s="138" t="str">
        <f>""</f>
        <v/>
      </c>
      <c r="E52" s="138" t="str">
        <f>""</f>
        <v/>
      </c>
      <c r="F52" s="138" t="str">
        <f>""</f>
        <v/>
      </c>
      <c r="G52" s="138" t="str">
        <f>""</f>
        <v/>
      </c>
      <c r="H52" s="138" t="str">
        <f>""</f>
        <v/>
      </c>
      <c r="I52" s="138" t="str">
        <f>""</f>
        <v/>
      </c>
      <c r="J52" s="138" t="s">
        <v>1586</v>
      </c>
      <c r="K52" s="138" t="str">
        <f>""</f>
        <v/>
      </c>
      <c r="L52" s="138" t="str">
        <f>""</f>
        <v/>
      </c>
      <c r="M52" s="138" t="str">
        <f>""</f>
        <v/>
      </c>
      <c r="N52" s="138" t="str">
        <f>""</f>
        <v/>
      </c>
      <c r="O52" s="138" t="str">
        <f>""</f>
        <v/>
      </c>
      <c r="P52" s="138" t="str">
        <f>""</f>
        <v/>
      </c>
      <c r="Q52" s="138" t="s">
        <v>3976</v>
      </c>
      <c r="R52" s="138" t="str">
        <f>""</f>
        <v/>
      </c>
      <c r="S52" s="138" t="str">
        <f>""</f>
        <v/>
      </c>
      <c r="T52" s="138" t="str">
        <f>""</f>
        <v/>
      </c>
      <c r="U52" s="138" t="str">
        <f>""</f>
        <v/>
      </c>
      <c r="V52" s="138" t="str">
        <f>""</f>
        <v/>
      </c>
      <c r="W52" s="138" t="str">
        <f>""</f>
        <v/>
      </c>
      <c r="X52" s="138" t="str">
        <f>""</f>
        <v/>
      </c>
      <c r="Y52" s="138" t="str">
        <f>""</f>
        <v/>
      </c>
      <c r="Z52" s="138" t="str">
        <f>""</f>
        <v/>
      </c>
      <c r="AA52" s="138" t="str">
        <f>""</f>
        <v/>
      </c>
      <c r="AB52" s="138" t="str">
        <f>""</f>
        <v/>
      </c>
      <c r="AC52" s="138" t="str">
        <f>""</f>
        <v/>
      </c>
      <c r="AD52" s="138" t="str">
        <f>""</f>
        <v/>
      </c>
      <c r="AE52" s="138" t="str">
        <f>""</f>
        <v/>
      </c>
      <c r="AF52" s="138" t="str">
        <f>""</f>
        <v/>
      </c>
      <c r="AG52" s="138" t="e">
        <f>HLOOKUP(Campagne,Faction_list_complete,50,FALSE)</f>
        <v>#N/A</v>
      </c>
    </row>
    <row r="53" spans="1:33">
      <c r="A53" s="75" t="str">
        <f>""</f>
        <v/>
      </c>
      <c r="B53" s="75" t="str">
        <f>""</f>
        <v/>
      </c>
      <c r="C53" s="75" t="str">
        <f>""</f>
        <v/>
      </c>
      <c r="D53" s="75" t="str">
        <f>""</f>
        <v/>
      </c>
      <c r="E53" s="75" t="str">
        <f>""</f>
        <v/>
      </c>
      <c r="F53" s="75" t="str">
        <f>""</f>
        <v/>
      </c>
      <c r="G53" s="75" t="str">
        <f>""</f>
        <v/>
      </c>
      <c r="H53" s="75" t="str">
        <f>""</f>
        <v/>
      </c>
      <c r="I53" s="75" t="str">
        <f>""</f>
        <v/>
      </c>
      <c r="J53" s="75" t="s">
        <v>1587</v>
      </c>
      <c r="K53" s="75" t="str">
        <f>""</f>
        <v/>
      </c>
      <c r="L53" s="75" t="str">
        <f>""</f>
        <v/>
      </c>
      <c r="M53" s="75" t="str">
        <f>""</f>
        <v/>
      </c>
      <c r="N53" s="75" t="str">
        <f>""</f>
        <v/>
      </c>
      <c r="O53" s="75" t="str">
        <f>""</f>
        <v/>
      </c>
      <c r="P53" s="75" t="str">
        <f>""</f>
        <v/>
      </c>
      <c r="Q53" s="75" t="s">
        <v>3977</v>
      </c>
      <c r="R53" s="75" t="str">
        <f>""</f>
        <v/>
      </c>
      <c r="S53" s="75" t="str">
        <f>""</f>
        <v/>
      </c>
      <c r="T53" s="75" t="str">
        <f>""</f>
        <v/>
      </c>
      <c r="U53" s="75" t="str">
        <f>""</f>
        <v/>
      </c>
      <c r="V53" s="75" t="str">
        <f>""</f>
        <v/>
      </c>
      <c r="W53" s="75" t="str">
        <f>""</f>
        <v/>
      </c>
      <c r="X53" s="75" t="str">
        <f>""</f>
        <v/>
      </c>
      <c r="Y53" s="75" t="str">
        <f>""</f>
        <v/>
      </c>
      <c r="Z53" s="75" t="str">
        <f>""</f>
        <v/>
      </c>
      <c r="AA53" s="75" t="str">
        <f>""</f>
        <v/>
      </c>
      <c r="AB53" s="75" t="str">
        <f>""</f>
        <v/>
      </c>
      <c r="AC53" s="75" t="str">
        <f>""</f>
        <v/>
      </c>
      <c r="AD53" s="75" t="str">
        <f>""</f>
        <v/>
      </c>
      <c r="AE53" s="75" t="str">
        <f>""</f>
        <v/>
      </c>
      <c r="AF53" s="75" t="str">
        <f>""</f>
        <v/>
      </c>
      <c r="AG53" s="75" t="e">
        <f>HLOOKUP(Campagne,Faction_list_complete,51,FALSE)</f>
        <v>#N/A</v>
      </c>
    </row>
    <row r="54" spans="1:33">
      <c r="A54" s="138" t="str">
        <f>""</f>
        <v/>
      </c>
      <c r="B54" s="138" t="str">
        <f>""</f>
        <v/>
      </c>
      <c r="C54" s="138" t="str">
        <f>""</f>
        <v/>
      </c>
      <c r="D54" s="138" t="str">
        <f>""</f>
        <v/>
      </c>
      <c r="E54" s="138" t="str">
        <f>""</f>
        <v/>
      </c>
      <c r="F54" s="138" t="str">
        <f>""</f>
        <v/>
      </c>
      <c r="G54" s="138" t="str">
        <f>""</f>
        <v/>
      </c>
      <c r="H54" s="138" t="str">
        <f>""</f>
        <v/>
      </c>
      <c r="I54" s="138" t="str">
        <f>""</f>
        <v/>
      </c>
      <c r="J54" s="138" t="s">
        <v>1588</v>
      </c>
      <c r="K54" s="138" t="str">
        <f>""</f>
        <v/>
      </c>
      <c r="L54" s="138" t="str">
        <f>""</f>
        <v/>
      </c>
      <c r="M54" s="138" t="str">
        <f>""</f>
        <v/>
      </c>
      <c r="N54" s="138" t="str">
        <f>""</f>
        <v/>
      </c>
      <c r="O54" s="138" t="str">
        <f>""</f>
        <v/>
      </c>
      <c r="P54" s="138" t="str">
        <f>""</f>
        <v/>
      </c>
      <c r="Q54" s="138" t="s">
        <v>3978</v>
      </c>
      <c r="R54" s="138" t="str">
        <f>""</f>
        <v/>
      </c>
      <c r="S54" s="138" t="str">
        <f>""</f>
        <v/>
      </c>
      <c r="T54" s="138" t="str">
        <f>""</f>
        <v/>
      </c>
      <c r="U54" s="138" t="str">
        <f>""</f>
        <v/>
      </c>
      <c r="V54" s="138" t="str">
        <f>""</f>
        <v/>
      </c>
      <c r="W54" s="138" t="str">
        <f>""</f>
        <v/>
      </c>
      <c r="X54" s="138" t="str">
        <f>""</f>
        <v/>
      </c>
      <c r="Y54" s="138" t="str">
        <f>""</f>
        <v/>
      </c>
      <c r="Z54" s="138" t="str">
        <f>""</f>
        <v/>
      </c>
      <c r="AA54" s="138" t="str">
        <f>""</f>
        <v/>
      </c>
      <c r="AB54" s="138" t="str">
        <f>""</f>
        <v/>
      </c>
      <c r="AC54" s="138" t="str">
        <f>""</f>
        <v/>
      </c>
      <c r="AD54" s="138" t="str">
        <f>""</f>
        <v/>
      </c>
      <c r="AE54" s="138" t="str">
        <f>""</f>
        <v/>
      </c>
      <c r="AF54" s="138" t="str">
        <f>""</f>
        <v/>
      </c>
      <c r="AG54" s="138" t="e">
        <f>HLOOKUP(Campagne,Faction_list_complete,52,FALSE)</f>
        <v>#N/A</v>
      </c>
    </row>
    <row r="55" spans="1:33">
      <c r="A55" s="75" t="str">
        <f>""</f>
        <v/>
      </c>
      <c r="B55" s="75" t="str">
        <f>""</f>
        <v/>
      </c>
      <c r="C55" s="75" t="str">
        <f>""</f>
        <v/>
      </c>
      <c r="D55" s="75" t="str">
        <f>""</f>
        <v/>
      </c>
      <c r="E55" s="75" t="str">
        <f>""</f>
        <v/>
      </c>
      <c r="F55" s="75" t="str">
        <f>""</f>
        <v/>
      </c>
      <c r="G55" s="75" t="str">
        <f>""</f>
        <v/>
      </c>
      <c r="H55" s="75" t="str">
        <f>""</f>
        <v/>
      </c>
      <c r="I55" s="75" t="str">
        <f>""</f>
        <v/>
      </c>
      <c r="J55" s="75" t="s">
        <v>1589</v>
      </c>
      <c r="K55" s="75" t="str">
        <f>""</f>
        <v/>
      </c>
      <c r="L55" s="75" t="str">
        <f>""</f>
        <v/>
      </c>
      <c r="M55" s="75" t="str">
        <f>""</f>
        <v/>
      </c>
      <c r="N55" s="75" t="str">
        <f>""</f>
        <v/>
      </c>
      <c r="O55" s="75" t="str">
        <f>""</f>
        <v/>
      </c>
      <c r="P55" s="75" t="str">
        <f>""</f>
        <v/>
      </c>
      <c r="Q55" s="75" t="s">
        <v>3979</v>
      </c>
      <c r="R55" s="75" t="str">
        <f>""</f>
        <v/>
      </c>
      <c r="S55" s="75" t="str">
        <f>""</f>
        <v/>
      </c>
      <c r="T55" s="75" t="str">
        <f>""</f>
        <v/>
      </c>
      <c r="U55" s="75" t="str">
        <f>""</f>
        <v/>
      </c>
      <c r="V55" s="75" t="str">
        <f>""</f>
        <v/>
      </c>
      <c r="W55" s="75" t="str">
        <f>""</f>
        <v/>
      </c>
      <c r="X55" s="75" t="str">
        <f>""</f>
        <v/>
      </c>
      <c r="Y55" s="75" t="str">
        <f>""</f>
        <v/>
      </c>
      <c r="Z55" s="75" t="str">
        <f>""</f>
        <v/>
      </c>
      <c r="AA55" s="75" t="str">
        <f>""</f>
        <v/>
      </c>
      <c r="AB55" s="75" t="str">
        <f>""</f>
        <v/>
      </c>
      <c r="AC55" s="75" t="str">
        <f>""</f>
        <v/>
      </c>
      <c r="AD55" s="75" t="str">
        <f>""</f>
        <v/>
      </c>
      <c r="AE55" s="75" t="str">
        <f>""</f>
        <v/>
      </c>
      <c r="AF55" s="75" t="str">
        <f>""</f>
        <v/>
      </c>
      <c r="AG55" s="75" t="e">
        <f>HLOOKUP(Campagne,Faction_list_complete,53,FALSE)</f>
        <v>#N/A</v>
      </c>
    </row>
    <row r="56" spans="1:33">
      <c r="A56" s="138" t="str">
        <f>""</f>
        <v/>
      </c>
      <c r="B56" s="138" t="str">
        <f>""</f>
        <v/>
      </c>
      <c r="C56" s="138" t="str">
        <f>""</f>
        <v/>
      </c>
      <c r="D56" s="138" t="str">
        <f>""</f>
        <v/>
      </c>
      <c r="E56" s="138" t="str">
        <f>""</f>
        <v/>
      </c>
      <c r="F56" s="138" t="str">
        <f>""</f>
        <v/>
      </c>
      <c r="G56" s="138" t="str">
        <f>""</f>
        <v/>
      </c>
      <c r="H56" s="138" t="str">
        <f>""</f>
        <v/>
      </c>
      <c r="I56" s="138" t="str">
        <f>""</f>
        <v/>
      </c>
      <c r="J56" s="138" t="s">
        <v>1590</v>
      </c>
      <c r="K56" s="138" t="str">
        <f>""</f>
        <v/>
      </c>
      <c r="L56" s="138" t="str">
        <f>""</f>
        <v/>
      </c>
      <c r="M56" s="138" t="str">
        <f>""</f>
        <v/>
      </c>
      <c r="N56" s="138" t="str">
        <f>""</f>
        <v/>
      </c>
      <c r="O56" s="138" t="str">
        <f>""</f>
        <v/>
      </c>
      <c r="P56" s="138" t="str">
        <f>""</f>
        <v/>
      </c>
      <c r="Q56" s="138" t="str">
        <f>""</f>
        <v/>
      </c>
      <c r="R56" s="138" t="str">
        <f>""</f>
        <v/>
      </c>
      <c r="S56" s="138" t="str">
        <f>""</f>
        <v/>
      </c>
      <c r="T56" s="138" t="str">
        <f>""</f>
        <v/>
      </c>
      <c r="U56" s="138" t="str">
        <f>""</f>
        <v/>
      </c>
      <c r="V56" s="138" t="str">
        <f>""</f>
        <v/>
      </c>
      <c r="W56" s="138" t="str">
        <f>""</f>
        <v/>
      </c>
      <c r="X56" s="138" t="str">
        <f>""</f>
        <v/>
      </c>
      <c r="Y56" s="138" t="str">
        <f>""</f>
        <v/>
      </c>
      <c r="Z56" s="138" t="str">
        <f>""</f>
        <v/>
      </c>
      <c r="AA56" s="138" t="str">
        <f>""</f>
        <v/>
      </c>
      <c r="AB56" s="138" t="str">
        <f>""</f>
        <v/>
      </c>
      <c r="AC56" s="138" t="str">
        <f>""</f>
        <v/>
      </c>
      <c r="AD56" s="138" t="str">
        <f>""</f>
        <v/>
      </c>
      <c r="AE56" s="138" t="str">
        <f>""</f>
        <v/>
      </c>
      <c r="AF56" s="138" t="str">
        <f>""</f>
        <v/>
      </c>
      <c r="AG56" s="138" t="e">
        <f>HLOOKUP(Campagne,Faction_list_complete,54,FALSE)</f>
        <v>#N/A</v>
      </c>
    </row>
    <row r="57" spans="1:33">
      <c r="A57" s="75" t="str">
        <f>""</f>
        <v/>
      </c>
      <c r="B57" s="75" t="str">
        <f>""</f>
        <v/>
      </c>
      <c r="C57" s="75" t="str">
        <f>""</f>
        <v/>
      </c>
      <c r="D57" s="75" t="str">
        <f>""</f>
        <v/>
      </c>
      <c r="E57" s="75" t="str">
        <f>""</f>
        <v/>
      </c>
      <c r="F57" s="75" t="str">
        <f>""</f>
        <v/>
      </c>
      <c r="G57" s="75" t="str">
        <f>""</f>
        <v/>
      </c>
      <c r="H57" s="75" t="str">
        <f>""</f>
        <v/>
      </c>
      <c r="I57" s="75" t="str">
        <f>""</f>
        <v/>
      </c>
      <c r="J57" s="75" t="s">
        <v>1591</v>
      </c>
      <c r="K57" s="75" t="str">
        <f>""</f>
        <v/>
      </c>
      <c r="L57" s="75" t="str">
        <f>""</f>
        <v/>
      </c>
      <c r="M57" s="75" t="str">
        <f>""</f>
        <v/>
      </c>
      <c r="N57" s="75" t="str">
        <f>""</f>
        <v/>
      </c>
      <c r="O57" s="75" t="str">
        <f>""</f>
        <v/>
      </c>
      <c r="P57" s="75" t="str">
        <f>""</f>
        <v/>
      </c>
      <c r="Q57" s="75" t="str">
        <f>""</f>
        <v/>
      </c>
      <c r="R57" s="75" t="str">
        <f>""</f>
        <v/>
      </c>
      <c r="S57" s="75" t="str">
        <f>""</f>
        <v/>
      </c>
      <c r="T57" s="75" t="str">
        <f>""</f>
        <v/>
      </c>
      <c r="U57" s="75" t="str">
        <f>""</f>
        <v/>
      </c>
      <c r="V57" s="75" t="str">
        <f>""</f>
        <v/>
      </c>
      <c r="W57" s="75" t="str">
        <f>""</f>
        <v/>
      </c>
      <c r="X57" s="75" t="str">
        <f>""</f>
        <v/>
      </c>
      <c r="Y57" s="75" t="str">
        <f>""</f>
        <v/>
      </c>
      <c r="Z57" s="75" t="str">
        <f>""</f>
        <v/>
      </c>
      <c r="AA57" s="75" t="str">
        <f>""</f>
        <v/>
      </c>
      <c r="AB57" s="75" t="str">
        <f>""</f>
        <v/>
      </c>
      <c r="AC57" s="75" t="str">
        <f>""</f>
        <v/>
      </c>
      <c r="AD57" s="75" t="str">
        <f>""</f>
        <v/>
      </c>
      <c r="AE57" s="75" t="str">
        <f>""</f>
        <v/>
      </c>
      <c r="AF57" s="75" t="str">
        <f>""</f>
        <v/>
      </c>
      <c r="AG57" s="75" t="e">
        <f>HLOOKUP(Campagne,Faction_list_complete,55,FALSE)</f>
        <v>#N/A</v>
      </c>
    </row>
    <row r="58" spans="1:33">
      <c r="A58" s="138" t="str">
        <f>""</f>
        <v/>
      </c>
      <c r="B58" s="138" t="str">
        <f>""</f>
        <v/>
      </c>
      <c r="C58" s="138" t="str">
        <f>""</f>
        <v/>
      </c>
      <c r="D58" s="138" t="str">
        <f>""</f>
        <v/>
      </c>
      <c r="E58" s="138" t="str">
        <f>""</f>
        <v/>
      </c>
      <c r="F58" s="138" t="str">
        <f>""</f>
        <v/>
      </c>
      <c r="G58" s="138" t="str">
        <f>""</f>
        <v/>
      </c>
      <c r="H58" s="138" t="str">
        <f>""</f>
        <v/>
      </c>
      <c r="I58" s="138" t="str">
        <f>""</f>
        <v/>
      </c>
      <c r="J58" s="138" t="s">
        <v>1592</v>
      </c>
      <c r="K58" s="138" t="str">
        <f>""</f>
        <v/>
      </c>
      <c r="L58" s="138" t="str">
        <f>""</f>
        <v/>
      </c>
      <c r="M58" s="138" t="str">
        <f>""</f>
        <v/>
      </c>
      <c r="N58" s="138" t="str">
        <f>""</f>
        <v/>
      </c>
      <c r="O58" s="138" t="str">
        <f>""</f>
        <v/>
      </c>
      <c r="P58" s="138" t="str">
        <f>""</f>
        <v/>
      </c>
      <c r="Q58" s="138" t="str">
        <f>""</f>
        <v/>
      </c>
      <c r="R58" s="138" t="str">
        <f>""</f>
        <v/>
      </c>
      <c r="S58" s="138" t="str">
        <f>""</f>
        <v/>
      </c>
      <c r="T58" s="138" t="str">
        <f>""</f>
        <v/>
      </c>
      <c r="U58" s="138" t="str">
        <f>""</f>
        <v/>
      </c>
      <c r="V58" s="138" t="str">
        <f>""</f>
        <v/>
      </c>
      <c r="W58" s="138" t="str">
        <f>""</f>
        <v/>
      </c>
      <c r="X58" s="138" t="str">
        <f>""</f>
        <v/>
      </c>
      <c r="Y58" s="138" t="str">
        <f>""</f>
        <v/>
      </c>
      <c r="Z58" s="138" t="str">
        <f>""</f>
        <v/>
      </c>
      <c r="AA58" s="138" t="str">
        <f>""</f>
        <v/>
      </c>
      <c r="AB58" s="138" t="str">
        <f>""</f>
        <v/>
      </c>
      <c r="AC58" s="138" t="str">
        <f>""</f>
        <v/>
      </c>
      <c r="AD58" s="138" t="str">
        <f>""</f>
        <v/>
      </c>
      <c r="AE58" s="138" t="str">
        <f>""</f>
        <v/>
      </c>
      <c r="AF58" s="138" t="str">
        <f>""</f>
        <v/>
      </c>
      <c r="AG58" s="138" t="e">
        <f>HLOOKUP(Campagne,Faction_list_complete,56,FALSE)</f>
        <v>#N/A</v>
      </c>
    </row>
    <row r="59" spans="1:33">
      <c r="A59" s="75" t="str">
        <f>""</f>
        <v/>
      </c>
      <c r="B59" s="75" t="str">
        <f>""</f>
        <v/>
      </c>
      <c r="C59" s="75" t="str">
        <f>""</f>
        <v/>
      </c>
      <c r="D59" s="75" t="str">
        <f>""</f>
        <v/>
      </c>
      <c r="E59" s="75" t="str">
        <f>""</f>
        <v/>
      </c>
      <c r="F59" s="75" t="str">
        <f>""</f>
        <v/>
      </c>
      <c r="G59" s="75" t="str">
        <f>""</f>
        <v/>
      </c>
      <c r="H59" s="75" t="str">
        <f>""</f>
        <v/>
      </c>
      <c r="I59" s="75" t="str">
        <f>""</f>
        <v/>
      </c>
      <c r="J59" s="75" t="s">
        <v>1593</v>
      </c>
      <c r="K59" s="75" t="str">
        <f>""</f>
        <v/>
      </c>
      <c r="L59" s="75" t="str">
        <f>""</f>
        <v/>
      </c>
      <c r="M59" s="75" t="str">
        <f>""</f>
        <v/>
      </c>
      <c r="N59" s="75" t="str">
        <f>""</f>
        <v/>
      </c>
      <c r="O59" s="75" t="str">
        <f>""</f>
        <v/>
      </c>
      <c r="P59" s="75" t="str">
        <f>""</f>
        <v/>
      </c>
      <c r="Q59" s="75" t="str">
        <f>""</f>
        <v/>
      </c>
      <c r="R59" s="75" t="str">
        <f>""</f>
        <v/>
      </c>
      <c r="S59" s="75" t="str">
        <f>""</f>
        <v/>
      </c>
      <c r="T59" s="75" t="str">
        <f>""</f>
        <v/>
      </c>
      <c r="U59" s="75" t="str">
        <f>""</f>
        <v/>
      </c>
      <c r="V59" s="75" t="str">
        <f>""</f>
        <v/>
      </c>
      <c r="W59" s="75" t="str">
        <f>""</f>
        <v/>
      </c>
      <c r="X59" s="75" t="str">
        <f>""</f>
        <v/>
      </c>
      <c r="Y59" s="75" t="str">
        <f>""</f>
        <v/>
      </c>
      <c r="Z59" s="75" t="str">
        <f>""</f>
        <v/>
      </c>
      <c r="AA59" s="75" t="str">
        <f>""</f>
        <v/>
      </c>
      <c r="AB59" s="75" t="str">
        <f>""</f>
        <v/>
      </c>
      <c r="AC59" s="75" t="str">
        <f>""</f>
        <v/>
      </c>
      <c r="AD59" s="75" t="str">
        <f>""</f>
        <v/>
      </c>
      <c r="AE59" s="75" t="str">
        <f>""</f>
        <v/>
      </c>
      <c r="AF59" s="75" t="str">
        <f>""</f>
        <v/>
      </c>
      <c r="AG59" s="75" t="e">
        <f>HLOOKUP(Campagne,Faction_list_complete,57,FALSE)</f>
        <v>#N/A</v>
      </c>
    </row>
    <row r="60" spans="1:33">
      <c r="A60" s="138" t="str">
        <f>""</f>
        <v/>
      </c>
      <c r="B60" s="138" t="str">
        <f>""</f>
        <v/>
      </c>
      <c r="C60" s="138" t="str">
        <f>""</f>
        <v/>
      </c>
      <c r="D60" s="138" t="str">
        <f>""</f>
        <v/>
      </c>
      <c r="E60" s="138" t="str">
        <f>""</f>
        <v/>
      </c>
      <c r="F60" s="138" t="str">
        <f>""</f>
        <v/>
      </c>
      <c r="G60" s="138" t="str">
        <f>""</f>
        <v/>
      </c>
      <c r="H60" s="138" t="str">
        <f>""</f>
        <v/>
      </c>
      <c r="I60" s="138" t="str">
        <f>""</f>
        <v/>
      </c>
      <c r="J60" s="138" t="s">
        <v>1594</v>
      </c>
      <c r="K60" s="138" t="str">
        <f>""</f>
        <v/>
      </c>
      <c r="L60" s="138" t="str">
        <f>""</f>
        <v/>
      </c>
      <c r="M60" s="138" t="str">
        <f>""</f>
        <v/>
      </c>
      <c r="N60" s="138" t="str">
        <f>""</f>
        <v/>
      </c>
      <c r="O60" s="138" t="str">
        <f>""</f>
        <v/>
      </c>
      <c r="P60" s="138" t="str">
        <f>""</f>
        <v/>
      </c>
      <c r="Q60" s="138" t="str">
        <f>""</f>
        <v/>
      </c>
      <c r="R60" s="138" t="str">
        <f>""</f>
        <v/>
      </c>
      <c r="S60" s="138" t="str">
        <f>""</f>
        <v/>
      </c>
      <c r="T60" s="138" t="str">
        <f>""</f>
        <v/>
      </c>
      <c r="U60" s="138" t="str">
        <f>""</f>
        <v/>
      </c>
      <c r="V60" s="138" t="str">
        <f>""</f>
        <v/>
      </c>
      <c r="W60" s="138" t="str">
        <f>""</f>
        <v/>
      </c>
      <c r="X60" s="138" t="str">
        <f>""</f>
        <v/>
      </c>
      <c r="Y60" s="138" t="str">
        <f>""</f>
        <v/>
      </c>
      <c r="Z60" s="138" t="str">
        <f>""</f>
        <v/>
      </c>
      <c r="AA60" s="138" t="str">
        <f>""</f>
        <v/>
      </c>
      <c r="AB60" s="138" t="str">
        <f>""</f>
        <v/>
      </c>
      <c r="AC60" s="138" t="str">
        <f>""</f>
        <v/>
      </c>
      <c r="AD60" s="138" t="str">
        <f>""</f>
        <v/>
      </c>
      <c r="AE60" s="138" t="str">
        <f>""</f>
        <v/>
      </c>
      <c r="AF60" s="138" t="str">
        <f>""</f>
        <v/>
      </c>
      <c r="AG60" s="138" t="e">
        <f>HLOOKUP(Campagne,Faction_list_complete,58,FALSE)</f>
        <v>#N/A</v>
      </c>
    </row>
    <row r="61" spans="1:33">
      <c r="A61" s="75" t="str">
        <f>""</f>
        <v/>
      </c>
      <c r="B61" s="75" t="str">
        <f>""</f>
        <v/>
      </c>
      <c r="C61" s="75" t="str">
        <f>""</f>
        <v/>
      </c>
      <c r="D61" s="75" t="str">
        <f>""</f>
        <v/>
      </c>
      <c r="E61" s="75" t="str">
        <f>""</f>
        <v/>
      </c>
      <c r="F61" s="75" t="str">
        <f>""</f>
        <v/>
      </c>
      <c r="G61" s="75" t="str">
        <f>""</f>
        <v/>
      </c>
      <c r="H61" s="75" t="str">
        <f>""</f>
        <v/>
      </c>
      <c r="I61" s="75" t="str">
        <f>""</f>
        <v/>
      </c>
      <c r="J61" s="75" t="s">
        <v>1595</v>
      </c>
      <c r="K61" s="75" t="str">
        <f>""</f>
        <v/>
      </c>
      <c r="L61" s="75" t="str">
        <f>""</f>
        <v/>
      </c>
      <c r="M61" s="75" t="str">
        <f>""</f>
        <v/>
      </c>
      <c r="N61" s="75" t="str">
        <f>""</f>
        <v/>
      </c>
      <c r="O61" s="75" t="str">
        <f>""</f>
        <v/>
      </c>
      <c r="P61" s="75" t="str">
        <f>""</f>
        <v/>
      </c>
      <c r="Q61" s="75" t="str">
        <f>""</f>
        <v/>
      </c>
      <c r="R61" s="75" t="str">
        <f>""</f>
        <v/>
      </c>
      <c r="S61" s="75" t="str">
        <f>""</f>
        <v/>
      </c>
      <c r="T61" s="75" t="str">
        <f>""</f>
        <v/>
      </c>
      <c r="U61" s="75" t="str">
        <f>""</f>
        <v/>
      </c>
      <c r="V61" s="75" t="str">
        <f>""</f>
        <v/>
      </c>
      <c r="W61" s="75" t="str">
        <f>""</f>
        <v/>
      </c>
      <c r="X61" s="75" t="str">
        <f>""</f>
        <v/>
      </c>
      <c r="Y61" s="75" t="str">
        <f>""</f>
        <v/>
      </c>
      <c r="Z61" s="75" t="str">
        <f>""</f>
        <v/>
      </c>
      <c r="AA61" s="75" t="str">
        <f>""</f>
        <v/>
      </c>
      <c r="AB61" s="75" t="str">
        <f>""</f>
        <v/>
      </c>
      <c r="AC61" s="75" t="str">
        <f>""</f>
        <v/>
      </c>
      <c r="AD61" s="75" t="str">
        <f>""</f>
        <v/>
      </c>
      <c r="AE61" s="75" t="str">
        <f>""</f>
        <v/>
      </c>
      <c r="AF61" s="75" t="str">
        <f>""</f>
        <v/>
      </c>
      <c r="AG61" s="75" t="e">
        <f>HLOOKUP(Campagne,Faction_list_complete,59,FALSE)</f>
        <v>#N/A</v>
      </c>
    </row>
    <row r="62" spans="1:33">
      <c r="A62" s="138" t="str">
        <f>""</f>
        <v/>
      </c>
      <c r="B62" s="138" t="str">
        <f>""</f>
        <v/>
      </c>
      <c r="C62" s="138" t="str">
        <f>""</f>
        <v/>
      </c>
      <c r="D62" s="138" t="str">
        <f>""</f>
        <v/>
      </c>
      <c r="E62" s="138" t="str">
        <f>""</f>
        <v/>
      </c>
      <c r="F62" s="138" t="str">
        <f>""</f>
        <v/>
      </c>
      <c r="G62" s="138" t="str">
        <f>""</f>
        <v/>
      </c>
      <c r="H62" s="138" t="str">
        <f>""</f>
        <v/>
      </c>
      <c r="I62" s="138" t="str">
        <f>""</f>
        <v/>
      </c>
      <c r="J62" s="138" t="s">
        <v>1596</v>
      </c>
      <c r="K62" s="138" t="str">
        <f>""</f>
        <v/>
      </c>
      <c r="L62" s="138" t="str">
        <f>""</f>
        <v/>
      </c>
      <c r="M62" s="138" t="str">
        <f>""</f>
        <v/>
      </c>
      <c r="N62" s="138" t="str">
        <f>""</f>
        <v/>
      </c>
      <c r="O62" s="138" t="str">
        <f>""</f>
        <v/>
      </c>
      <c r="P62" s="138" t="str">
        <f>""</f>
        <v/>
      </c>
      <c r="Q62" s="138" t="str">
        <f>""</f>
        <v/>
      </c>
      <c r="R62" s="138" t="str">
        <f>""</f>
        <v/>
      </c>
      <c r="S62" s="138" t="str">
        <f>""</f>
        <v/>
      </c>
      <c r="T62" s="138" t="str">
        <f>""</f>
        <v/>
      </c>
      <c r="U62" s="138" t="str">
        <f>""</f>
        <v/>
      </c>
      <c r="V62" s="138" t="str">
        <f>""</f>
        <v/>
      </c>
      <c r="W62" s="138" t="str">
        <f>""</f>
        <v/>
      </c>
      <c r="X62" s="138" t="str">
        <f>""</f>
        <v/>
      </c>
      <c r="Y62" s="138" t="str">
        <f>""</f>
        <v/>
      </c>
      <c r="Z62" s="138" t="str">
        <f>""</f>
        <v/>
      </c>
      <c r="AA62" s="138" t="str">
        <f>""</f>
        <v/>
      </c>
      <c r="AB62" s="138" t="str">
        <f>""</f>
        <v/>
      </c>
      <c r="AC62" s="138" t="str">
        <f>""</f>
        <v/>
      </c>
      <c r="AD62" s="138" t="str">
        <f>""</f>
        <v/>
      </c>
      <c r="AE62" s="138" t="str">
        <f>""</f>
        <v/>
      </c>
      <c r="AF62" s="138" t="str">
        <f>""</f>
        <v/>
      </c>
      <c r="AG62" s="138" t="e">
        <f>HLOOKUP(Campagne,Faction_list_complete,60,FALSE)</f>
        <v>#N/A</v>
      </c>
    </row>
    <row r="63" spans="1:33">
      <c r="A63" s="75" t="str">
        <f>""</f>
        <v/>
      </c>
      <c r="B63" s="75" t="str">
        <f>""</f>
        <v/>
      </c>
      <c r="C63" s="75" t="str">
        <f>""</f>
        <v/>
      </c>
      <c r="D63" s="75" t="str">
        <f>""</f>
        <v/>
      </c>
      <c r="E63" s="75" t="str">
        <f>""</f>
        <v/>
      </c>
      <c r="F63" s="75" t="str">
        <f>""</f>
        <v/>
      </c>
      <c r="G63" s="75" t="str">
        <f>""</f>
        <v/>
      </c>
      <c r="H63" s="75" t="str">
        <f>""</f>
        <v/>
      </c>
      <c r="I63" s="75" t="str">
        <f>""</f>
        <v/>
      </c>
      <c r="J63" s="75" t="s">
        <v>1597</v>
      </c>
      <c r="K63" s="75" t="str">
        <f>""</f>
        <v/>
      </c>
      <c r="L63" s="75" t="str">
        <f>""</f>
        <v/>
      </c>
      <c r="M63" s="75" t="str">
        <f>""</f>
        <v/>
      </c>
      <c r="N63" s="75" t="str">
        <f>""</f>
        <v/>
      </c>
      <c r="O63" s="75" t="str">
        <f>""</f>
        <v/>
      </c>
      <c r="P63" s="75" t="str">
        <f>""</f>
        <v/>
      </c>
      <c r="Q63" s="75" t="str">
        <f>""</f>
        <v/>
      </c>
      <c r="R63" s="75" t="str">
        <f>""</f>
        <v/>
      </c>
      <c r="S63" s="75" t="str">
        <f>""</f>
        <v/>
      </c>
      <c r="T63" s="75" t="str">
        <f>""</f>
        <v/>
      </c>
      <c r="U63" s="75" t="str">
        <f>""</f>
        <v/>
      </c>
      <c r="V63" s="75" t="str">
        <f>""</f>
        <v/>
      </c>
      <c r="W63" s="75" t="str">
        <f>""</f>
        <v/>
      </c>
      <c r="X63" s="75" t="str">
        <f>""</f>
        <v/>
      </c>
      <c r="Y63" s="75" t="str">
        <f>""</f>
        <v/>
      </c>
      <c r="Z63" s="75" t="str">
        <f>""</f>
        <v/>
      </c>
      <c r="AA63" s="75" t="str">
        <f>""</f>
        <v/>
      </c>
      <c r="AB63" s="75" t="str">
        <f>""</f>
        <v/>
      </c>
      <c r="AC63" s="75" t="str">
        <f>""</f>
        <v/>
      </c>
      <c r="AD63" s="75" t="str">
        <f>""</f>
        <v/>
      </c>
      <c r="AE63" s="75" t="str">
        <f>""</f>
        <v/>
      </c>
      <c r="AF63" s="75" t="str">
        <f>""</f>
        <v/>
      </c>
      <c r="AG63" s="75" t="e">
        <f>HLOOKUP(Campagne,Faction_list_complete,61,FALSE)</f>
        <v>#N/A</v>
      </c>
    </row>
    <row r="64" spans="1:33">
      <c r="A64" s="138" t="str">
        <f>""</f>
        <v/>
      </c>
      <c r="B64" s="138" t="str">
        <f>""</f>
        <v/>
      </c>
      <c r="C64" s="138" t="str">
        <f>""</f>
        <v/>
      </c>
      <c r="D64" s="138" t="str">
        <f>""</f>
        <v/>
      </c>
      <c r="E64" s="138" t="str">
        <f>""</f>
        <v/>
      </c>
      <c r="F64" s="138" t="str">
        <f>""</f>
        <v/>
      </c>
      <c r="G64" s="138" t="str">
        <f>""</f>
        <v/>
      </c>
      <c r="H64" s="138" t="str">
        <f>""</f>
        <v/>
      </c>
      <c r="I64" s="138" t="str">
        <f>""</f>
        <v/>
      </c>
      <c r="J64" s="138" t="s">
        <v>1598</v>
      </c>
      <c r="K64" s="138" t="str">
        <f>""</f>
        <v/>
      </c>
      <c r="L64" s="138" t="str">
        <f>""</f>
        <v/>
      </c>
      <c r="M64" s="138" t="str">
        <f>""</f>
        <v/>
      </c>
      <c r="N64" s="138" t="str">
        <f>""</f>
        <v/>
      </c>
      <c r="O64" s="138" t="str">
        <f>""</f>
        <v/>
      </c>
      <c r="P64" s="138" t="str">
        <f>""</f>
        <v/>
      </c>
      <c r="Q64" s="138" t="str">
        <f>""</f>
        <v/>
      </c>
      <c r="R64" s="138" t="str">
        <f>""</f>
        <v/>
      </c>
      <c r="S64" s="138" t="str">
        <f>""</f>
        <v/>
      </c>
      <c r="T64" s="138" t="str">
        <f>""</f>
        <v/>
      </c>
      <c r="U64" s="138" t="str">
        <f>""</f>
        <v/>
      </c>
      <c r="V64" s="138" t="str">
        <f>""</f>
        <v/>
      </c>
      <c r="W64" s="138" t="str">
        <f>""</f>
        <v/>
      </c>
      <c r="X64" s="138" t="str">
        <f>""</f>
        <v/>
      </c>
      <c r="Y64" s="138" t="str">
        <f>""</f>
        <v/>
      </c>
      <c r="Z64" s="138" t="str">
        <f>""</f>
        <v/>
      </c>
      <c r="AA64" s="138" t="str">
        <f>""</f>
        <v/>
      </c>
      <c r="AB64" s="138" t="str">
        <f>""</f>
        <v/>
      </c>
      <c r="AC64" s="138" t="str">
        <f>""</f>
        <v/>
      </c>
      <c r="AD64" s="138" t="str">
        <f>""</f>
        <v/>
      </c>
      <c r="AE64" s="138" t="str">
        <f>""</f>
        <v/>
      </c>
      <c r="AF64" s="138" t="str">
        <f>""</f>
        <v/>
      </c>
      <c r="AG64" s="138" t="e">
        <f>HLOOKUP(Campagne,Faction_list_complete,62,FALSE)</f>
        <v>#N/A</v>
      </c>
    </row>
    <row r="65" spans="1:33">
      <c r="A65" s="75" t="str">
        <f>""</f>
        <v/>
      </c>
      <c r="B65" s="75" t="str">
        <f>""</f>
        <v/>
      </c>
      <c r="C65" s="75" t="str">
        <f>""</f>
        <v/>
      </c>
      <c r="D65" s="75" t="str">
        <f>""</f>
        <v/>
      </c>
      <c r="E65" s="75" t="str">
        <f>""</f>
        <v/>
      </c>
      <c r="F65" s="75" t="str">
        <f>""</f>
        <v/>
      </c>
      <c r="G65" s="75" t="str">
        <f>""</f>
        <v/>
      </c>
      <c r="H65" s="75" t="str">
        <f>""</f>
        <v/>
      </c>
      <c r="I65" s="75" t="str">
        <f>""</f>
        <v/>
      </c>
      <c r="J65" s="75" t="s">
        <v>1599</v>
      </c>
      <c r="K65" s="75" t="str">
        <f>""</f>
        <v/>
      </c>
      <c r="L65" s="75" t="str">
        <f>""</f>
        <v/>
      </c>
      <c r="M65" s="75" t="str">
        <f>""</f>
        <v/>
      </c>
      <c r="N65" s="75" t="str">
        <f>""</f>
        <v/>
      </c>
      <c r="O65" s="75" t="str">
        <f>""</f>
        <v/>
      </c>
      <c r="P65" s="75" t="str">
        <f>""</f>
        <v/>
      </c>
      <c r="Q65" s="75" t="str">
        <f>""</f>
        <v/>
      </c>
      <c r="R65" s="75" t="str">
        <f>""</f>
        <v/>
      </c>
      <c r="S65" s="75" t="str">
        <f>""</f>
        <v/>
      </c>
      <c r="T65" s="75" t="str">
        <f>""</f>
        <v/>
      </c>
      <c r="U65" s="75" t="str">
        <f>""</f>
        <v/>
      </c>
      <c r="V65" s="75" t="str">
        <f>""</f>
        <v/>
      </c>
      <c r="W65" s="75" t="str">
        <f>""</f>
        <v/>
      </c>
      <c r="X65" s="75" t="str">
        <f>""</f>
        <v/>
      </c>
      <c r="Y65" s="75" t="str">
        <f>""</f>
        <v/>
      </c>
      <c r="Z65" s="75" t="str">
        <f>""</f>
        <v/>
      </c>
      <c r="AA65" s="75" t="str">
        <f>""</f>
        <v/>
      </c>
      <c r="AB65" s="75" t="str">
        <f>""</f>
        <v/>
      </c>
      <c r="AC65" s="75" t="str">
        <f>""</f>
        <v/>
      </c>
      <c r="AD65" s="75" t="str">
        <f>""</f>
        <v/>
      </c>
      <c r="AE65" s="75" t="str">
        <f>""</f>
        <v/>
      </c>
      <c r="AF65" s="75" t="str">
        <f>""</f>
        <v/>
      </c>
      <c r="AG65" s="75" t="e">
        <f>HLOOKUP(Campagne,Faction_list_complete,63,FALSE)</f>
        <v>#N/A</v>
      </c>
    </row>
    <row r="66" spans="1:33">
      <c r="A66" s="138" t="str">
        <f>""</f>
        <v/>
      </c>
      <c r="B66" s="138" t="str">
        <f>""</f>
        <v/>
      </c>
      <c r="C66" s="138" t="str">
        <f>""</f>
        <v/>
      </c>
      <c r="D66" s="138" t="str">
        <f>""</f>
        <v/>
      </c>
      <c r="E66" s="138" t="str">
        <f>""</f>
        <v/>
      </c>
      <c r="F66" s="138" t="str">
        <f>""</f>
        <v/>
      </c>
      <c r="G66" s="138" t="str">
        <f>""</f>
        <v/>
      </c>
      <c r="H66" s="138" t="str">
        <f>""</f>
        <v/>
      </c>
      <c r="I66" s="138" t="str">
        <f>""</f>
        <v/>
      </c>
      <c r="J66" s="138" t="s">
        <v>1600</v>
      </c>
      <c r="K66" s="138" t="str">
        <f>""</f>
        <v/>
      </c>
      <c r="L66" s="138" t="str">
        <f>""</f>
        <v/>
      </c>
      <c r="M66" s="138" t="str">
        <f>""</f>
        <v/>
      </c>
      <c r="N66" s="138" t="str">
        <f>""</f>
        <v/>
      </c>
      <c r="O66" s="138" t="str">
        <f>""</f>
        <v/>
      </c>
      <c r="P66" s="138" t="str">
        <f>""</f>
        <v/>
      </c>
      <c r="Q66" s="138" t="str">
        <f>""</f>
        <v/>
      </c>
      <c r="R66" s="138" t="str">
        <f>""</f>
        <v/>
      </c>
      <c r="S66" s="138" t="str">
        <f>""</f>
        <v/>
      </c>
      <c r="T66" s="138" t="str">
        <f>""</f>
        <v/>
      </c>
      <c r="U66" s="138" t="str">
        <f>""</f>
        <v/>
      </c>
      <c r="V66" s="138" t="str">
        <f>""</f>
        <v/>
      </c>
      <c r="W66" s="138" t="str">
        <f>""</f>
        <v/>
      </c>
      <c r="X66" s="138" t="str">
        <f>""</f>
        <v/>
      </c>
      <c r="Y66" s="138" t="str">
        <f>""</f>
        <v/>
      </c>
      <c r="Z66" s="138" t="str">
        <f>""</f>
        <v/>
      </c>
      <c r="AA66" s="138" t="str">
        <f>""</f>
        <v/>
      </c>
      <c r="AB66" s="138" t="str">
        <f>""</f>
        <v/>
      </c>
      <c r="AC66" s="138" t="str">
        <f>""</f>
        <v/>
      </c>
      <c r="AD66" s="138" t="str">
        <f>""</f>
        <v/>
      </c>
      <c r="AE66" s="138" t="str">
        <f>""</f>
        <v/>
      </c>
      <c r="AF66" s="138" t="str">
        <f>""</f>
        <v/>
      </c>
      <c r="AG66" s="138" t="e">
        <f>HLOOKUP(Campagne,Faction_list_complete,64,FALSE)</f>
        <v>#N/A</v>
      </c>
    </row>
    <row r="67" spans="1:33">
      <c r="A67" s="75" t="str">
        <f>""</f>
        <v/>
      </c>
      <c r="B67" s="75" t="str">
        <f>""</f>
        <v/>
      </c>
      <c r="C67" s="75" t="str">
        <f>""</f>
        <v/>
      </c>
      <c r="D67" s="75" t="str">
        <f>""</f>
        <v/>
      </c>
      <c r="E67" s="75" t="str">
        <f>""</f>
        <v/>
      </c>
      <c r="F67" s="75" t="str">
        <f>""</f>
        <v/>
      </c>
      <c r="G67" s="75" t="str">
        <f>""</f>
        <v/>
      </c>
      <c r="H67" s="75" t="str">
        <f>""</f>
        <v/>
      </c>
      <c r="I67" s="75" t="str">
        <f>""</f>
        <v/>
      </c>
      <c r="J67" s="75" t="s">
        <v>1601</v>
      </c>
      <c r="K67" s="75" t="str">
        <f>""</f>
        <v/>
      </c>
      <c r="L67" s="75" t="str">
        <f>""</f>
        <v/>
      </c>
      <c r="M67" s="75" t="str">
        <f>""</f>
        <v/>
      </c>
      <c r="N67" s="75" t="str">
        <f>""</f>
        <v/>
      </c>
      <c r="O67" s="75" t="str">
        <f>""</f>
        <v/>
      </c>
      <c r="P67" s="75" t="str">
        <f>""</f>
        <v/>
      </c>
      <c r="Q67" s="75" t="str">
        <f>""</f>
        <v/>
      </c>
      <c r="R67" s="75" t="str">
        <f>""</f>
        <v/>
      </c>
      <c r="S67" s="75" t="str">
        <f>""</f>
        <v/>
      </c>
      <c r="T67" s="75" t="str">
        <f>""</f>
        <v/>
      </c>
      <c r="U67" s="75" t="str">
        <f>""</f>
        <v/>
      </c>
      <c r="V67" s="75" t="str">
        <f>""</f>
        <v/>
      </c>
      <c r="W67" s="75" t="str">
        <f>""</f>
        <v/>
      </c>
      <c r="X67" s="75" t="str">
        <f>""</f>
        <v/>
      </c>
      <c r="Y67" s="75" t="str">
        <f>""</f>
        <v/>
      </c>
      <c r="Z67" s="75" t="str">
        <f>""</f>
        <v/>
      </c>
      <c r="AA67" s="75" t="str">
        <f>""</f>
        <v/>
      </c>
      <c r="AB67" s="75" t="str">
        <f>""</f>
        <v/>
      </c>
      <c r="AC67" s="75" t="str">
        <f>""</f>
        <v/>
      </c>
      <c r="AD67" s="75" t="str">
        <f>""</f>
        <v/>
      </c>
      <c r="AE67" s="75" t="str">
        <f>""</f>
        <v/>
      </c>
      <c r="AF67" s="75" t="str">
        <f>""</f>
        <v/>
      </c>
      <c r="AG67" s="75" t="e">
        <f>HLOOKUP(Campagne,Faction_list_complete,65,FALSE)</f>
        <v>#N/A</v>
      </c>
    </row>
    <row r="68" spans="1:33">
      <c r="A68" s="138" t="str">
        <f>""</f>
        <v/>
      </c>
      <c r="B68" s="138" t="str">
        <f>""</f>
        <v/>
      </c>
      <c r="C68" s="138" t="str">
        <f>""</f>
        <v/>
      </c>
      <c r="D68" s="138" t="str">
        <f>""</f>
        <v/>
      </c>
      <c r="E68" s="138" t="str">
        <f>""</f>
        <v/>
      </c>
      <c r="F68" s="138" t="str">
        <f>""</f>
        <v/>
      </c>
      <c r="G68" s="138" t="str">
        <f>""</f>
        <v/>
      </c>
      <c r="H68" s="138" t="str">
        <f>""</f>
        <v/>
      </c>
      <c r="I68" s="138" t="str">
        <f>""</f>
        <v/>
      </c>
      <c r="J68" s="138" t="s">
        <v>1602</v>
      </c>
      <c r="K68" s="138" t="str">
        <f>""</f>
        <v/>
      </c>
      <c r="L68" s="138" t="str">
        <f>""</f>
        <v/>
      </c>
      <c r="M68" s="138" t="str">
        <f>""</f>
        <v/>
      </c>
      <c r="N68" s="138" t="str">
        <f>""</f>
        <v/>
      </c>
      <c r="O68" s="138" t="str">
        <f>""</f>
        <v/>
      </c>
      <c r="P68" s="138" t="str">
        <f>""</f>
        <v/>
      </c>
      <c r="Q68" s="138" t="str">
        <f>""</f>
        <v/>
      </c>
      <c r="R68" s="138" t="str">
        <f>""</f>
        <v/>
      </c>
      <c r="S68" s="138" t="str">
        <f>""</f>
        <v/>
      </c>
      <c r="T68" s="138" t="str">
        <f>""</f>
        <v/>
      </c>
      <c r="U68" s="138" t="str">
        <f>""</f>
        <v/>
      </c>
      <c r="V68" s="138" t="str">
        <f>""</f>
        <v/>
      </c>
      <c r="W68" s="138" t="str">
        <f>""</f>
        <v/>
      </c>
      <c r="X68" s="138" t="str">
        <f>""</f>
        <v/>
      </c>
      <c r="Y68" s="138" t="str">
        <f>""</f>
        <v/>
      </c>
      <c r="Z68" s="138" t="str">
        <f>""</f>
        <v/>
      </c>
      <c r="AA68" s="138" t="str">
        <f>""</f>
        <v/>
      </c>
      <c r="AB68" s="138" t="str">
        <f>""</f>
        <v/>
      </c>
      <c r="AC68" s="138" t="str">
        <f>""</f>
        <v/>
      </c>
      <c r="AD68" s="138" t="str">
        <f>""</f>
        <v/>
      </c>
      <c r="AE68" s="138" t="str">
        <f>""</f>
        <v/>
      </c>
      <c r="AF68" s="138" t="str">
        <f>""</f>
        <v/>
      </c>
      <c r="AG68" s="138" t="e">
        <f>HLOOKUP(Campagne,Faction_list_complete,66,FALSE)</f>
        <v>#N/A</v>
      </c>
    </row>
    <row r="69" spans="1:33">
      <c r="A69" s="75" t="str">
        <f>""</f>
        <v/>
      </c>
      <c r="B69" s="75" t="str">
        <f>""</f>
        <v/>
      </c>
      <c r="C69" s="75" t="str">
        <f>""</f>
        <v/>
      </c>
      <c r="D69" s="75" t="str">
        <f>""</f>
        <v/>
      </c>
      <c r="E69" s="75" t="str">
        <f>""</f>
        <v/>
      </c>
      <c r="F69" s="75" t="str">
        <f>""</f>
        <v/>
      </c>
      <c r="G69" s="75" t="str">
        <f>""</f>
        <v/>
      </c>
      <c r="H69" s="75" t="str">
        <f>""</f>
        <v/>
      </c>
      <c r="I69" s="75" t="str">
        <f>""</f>
        <v/>
      </c>
      <c r="J69" s="75" t="s">
        <v>1603</v>
      </c>
      <c r="K69" s="75" t="str">
        <f>""</f>
        <v/>
      </c>
      <c r="L69" s="75" t="str">
        <f>""</f>
        <v/>
      </c>
      <c r="M69" s="75" t="str">
        <f>""</f>
        <v/>
      </c>
      <c r="N69" s="75" t="str">
        <f>""</f>
        <v/>
      </c>
      <c r="O69" s="75" t="str">
        <f>""</f>
        <v/>
      </c>
      <c r="P69" s="75" t="str">
        <f>""</f>
        <v/>
      </c>
      <c r="Q69" s="75" t="str">
        <f>""</f>
        <v/>
      </c>
      <c r="R69" s="75" t="str">
        <f>""</f>
        <v/>
      </c>
      <c r="S69" s="75" t="str">
        <f>""</f>
        <v/>
      </c>
      <c r="T69" s="75" t="str">
        <f>""</f>
        <v/>
      </c>
      <c r="U69" s="75" t="str">
        <f>""</f>
        <v/>
      </c>
      <c r="V69" s="75" t="str">
        <f>""</f>
        <v/>
      </c>
      <c r="W69" s="75" t="str">
        <f>""</f>
        <v/>
      </c>
      <c r="X69" s="75" t="str">
        <f>""</f>
        <v/>
      </c>
      <c r="Y69" s="75" t="str">
        <f>""</f>
        <v/>
      </c>
      <c r="Z69" s="75" t="str">
        <f>""</f>
        <v/>
      </c>
      <c r="AA69" s="75" t="str">
        <f>""</f>
        <v/>
      </c>
      <c r="AB69" s="75" t="str">
        <f>""</f>
        <v/>
      </c>
      <c r="AC69" s="75" t="str">
        <f>""</f>
        <v/>
      </c>
      <c r="AD69" s="75" t="str">
        <f>""</f>
        <v/>
      </c>
      <c r="AE69" s="75" t="str">
        <f>""</f>
        <v/>
      </c>
      <c r="AF69" s="75" t="str">
        <f>""</f>
        <v/>
      </c>
      <c r="AG69" s="75" t="e">
        <f>HLOOKUP(Campagne,Faction_list_complete,67,FALSE)</f>
        <v>#N/A</v>
      </c>
    </row>
    <row r="70" spans="1:33">
      <c r="A70" s="138" t="str">
        <f>""</f>
        <v/>
      </c>
      <c r="B70" s="138" t="str">
        <f>""</f>
        <v/>
      </c>
      <c r="C70" s="138" t="str">
        <f>""</f>
        <v/>
      </c>
      <c r="D70" s="138" t="str">
        <f>""</f>
        <v/>
      </c>
      <c r="E70" s="138" t="str">
        <f>""</f>
        <v/>
      </c>
      <c r="F70" s="138" t="str">
        <f>""</f>
        <v/>
      </c>
      <c r="G70" s="138" t="str">
        <f>""</f>
        <v/>
      </c>
      <c r="H70" s="138" t="str">
        <f>""</f>
        <v/>
      </c>
      <c r="I70" s="138" t="str">
        <f>""</f>
        <v/>
      </c>
      <c r="J70" s="138" t="s">
        <v>1604</v>
      </c>
      <c r="K70" s="138" t="str">
        <f>""</f>
        <v/>
      </c>
      <c r="L70" s="138" t="str">
        <f>""</f>
        <v/>
      </c>
      <c r="M70" s="138" t="str">
        <f>""</f>
        <v/>
      </c>
      <c r="N70" s="138" t="str">
        <f>""</f>
        <v/>
      </c>
      <c r="O70" s="138" t="str">
        <f>""</f>
        <v/>
      </c>
      <c r="P70" s="138" t="str">
        <f>""</f>
        <v/>
      </c>
      <c r="Q70" s="138" t="str">
        <f>""</f>
        <v/>
      </c>
      <c r="R70" s="138" t="str">
        <f>""</f>
        <v/>
      </c>
      <c r="S70" s="138" t="str">
        <f>""</f>
        <v/>
      </c>
      <c r="T70" s="138" t="str">
        <f>""</f>
        <v/>
      </c>
      <c r="U70" s="138" t="str">
        <f>""</f>
        <v/>
      </c>
      <c r="V70" s="138" t="str">
        <f>""</f>
        <v/>
      </c>
      <c r="W70" s="138" t="str">
        <f>""</f>
        <v/>
      </c>
      <c r="X70" s="138" t="str">
        <f>""</f>
        <v/>
      </c>
      <c r="Y70" s="138" t="str">
        <f>""</f>
        <v/>
      </c>
      <c r="Z70" s="138" t="str">
        <f>""</f>
        <v/>
      </c>
      <c r="AA70" s="138" t="str">
        <f>""</f>
        <v/>
      </c>
      <c r="AB70" s="138" t="str">
        <f>""</f>
        <v/>
      </c>
      <c r="AC70" s="138" t="str">
        <f>""</f>
        <v/>
      </c>
      <c r="AD70" s="138" t="str">
        <f>""</f>
        <v/>
      </c>
      <c r="AE70" s="138" t="str">
        <f>""</f>
        <v/>
      </c>
      <c r="AF70" s="138" t="str">
        <f>""</f>
        <v/>
      </c>
      <c r="AG70" s="138" t="e">
        <f>HLOOKUP(Campagne,Faction_list_complete,68,FALSE)</f>
        <v>#N/A</v>
      </c>
    </row>
    <row r="71" spans="1:33">
      <c r="A71" s="75" t="str">
        <f>""</f>
        <v/>
      </c>
      <c r="B71" s="75" t="str">
        <f>""</f>
        <v/>
      </c>
      <c r="C71" s="75" t="str">
        <f>""</f>
        <v/>
      </c>
      <c r="D71" s="75" t="str">
        <f>""</f>
        <v/>
      </c>
      <c r="E71" s="75" t="str">
        <f>""</f>
        <v/>
      </c>
      <c r="F71" s="75" t="str">
        <f>""</f>
        <v/>
      </c>
      <c r="G71" s="75" t="str">
        <f>""</f>
        <v/>
      </c>
      <c r="H71" s="75" t="str">
        <f>""</f>
        <v/>
      </c>
      <c r="I71" s="75" t="str">
        <f>""</f>
        <v/>
      </c>
      <c r="J71" s="75" t="s">
        <v>1605</v>
      </c>
      <c r="K71" s="75" t="str">
        <f>""</f>
        <v/>
      </c>
      <c r="L71" s="75" t="str">
        <f>""</f>
        <v/>
      </c>
      <c r="M71" s="75" t="str">
        <f>""</f>
        <v/>
      </c>
      <c r="N71" s="75" t="str">
        <f>""</f>
        <v/>
      </c>
      <c r="O71" s="75" t="str">
        <f>""</f>
        <v/>
      </c>
      <c r="P71" s="75" t="str">
        <f>""</f>
        <v/>
      </c>
      <c r="Q71" s="75" t="str">
        <f>""</f>
        <v/>
      </c>
      <c r="R71" s="75" t="str">
        <f>""</f>
        <v/>
      </c>
      <c r="S71" s="75" t="str">
        <f>""</f>
        <v/>
      </c>
      <c r="T71" s="75" t="str">
        <f>""</f>
        <v/>
      </c>
      <c r="U71" s="75" t="str">
        <f>""</f>
        <v/>
      </c>
      <c r="V71" s="75" t="str">
        <f>""</f>
        <v/>
      </c>
      <c r="W71" s="75" t="str">
        <f>""</f>
        <v/>
      </c>
      <c r="X71" s="75" t="str">
        <f>""</f>
        <v/>
      </c>
      <c r="Y71" s="75" t="str">
        <f>""</f>
        <v/>
      </c>
      <c r="Z71" s="75" t="str">
        <f>""</f>
        <v/>
      </c>
      <c r="AA71" s="75" t="str">
        <f>""</f>
        <v/>
      </c>
      <c r="AB71" s="75" t="str">
        <f>""</f>
        <v/>
      </c>
      <c r="AC71" s="75" t="str">
        <f>""</f>
        <v/>
      </c>
      <c r="AD71" s="75" t="str">
        <f>""</f>
        <v/>
      </c>
      <c r="AE71" s="75" t="str">
        <f>""</f>
        <v/>
      </c>
      <c r="AF71" s="75" t="str">
        <f>""</f>
        <v/>
      </c>
      <c r="AG71" s="75" t="e">
        <f>HLOOKUP(Campagne,Faction_list_complete,69,FALSE)</f>
        <v>#N/A</v>
      </c>
    </row>
    <row r="72" spans="1:33">
      <c r="A72" s="138" t="str">
        <f>""</f>
        <v/>
      </c>
      <c r="B72" s="138" t="str">
        <f>""</f>
        <v/>
      </c>
      <c r="C72" s="138" t="str">
        <f>""</f>
        <v/>
      </c>
      <c r="D72" s="138" t="str">
        <f>""</f>
        <v/>
      </c>
      <c r="E72" s="138" t="str">
        <f>""</f>
        <v/>
      </c>
      <c r="F72" s="138" t="str">
        <f>""</f>
        <v/>
      </c>
      <c r="G72" s="138" t="str">
        <f>""</f>
        <v/>
      </c>
      <c r="H72" s="138" t="str">
        <f>""</f>
        <v/>
      </c>
      <c r="I72" s="138" t="str">
        <f>""</f>
        <v/>
      </c>
      <c r="J72" s="138" t="s">
        <v>1606</v>
      </c>
      <c r="K72" s="138" t="str">
        <f>""</f>
        <v/>
      </c>
      <c r="L72" s="138" t="str">
        <f>""</f>
        <v/>
      </c>
      <c r="M72" s="138" t="str">
        <f>""</f>
        <v/>
      </c>
      <c r="N72" s="138" t="str">
        <f>""</f>
        <v/>
      </c>
      <c r="O72" s="138" t="str">
        <f>""</f>
        <v/>
      </c>
      <c r="P72" s="138" t="str">
        <f>""</f>
        <v/>
      </c>
      <c r="Q72" s="138" t="str">
        <f>""</f>
        <v/>
      </c>
      <c r="R72" s="138" t="str">
        <f>""</f>
        <v/>
      </c>
      <c r="S72" s="138" t="str">
        <f>""</f>
        <v/>
      </c>
      <c r="T72" s="138" t="str">
        <f>""</f>
        <v/>
      </c>
      <c r="U72" s="138" t="str">
        <f>""</f>
        <v/>
      </c>
      <c r="V72" s="138" t="str">
        <f>""</f>
        <v/>
      </c>
      <c r="W72" s="138" t="str">
        <f>""</f>
        <v/>
      </c>
      <c r="X72" s="138" t="str">
        <f>""</f>
        <v/>
      </c>
      <c r="Y72" s="138" t="str">
        <f>""</f>
        <v/>
      </c>
      <c r="Z72" s="138" t="str">
        <f>""</f>
        <v/>
      </c>
      <c r="AA72" s="138" t="str">
        <f>""</f>
        <v/>
      </c>
      <c r="AB72" s="138" t="str">
        <f>""</f>
        <v/>
      </c>
      <c r="AC72" s="138" t="str">
        <f>""</f>
        <v/>
      </c>
      <c r="AD72" s="138" t="str">
        <f>""</f>
        <v/>
      </c>
      <c r="AE72" s="138" t="str">
        <f>""</f>
        <v/>
      </c>
      <c r="AF72" s="138" t="str">
        <f>""</f>
        <v/>
      </c>
      <c r="AG72" s="138" t="e">
        <f>HLOOKUP(Campagne,Faction_list_complete,70,FALSE)</f>
        <v>#N/A</v>
      </c>
    </row>
    <row r="73" spans="1:33">
      <c r="A73" s="75" t="str">
        <f>""</f>
        <v/>
      </c>
      <c r="B73" s="75" t="str">
        <f>""</f>
        <v/>
      </c>
      <c r="C73" s="75" t="str">
        <f>""</f>
        <v/>
      </c>
      <c r="D73" s="75" t="str">
        <f>""</f>
        <v/>
      </c>
      <c r="E73" s="75" t="str">
        <f>""</f>
        <v/>
      </c>
      <c r="F73" s="75" t="str">
        <f>""</f>
        <v/>
      </c>
      <c r="G73" s="75" t="str">
        <f>""</f>
        <v/>
      </c>
      <c r="H73" s="75" t="str">
        <f>""</f>
        <v/>
      </c>
      <c r="I73" s="75" t="str">
        <f>""</f>
        <v/>
      </c>
      <c r="J73" s="75" t="s">
        <v>1607</v>
      </c>
      <c r="K73" s="75" t="str">
        <f>""</f>
        <v/>
      </c>
      <c r="L73" s="75" t="str">
        <f>""</f>
        <v/>
      </c>
      <c r="M73" s="75" t="str">
        <f>""</f>
        <v/>
      </c>
      <c r="N73" s="75" t="str">
        <f>""</f>
        <v/>
      </c>
      <c r="O73" s="75" t="str">
        <f>""</f>
        <v/>
      </c>
      <c r="P73" s="75" t="str">
        <f>""</f>
        <v/>
      </c>
      <c r="Q73" s="75" t="str">
        <f>""</f>
        <v/>
      </c>
      <c r="R73" s="75" t="str">
        <f>""</f>
        <v/>
      </c>
      <c r="S73" s="75" t="str">
        <f>""</f>
        <v/>
      </c>
      <c r="T73" s="75" t="str">
        <f>""</f>
        <v/>
      </c>
      <c r="U73" s="75" t="str">
        <f>""</f>
        <v/>
      </c>
      <c r="V73" s="75" t="str">
        <f>""</f>
        <v/>
      </c>
      <c r="W73" s="75" t="str">
        <f>""</f>
        <v/>
      </c>
      <c r="X73" s="75" t="str">
        <f>""</f>
        <v/>
      </c>
      <c r="Y73" s="75" t="str">
        <f>""</f>
        <v/>
      </c>
      <c r="Z73" s="75" t="str">
        <f>""</f>
        <v/>
      </c>
      <c r="AA73" s="75" t="str">
        <f>""</f>
        <v/>
      </c>
      <c r="AB73" s="75" t="str">
        <f>""</f>
        <v/>
      </c>
      <c r="AC73" s="75" t="str">
        <f>""</f>
        <v/>
      </c>
      <c r="AD73" s="75" t="str">
        <f>""</f>
        <v/>
      </c>
      <c r="AE73" s="75" t="str">
        <f>""</f>
        <v/>
      </c>
      <c r="AF73" s="75" t="str">
        <f>""</f>
        <v/>
      </c>
      <c r="AG73" s="75" t="e">
        <f>HLOOKUP(Campagne,Faction_list_complete,71,FALSE)</f>
        <v>#N/A</v>
      </c>
    </row>
    <row r="74" spans="1:33">
      <c r="A74" s="138" t="str">
        <f>""</f>
        <v/>
      </c>
      <c r="B74" s="138" t="str">
        <f>""</f>
        <v/>
      </c>
      <c r="C74" s="138" t="str">
        <f>""</f>
        <v/>
      </c>
      <c r="D74" s="138" t="str">
        <f>""</f>
        <v/>
      </c>
      <c r="E74" s="138" t="str">
        <f>""</f>
        <v/>
      </c>
      <c r="F74" s="138" t="str">
        <f>""</f>
        <v/>
      </c>
      <c r="G74" s="138" t="str">
        <f>""</f>
        <v/>
      </c>
      <c r="H74" s="138" t="str">
        <f>""</f>
        <v/>
      </c>
      <c r="I74" s="138" t="str">
        <f>""</f>
        <v/>
      </c>
      <c r="J74" s="138" t="s">
        <v>1608</v>
      </c>
      <c r="K74" s="138" t="str">
        <f>""</f>
        <v/>
      </c>
      <c r="L74" s="138" t="str">
        <f>""</f>
        <v/>
      </c>
      <c r="M74" s="138" t="str">
        <f>""</f>
        <v/>
      </c>
      <c r="N74" s="138" t="str">
        <f>""</f>
        <v/>
      </c>
      <c r="O74" s="138" t="str">
        <f>""</f>
        <v/>
      </c>
      <c r="P74" s="138" t="str">
        <f>""</f>
        <v/>
      </c>
      <c r="Q74" s="138" t="str">
        <f>""</f>
        <v/>
      </c>
      <c r="R74" s="138" t="str">
        <f>""</f>
        <v/>
      </c>
      <c r="S74" s="138" t="str">
        <f>""</f>
        <v/>
      </c>
      <c r="T74" s="138" t="str">
        <f>""</f>
        <v/>
      </c>
      <c r="U74" s="138" t="str">
        <f>""</f>
        <v/>
      </c>
      <c r="V74" s="138" t="str">
        <f>""</f>
        <v/>
      </c>
      <c r="W74" s="138" t="str">
        <f>""</f>
        <v/>
      </c>
      <c r="X74" s="138" t="str">
        <f>""</f>
        <v/>
      </c>
      <c r="Y74" s="138" t="str">
        <f>""</f>
        <v/>
      </c>
      <c r="Z74" s="138" t="str">
        <f>""</f>
        <v/>
      </c>
      <c r="AA74" s="138" t="str">
        <f>""</f>
        <v/>
      </c>
      <c r="AB74" s="138" t="str">
        <f>""</f>
        <v/>
      </c>
      <c r="AC74" s="138" t="str">
        <f>""</f>
        <v/>
      </c>
      <c r="AD74" s="138" t="str">
        <f>""</f>
        <v/>
      </c>
      <c r="AE74" s="138" t="str">
        <f>""</f>
        <v/>
      </c>
      <c r="AF74" s="138" t="str">
        <f>""</f>
        <v/>
      </c>
      <c r="AG74" s="138" t="e">
        <f>HLOOKUP(Campagne,Faction_list_complete,72,FALSE)</f>
        <v>#N/A</v>
      </c>
    </row>
    <row r="75" spans="1:33">
      <c r="A75" s="75" t="str">
        <f>""</f>
        <v/>
      </c>
      <c r="B75" s="75" t="str">
        <f>""</f>
        <v/>
      </c>
      <c r="C75" s="75" t="str">
        <f>""</f>
        <v/>
      </c>
      <c r="D75" s="75" t="str">
        <f>""</f>
        <v/>
      </c>
      <c r="E75" s="75" t="str">
        <f>""</f>
        <v/>
      </c>
      <c r="F75" s="75" t="str">
        <f>""</f>
        <v/>
      </c>
      <c r="G75" s="75" t="str">
        <f>""</f>
        <v/>
      </c>
      <c r="H75" s="75" t="str">
        <f>""</f>
        <v/>
      </c>
      <c r="I75" s="75" t="str">
        <f>""</f>
        <v/>
      </c>
      <c r="J75" s="75" t="s">
        <v>1609</v>
      </c>
      <c r="K75" s="75" t="str">
        <f>""</f>
        <v/>
      </c>
      <c r="L75" s="75" t="str">
        <f>""</f>
        <v/>
      </c>
      <c r="M75" s="75" t="str">
        <f>""</f>
        <v/>
      </c>
      <c r="N75" s="75" t="str">
        <f>""</f>
        <v/>
      </c>
      <c r="O75" s="75" t="str">
        <f>""</f>
        <v/>
      </c>
      <c r="P75" s="75" t="str">
        <f>""</f>
        <v/>
      </c>
      <c r="Q75" s="75" t="str">
        <f>""</f>
        <v/>
      </c>
      <c r="R75" s="75" t="str">
        <f>""</f>
        <v/>
      </c>
      <c r="S75" s="75" t="str">
        <f>""</f>
        <v/>
      </c>
      <c r="T75" s="75" t="str">
        <f>""</f>
        <v/>
      </c>
      <c r="U75" s="75" t="str">
        <f>""</f>
        <v/>
      </c>
      <c r="V75" s="75" t="str">
        <f>""</f>
        <v/>
      </c>
      <c r="W75" s="75" t="str">
        <f>""</f>
        <v/>
      </c>
      <c r="X75" s="75" t="str">
        <f>""</f>
        <v/>
      </c>
      <c r="Y75" s="75" t="str">
        <f>""</f>
        <v/>
      </c>
      <c r="Z75" s="75" t="str">
        <f>""</f>
        <v/>
      </c>
      <c r="AA75" s="75" t="str">
        <f>""</f>
        <v/>
      </c>
      <c r="AB75" s="75" t="str">
        <f>""</f>
        <v/>
      </c>
      <c r="AC75" s="75" t="str">
        <f>""</f>
        <v/>
      </c>
      <c r="AD75" s="75" t="str">
        <f>""</f>
        <v/>
      </c>
      <c r="AE75" s="75" t="str">
        <f>""</f>
        <v/>
      </c>
      <c r="AF75" s="75" t="str">
        <f>""</f>
        <v/>
      </c>
      <c r="AG75" s="75" t="e">
        <f>HLOOKUP(Campagne,Faction_list_complete,73,FALSE)</f>
        <v>#N/A</v>
      </c>
    </row>
    <row r="76" spans="1:33">
      <c r="A76" s="138" t="str">
        <f>""</f>
        <v/>
      </c>
      <c r="B76" s="138" t="str">
        <f>""</f>
        <v/>
      </c>
      <c r="C76" s="138" t="str">
        <f>""</f>
        <v/>
      </c>
      <c r="D76" s="138" t="str">
        <f>""</f>
        <v/>
      </c>
      <c r="E76" s="138" t="str">
        <f>""</f>
        <v/>
      </c>
      <c r="F76" s="138" t="str">
        <f>""</f>
        <v/>
      </c>
      <c r="G76" s="138" t="str">
        <f>""</f>
        <v/>
      </c>
      <c r="H76" s="138" t="str">
        <f>""</f>
        <v/>
      </c>
      <c r="I76" s="138" t="str">
        <f>""</f>
        <v/>
      </c>
      <c r="J76" s="138" t="s">
        <v>1610</v>
      </c>
      <c r="K76" s="138" t="str">
        <f>""</f>
        <v/>
      </c>
      <c r="L76" s="138" t="str">
        <f>""</f>
        <v/>
      </c>
      <c r="M76" s="138" t="str">
        <f>""</f>
        <v/>
      </c>
      <c r="N76" s="138" t="str">
        <f>""</f>
        <v/>
      </c>
      <c r="O76" s="138" t="str">
        <f>""</f>
        <v/>
      </c>
      <c r="P76" s="138" t="str">
        <f>""</f>
        <v/>
      </c>
      <c r="Q76" s="138" t="str">
        <f>""</f>
        <v/>
      </c>
      <c r="R76" s="138" t="str">
        <f>""</f>
        <v/>
      </c>
      <c r="S76" s="138" t="str">
        <f>""</f>
        <v/>
      </c>
      <c r="T76" s="138" t="str">
        <f>""</f>
        <v/>
      </c>
      <c r="U76" s="138" t="str">
        <f>""</f>
        <v/>
      </c>
      <c r="V76" s="138" t="str">
        <f>""</f>
        <v/>
      </c>
      <c r="W76" s="138" t="str">
        <f>""</f>
        <v/>
      </c>
      <c r="X76" s="138" t="str">
        <f>""</f>
        <v/>
      </c>
      <c r="Y76" s="138" t="str">
        <f>""</f>
        <v/>
      </c>
      <c r="Z76" s="138" t="str">
        <f>""</f>
        <v/>
      </c>
      <c r="AA76" s="138" t="str">
        <f>""</f>
        <v/>
      </c>
      <c r="AB76" s="138" t="str">
        <f>""</f>
        <v/>
      </c>
      <c r="AC76" s="138" t="str">
        <f>""</f>
        <v/>
      </c>
      <c r="AD76" s="138" t="str">
        <f>""</f>
        <v/>
      </c>
      <c r="AE76" s="138" t="str">
        <f>""</f>
        <v/>
      </c>
      <c r="AF76" s="138" t="str">
        <f>""</f>
        <v/>
      </c>
      <c r="AG76" s="138" t="e">
        <f>HLOOKUP(Campagne,Faction_list_complete,74,FALSE)</f>
        <v>#N/A</v>
      </c>
    </row>
    <row r="77" spans="1:33">
      <c r="A77" s="75" t="str">
        <f>""</f>
        <v/>
      </c>
      <c r="B77" s="75" t="str">
        <f>""</f>
        <v/>
      </c>
      <c r="C77" s="75" t="str">
        <f>""</f>
        <v/>
      </c>
      <c r="D77" s="75" t="str">
        <f>""</f>
        <v/>
      </c>
      <c r="E77" s="75" t="str">
        <f>""</f>
        <v/>
      </c>
      <c r="F77" s="75" t="str">
        <f>""</f>
        <v/>
      </c>
      <c r="G77" s="75" t="str">
        <f>""</f>
        <v/>
      </c>
      <c r="H77" s="75" t="str">
        <f>""</f>
        <v/>
      </c>
      <c r="I77" s="75" t="str">
        <f>""</f>
        <v/>
      </c>
      <c r="J77" s="75" t="s">
        <v>1611</v>
      </c>
      <c r="K77" s="75" t="str">
        <f>""</f>
        <v/>
      </c>
      <c r="L77" s="75" t="str">
        <f>""</f>
        <v/>
      </c>
      <c r="M77" s="75" t="str">
        <f>""</f>
        <v/>
      </c>
      <c r="N77" s="75" t="str">
        <f>""</f>
        <v/>
      </c>
      <c r="O77" s="75" t="str">
        <f>""</f>
        <v/>
      </c>
      <c r="P77" s="75" t="str">
        <f>""</f>
        <v/>
      </c>
      <c r="Q77" s="75" t="str">
        <f>""</f>
        <v/>
      </c>
      <c r="R77" s="75" t="str">
        <f>""</f>
        <v/>
      </c>
      <c r="S77" s="75" t="str">
        <f>""</f>
        <v/>
      </c>
      <c r="T77" s="75" t="str">
        <f>""</f>
        <v/>
      </c>
      <c r="U77" s="75" t="str">
        <f>""</f>
        <v/>
      </c>
      <c r="V77" s="75" t="str">
        <f>""</f>
        <v/>
      </c>
      <c r="W77" s="75" t="str">
        <f>""</f>
        <v/>
      </c>
      <c r="X77" s="75" t="str">
        <f>""</f>
        <v/>
      </c>
      <c r="Y77" s="75" t="str">
        <f>""</f>
        <v/>
      </c>
      <c r="Z77" s="75" t="str">
        <f>""</f>
        <v/>
      </c>
      <c r="AA77" s="75" t="str">
        <f>""</f>
        <v/>
      </c>
      <c r="AB77" s="75" t="str">
        <f>""</f>
        <v/>
      </c>
      <c r="AC77" s="75" t="str">
        <f>""</f>
        <v/>
      </c>
      <c r="AD77" s="75" t="str">
        <f>""</f>
        <v/>
      </c>
      <c r="AE77" s="75" t="str">
        <f>""</f>
        <v/>
      </c>
      <c r="AF77" s="75" t="str">
        <f>""</f>
        <v/>
      </c>
      <c r="AG77" s="75" t="e">
        <f>HLOOKUP(Campagne,Faction_list_complete,75,FALSE)</f>
        <v>#N/A</v>
      </c>
    </row>
    <row r="78" spans="1:33">
      <c r="A78" s="138" t="str">
        <f>""</f>
        <v/>
      </c>
      <c r="B78" s="138" t="str">
        <f>""</f>
        <v/>
      </c>
      <c r="C78" s="138" t="str">
        <f>""</f>
        <v/>
      </c>
      <c r="D78" s="138" t="str">
        <f>""</f>
        <v/>
      </c>
      <c r="E78" s="138" t="str">
        <f>""</f>
        <v/>
      </c>
      <c r="F78" s="138" t="str">
        <f>""</f>
        <v/>
      </c>
      <c r="G78" s="138" t="str">
        <f>""</f>
        <v/>
      </c>
      <c r="H78" s="138" t="str">
        <f>""</f>
        <v/>
      </c>
      <c r="I78" s="138" t="str">
        <f>""</f>
        <v/>
      </c>
      <c r="J78" s="138" t="s">
        <v>1612</v>
      </c>
      <c r="K78" s="138" t="str">
        <f>""</f>
        <v/>
      </c>
      <c r="L78" s="138" t="str">
        <f>""</f>
        <v/>
      </c>
      <c r="M78" s="138" t="str">
        <f>""</f>
        <v/>
      </c>
      <c r="N78" s="138" t="str">
        <f>""</f>
        <v/>
      </c>
      <c r="O78" s="138" t="str">
        <f>""</f>
        <v/>
      </c>
      <c r="P78" s="138" t="str">
        <f>""</f>
        <v/>
      </c>
      <c r="Q78" s="138" t="str">
        <f>""</f>
        <v/>
      </c>
      <c r="R78" s="138" t="str">
        <f>""</f>
        <v/>
      </c>
      <c r="S78" s="138" t="str">
        <f>""</f>
        <v/>
      </c>
      <c r="T78" s="138" t="str">
        <f>""</f>
        <v/>
      </c>
      <c r="U78" s="138" t="str">
        <f>""</f>
        <v/>
      </c>
      <c r="V78" s="138" t="str">
        <f>""</f>
        <v/>
      </c>
      <c r="W78" s="138" t="str">
        <f>""</f>
        <v/>
      </c>
      <c r="X78" s="138" t="str">
        <f>""</f>
        <v/>
      </c>
      <c r="Y78" s="138" t="str">
        <f>""</f>
        <v/>
      </c>
      <c r="Z78" s="138" t="str">
        <f>""</f>
        <v/>
      </c>
      <c r="AA78" s="138" t="str">
        <f>""</f>
        <v/>
      </c>
      <c r="AB78" s="138" t="str">
        <f>""</f>
        <v/>
      </c>
      <c r="AC78" s="138" t="str">
        <f>""</f>
        <v/>
      </c>
      <c r="AD78" s="138" t="str">
        <f>""</f>
        <v/>
      </c>
      <c r="AE78" s="138" t="str">
        <f>""</f>
        <v/>
      </c>
      <c r="AF78" s="138" t="str">
        <f>""</f>
        <v/>
      </c>
      <c r="AG78" s="138" t="e">
        <f>HLOOKUP(Campagne,Faction_list_complete,76,FALSE)</f>
        <v>#N/A</v>
      </c>
    </row>
    <row r="79" spans="1:33">
      <c r="A79" s="75" t="str">
        <f>""</f>
        <v/>
      </c>
      <c r="B79" s="75" t="str">
        <f>""</f>
        <v/>
      </c>
      <c r="C79" s="75" t="str">
        <f>""</f>
        <v/>
      </c>
      <c r="D79" s="75" t="str">
        <f>""</f>
        <v/>
      </c>
      <c r="E79" s="75" t="str">
        <f>""</f>
        <v/>
      </c>
      <c r="F79" s="75" t="str">
        <f>""</f>
        <v/>
      </c>
      <c r="G79" s="75" t="str">
        <f>""</f>
        <v/>
      </c>
      <c r="H79" s="75" t="str">
        <f>""</f>
        <v/>
      </c>
      <c r="I79" s="75" t="str">
        <f>""</f>
        <v/>
      </c>
      <c r="J79" s="75" t="s">
        <v>1613</v>
      </c>
      <c r="K79" s="75" t="str">
        <f>""</f>
        <v/>
      </c>
      <c r="L79" s="75" t="str">
        <f>""</f>
        <v/>
      </c>
      <c r="M79" s="75" t="str">
        <f>""</f>
        <v/>
      </c>
      <c r="N79" s="75" t="str">
        <f>""</f>
        <v/>
      </c>
      <c r="O79" s="75" t="str">
        <f>""</f>
        <v/>
      </c>
      <c r="P79" s="75" t="str">
        <f>""</f>
        <v/>
      </c>
      <c r="Q79" s="75" t="str">
        <f>""</f>
        <v/>
      </c>
      <c r="R79" s="75" t="str">
        <f>""</f>
        <v/>
      </c>
      <c r="S79" s="75" t="str">
        <f>""</f>
        <v/>
      </c>
      <c r="T79" s="75" t="str">
        <f>""</f>
        <v/>
      </c>
      <c r="U79" s="75" t="str">
        <f>""</f>
        <v/>
      </c>
      <c r="V79" s="75" t="str">
        <f>""</f>
        <v/>
      </c>
      <c r="W79" s="75" t="str">
        <f>""</f>
        <v/>
      </c>
      <c r="X79" s="75" t="str">
        <f>""</f>
        <v/>
      </c>
      <c r="Y79" s="75" t="str">
        <f>""</f>
        <v/>
      </c>
      <c r="Z79" s="75" t="str">
        <f>""</f>
        <v/>
      </c>
      <c r="AA79" s="75" t="str">
        <f>""</f>
        <v/>
      </c>
      <c r="AB79" s="75" t="str">
        <f>""</f>
        <v/>
      </c>
      <c r="AC79" s="75" t="str">
        <f>""</f>
        <v/>
      </c>
      <c r="AD79" s="75" t="str">
        <f>""</f>
        <v/>
      </c>
      <c r="AE79" s="75" t="str">
        <f>""</f>
        <v/>
      </c>
      <c r="AF79" s="75" t="str">
        <f>""</f>
        <v/>
      </c>
      <c r="AG79" s="75" t="e">
        <f>HLOOKUP(Campagne,Faction_list_complete,77,FALSE)</f>
        <v>#N/A</v>
      </c>
    </row>
    <row r="80" spans="1:33">
      <c r="A80" s="138" t="str">
        <f>""</f>
        <v/>
      </c>
      <c r="B80" s="138" t="str">
        <f>""</f>
        <v/>
      </c>
      <c r="C80" s="138" t="str">
        <f>""</f>
        <v/>
      </c>
      <c r="D80" s="138" t="str">
        <f>""</f>
        <v/>
      </c>
      <c r="E80" s="138" t="str">
        <f>""</f>
        <v/>
      </c>
      <c r="F80" s="138" t="str">
        <f>""</f>
        <v/>
      </c>
      <c r="G80" s="138" t="str">
        <f>""</f>
        <v/>
      </c>
      <c r="H80" s="138" t="str">
        <f>""</f>
        <v/>
      </c>
      <c r="I80" s="138" t="str">
        <f>""</f>
        <v/>
      </c>
      <c r="J80" s="138" t="s">
        <v>1614</v>
      </c>
      <c r="K80" s="138" t="str">
        <f>""</f>
        <v/>
      </c>
      <c r="L80" s="138" t="str">
        <f>""</f>
        <v/>
      </c>
      <c r="M80" s="138" t="str">
        <f>""</f>
        <v/>
      </c>
      <c r="N80" s="138" t="str">
        <f>""</f>
        <v/>
      </c>
      <c r="O80" s="138" t="str">
        <f>""</f>
        <v/>
      </c>
      <c r="P80" s="138" t="str">
        <f>""</f>
        <v/>
      </c>
      <c r="Q80" s="138" t="str">
        <f>""</f>
        <v/>
      </c>
      <c r="R80" s="138" t="str">
        <f>""</f>
        <v/>
      </c>
      <c r="S80" s="138" t="str">
        <f>""</f>
        <v/>
      </c>
      <c r="T80" s="138" t="str">
        <f>""</f>
        <v/>
      </c>
      <c r="U80" s="138" t="str">
        <f>""</f>
        <v/>
      </c>
      <c r="V80" s="138" t="str">
        <f>""</f>
        <v/>
      </c>
      <c r="W80" s="138" t="str">
        <f>""</f>
        <v/>
      </c>
      <c r="X80" s="138" t="str">
        <f>""</f>
        <v/>
      </c>
      <c r="Y80" s="138" t="str">
        <f>""</f>
        <v/>
      </c>
      <c r="Z80" s="138" t="str">
        <f>""</f>
        <v/>
      </c>
      <c r="AA80" s="138" t="str">
        <f>""</f>
        <v/>
      </c>
      <c r="AB80" s="138" t="str">
        <f>""</f>
        <v/>
      </c>
      <c r="AC80" s="138" t="str">
        <f>""</f>
        <v/>
      </c>
      <c r="AD80" s="138" t="str">
        <f>""</f>
        <v/>
      </c>
      <c r="AE80" s="138" t="str">
        <f>""</f>
        <v/>
      </c>
      <c r="AF80" s="138" t="str">
        <f>""</f>
        <v/>
      </c>
      <c r="AG80" s="138" t="e">
        <f>HLOOKUP(Campagne,Faction_list_complete,78,FALSE)</f>
        <v>#N/A</v>
      </c>
    </row>
    <row r="81" spans="1:33">
      <c r="A81" s="75" t="str">
        <f>""</f>
        <v/>
      </c>
      <c r="B81" s="75" t="str">
        <f>""</f>
        <v/>
      </c>
      <c r="C81" s="75" t="str">
        <f>""</f>
        <v/>
      </c>
      <c r="D81" s="75" t="str">
        <f>""</f>
        <v/>
      </c>
      <c r="E81" s="75" t="str">
        <f>""</f>
        <v/>
      </c>
      <c r="F81" s="75" t="str">
        <f>""</f>
        <v/>
      </c>
      <c r="G81" s="75" t="str">
        <f>""</f>
        <v/>
      </c>
      <c r="H81" s="75" t="str">
        <f>""</f>
        <v/>
      </c>
      <c r="I81" s="75" t="str">
        <f>""</f>
        <v/>
      </c>
      <c r="J81" s="75" t="s">
        <v>1615</v>
      </c>
      <c r="K81" s="75" t="str">
        <f>""</f>
        <v/>
      </c>
      <c r="L81" s="75" t="str">
        <f>""</f>
        <v/>
      </c>
      <c r="M81" s="75" t="str">
        <f>""</f>
        <v/>
      </c>
      <c r="N81" s="75" t="str">
        <f>""</f>
        <v/>
      </c>
      <c r="O81" s="75" t="str">
        <f>""</f>
        <v/>
      </c>
      <c r="P81" s="75" t="str">
        <f>""</f>
        <v/>
      </c>
      <c r="Q81" s="75" t="str">
        <f>""</f>
        <v/>
      </c>
      <c r="R81" s="75" t="str">
        <f>""</f>
        <v/>
      </c>
      <c r="S81" s="75" t="str">
        <f>""</f>
        <v/>
      </c>
      <c r="T81" s="75" t="str">
        <f>""</f>
        <v/>
      </c>
      <c r="U81" s="75" t="str">
        <f>""</f>
        <v/>
      </c>
      <c r="V81" s="75" t="str">
        <f>""</f>
        <v/>
      </c>
      <c r="W81" s="75" t="str">
        <f>""</f>
        <v/>
      </c>
      <c r="X81" s="75" t="str">
        <f>""</f>
        <v/>
      </c>
      <c r="Y81" s="75" t="str">
        <f>""</f>
        <v/>
      </c>
      <c r="Z81" s="75" t="str">
        <f>""</f>
        <v/>
      </c>
      <c r="AA81" s="75" t="str">
        <f>""</f>
        <v/>
      </c>
      <c r="AB81" s="75" t="str">
        <f>""</f>
        <v/>
      </c>
      <c r="AC81" s="75" t="str">
        <f>""</f>
        <v/>
      </c>
      <c r="AD81" s="75" t="str">
        <f>""</f>
        <v/>
      </c>
      <c r="AE81" s="75" t="str">
        <f>""</f>
        <v/>
      </c>
      <c r="AF81" s="75" t="str">
        <f>""</f>
        <v/>
      </c>
      <c r="AG81" s="75" t="e">
        <f>HLOOKUP(Campagne,Faction_list_complete,79,FALSE)</f>
        <v>#N/A</v>
      </c>
    </row>
    <row r="82" spans="1:33">
      <c r="A82" s="138" t="str">
        <f>""</f>
        <v/>
      </c>
      <c r="B82" s="138" t="str">
        <f>""</f>
        <v/>
      </c>
      <c r="C82" s="138" t="str">
        <f>""</f>
        <v/>
      </c>
      <c r="D82" s="138" t="str">
        <f>""</f>
        <v/>
      </c>
      <c r="E82" s="138" t="str">
        <f>""</f>
        <v/>
      </c>
      <c r="F82" s="138" t="str">
        <f>""</f>
        <v/>
      </c>
      <c r="G82" s="138" t="str">
        <f>""</f>
        <v/>
      </c>
      <c r="H82" s="138" t="str">
        <f>""</f>
        <v/>
      </c>
      <c r="I82" s="138" t="str">
        <f>""</f>
        <v/>
      </c>
      <c r="J82" s="138" t="s">
        <v>1616</v>
      </c>
      <c r="K82" s="138" t="str">
        <f>""</f>
        <v/>
      </c>
      <c r="L82" s="138" t="str">
        <f>""</f>
        <v/>
      </c>
      <c r="M82" s="138" t="str">
        <f>""</f>
        <v/>
      </c>
      <c r="N82" s="138" t="str">
        <f>""</f>
        <v/>
      </c>
      <c r="O82" s="138" t="str">
        <f>""</f>
        <v/>
      </c>
      <c r="P82" s="138" t="str">
        <f>""</f>
        <v/>
      </c>
      <c r="Q82" s="138" t="str">
        <f>""</f>
        <v/>
      </c>
      <c r="R82" s="138" t="str">
        <f>""</f>
        <v/>
      </c>
      <c r="S82" s="138" t="str">
        <f>""</f>
        <v/>
      </c>
      <c r="T82" s="138" t="str">
        <f>""</f>
        <v/>
      </c>
      <c r="U82" s="138" t="str">
        <f>""</f>
        <v/>
      </c>
      <c r="V82" s="138" t="str">
        <f>""</f>
        <v/>
      </c>
      <c r="W82" s="138" t="str">
        <f>""</f>
        <v/>
      </c>
      <c r="X82" s="138" t="str">
        <f>""</f>
        <v/>
      </c>
      <c r="Y82" s="138" t="str">
        <f>""</f>
        <v/>
      </c>
      <c r="Z82" s="138" t="str">
        <f>""</f>
        <v/>
      </c>
      <c r="AA82" s="138" t="str">
        <f>""</f>
        <v/>
      </c>
      <c r="AB82" s="138" t="str">
        <f>""</f>
        <v/>
      </c>
      <c r="AC82" s="138" t="str">
        <f>""</f>
        <v/>
      </c>
      <c r="AD82" s="138" t="str">
        <f>""</f>
        <v/>
      </c>
      <c r="AE82" s="138" t="str">
        <f>""</f>
        <v/>
      </c>
      <c r="AF82" s="138" t="str">
        <f>""</f>
        <v/>
      </c>
      <c r="AG82" s="138" t="e">
        <f>HLOOKUP(Campagne,Faction_list_complete,80,FALSE)</f>
        <v>#N/A</v>
      </c>
    </row>
    <row r="83" spans="1:33">
      <c r="A83" s="75" t="str">
        <f>""</f>
        <v/>
      </c>
      <c r="B83" s="75" t="str">
        <f>""</f>
        <v/>
      </c>
      <c r="C83" s="75" t="str">
        <f>""</f>
        <v/>
      </c>
      <c r="D83" s="75" t="str">
        <f>""</f>
        <v/>
      </c>
      <c r="E83" s="75" t="str">
        <f>""</f>
        <v/>
      </c>
      <c r="F83" s="75" t="str">
        <f>""</f>
        <v/>
      </c>
      <c r="G83" s="75" t="str">
        <f>""</f>
        <v/>
      </c>
      <c r="H83" s="75" t="str">
        <f>""</f>
        <v/>
      </c>
      <c r="I83" s="75" t="str">
        <f>""</f>
        <v/>
      </c>
      <c r="J83" s="75" t="s">
        <v>1617</v>
      </c>
      <c r="K83" s="75" t="str">
        <f>""</f>
        <v/>
      </c>
      <c r="L83" s="75" t="str">
        <f>""</f>
        <v/>
      </c>
      <c r="M83" s="75" t="str">
        <f>""</f>
        <v/>
      </c>
      <c r="N83" s="75" t="str">
        <f>""</f>
        <v/>
      </c>
      <c r="O83" s="75" t="str">
        <f>""</f>
        <v/>
      </c>
      <c r="P83" s="75" t="str">
        <f>""</f>
        <v/>
      </c>
      <c r="Q83" s="75" t="str">
        <f>""</f>
        <v/>
      </c>
      <c r="R83" s="75" t="str">
        <f>""</f>
        <v/>
      </c>
      <c r="S83" s="75" t="str">
        <f>""</f>
        <v/>
      </c>
      <c r="T83" s="75" t="str">
        <f>""</f>
        <v/>
      </c>
      <c r="U83" s="75" t="str">
        <f>""</f>
        <v/>
      </c>
      <c r="V83" s="75" t="str">
        <f>""</f>
        <v/>
      </c>
      <c r="W83" s="75" t="str">
        <f>""</f>
        <v/>
      </c>
      <c r="X83" s="75" t="str">
        <f>""</f>
        <v/>
      </c>
      <c r="Y83" s="75" t="str">
        <f>""</f>
        <v/>
      </c>
      <c r="Z83" s="75" t="str">
        <f>""</f>
        <v/>
      </c>
      <c r="AA83" s="75" t="str">
        <f>""</f>
        <v/>
      </c>
      <c r="AB83" s="75" t="str">
        <f>""</f>
        <v/>
      </c>
      <c r="AC83" s="75" t="str">
        <f>""</f>
        <v/>
      </c>
      <c r="AD83" s="75" t="str">
        <f>""</f>
        <v/>
      </c>
      <c r="AE83" s="75" t="str">
        <f>""</f>
        <v/>
      </c>
      <c r="AF83" s="75" t="str">
        <f>""</f>
        <v/>
      </c>
      <c r="AG83" s="75" t="e">
        <f>HLOOKUP(Campagne,Faction_list_complete,81,FALSE)</f>
        <v>#N/A</v>
      </c>
    </row>
    <row r="84" spans="1:33">
      <c r="A84" s="138" t="str">
        <f>""</f>
        <v/>
      </c>
      <c r="B84" s="138" t="str">
        <f>""</f>
        <v/>
      </c>
      <c r="C84" s="138" t="str">
        <f>""</f>
        <v/>
      </c>
      <c r="D84" s="138" t="str">
        <f>""</f>
        <v/>
      </c>
      <c r="E84" s="138" t="str">
        <f>""</f>
        <v/>
      </c>
      <c r="F84" s="138" t="str">
        <f>""</f>
        <v/>
      </c>
      <c r="G84" s="138" t="str">
        <f>""</f>
        <v/>
      </c>
      <c r="H84" s="138" t="str">
        <f>""</f>
        <v/>
      </c>
      <c r="I84" s="138" t="str">
        <f>""</f>
        <v/>
      </c>
      <c r="J84" s="138" t="s">
        <v>1618</v>
      </c>
      <c r="K84" s="138" t="str">
        <f>""</f>
        <v/>
      </c>
      <c r="L84" s="138" t="str">
        <f>""</f>
        <v/>
      </c>
      <c r="M84" s="138" t="str">
        <f>""</f>
        <v/>
      </c>
      <c r="N84" s="138" t="str">
        <f>""</f>
        <v/>
      </c>
      <c r="O84" s="138" t="str">
        <f>""</f>
        <v/>
      </c>
      <c r="P84" s="138" t="str">
        <f>""</f>
        <v/>
      </c>
      <c r="Q84" s="138" t="str">
        <f>""</f>
        <v/>
      </c>
      <c r="R84" s="138" t="str">
        <f>""</f>
        <v/>
      </c>
      <c r="S84" s="138" t="str">
        <f>""</f>
        <v/>
      </c>
      <c r="T84" s="138" t="str">
        <f>""</f>
        <v/>
      </c>
      <c r="U84" s="138" t="str">
        <f>""</f>
        <v/>
      </c>
      <c r="V84" s="138" t="str">
        <f>""</f>
        <v/>
      </c>
      <c r="W84" s="138" t="str">
        <f>""</f>
        <v/>
      </c>
      <c r="X84" s="138" t="str">
        <f>""</f>
        <v/>
      </c>
      <c r="Y84" s="138" t="str">
        <f>""</f>
        <v/>
      </c>
      <c r="Z84" s="138" t="str">
        <f>""</f>
        <v/>
      </c>
      <c r="AA84" s="138" t="str">
        <f>""</f>
        <v/>
      </c>
      <c r="AB84" s="138" t="str">
        <f>""</f>
        <v/>
      </c>
      <c r="AC84" s="138" t="str">
        <f>""</f>
        <v/>
      </c>
      <c r="AD84" s="138" t="str">
        <f>""</f>
        <v/>
      </c>
      <c r="AE84" s="138" t="str">
        <f>""</f>
        <v/>
      </c>
      <c r="AF84" s="138" t="str">
        <f>""</f>
        <v/>
      </c>
      <c r="AG84" s="138" t="e">
        <f>HLOOKUP(Campagne,Faction_list_complete,82,FALSE)</f>
        <v>#N/A</v>
      </c>
    </row>
    <row r="85" spans="1:33">
      <c r="A85" s="75" t="str">
        <f>""</f>
        <v/>
      </c>
      <c r="B85" s="75" t="str">
        <f>""</f>
        <v/>
      </c>
      <c r="C85" s="75" t="str">
        <f>""</f>
        <v/>
      </c>
      <c r="D85" s="75" t="str">
        <f>""</f>
        <v/>
      </c>
      <c r="E85" s="75" t="str">
        <f>""</f>
        <v/>
      </c>
      <c r="F85" s="75" t="str">
        <f>""</f>
        <v/>
      </c>
      <c r="G85" s="75" t="str">
        <f>""</f>
        <v/>
      </c>
      <c r="H85" s="75" t="str">
        <f>""</f>
        <v/>
      </c>
      <c r="I85" s="75" t="str">
        <f>""</f>
        <v/>
      </c>
      <c r="J85" s="75" t="s">
        <v>1619</v>
      </c>
      <c r="K85" s="75" t="str">
        <f>""</f>
        <v/>
      </c>
      <c r="L85" s="75" t="str">
        <f>""</f>
        <v/>
      </c>
      <c r="M85" s="75" t="str">
        <f>""</f>
        <v/>
      </c>
      <c r="N85" s="75" t="str">
        <f>""</f>
        <v/>
      </c>
      <c r="O85" s="75" t="str">
        <f>""</f>
        <v/>
      </c>
      <c r="P85" s="75" t="str">
        <f>""</f>
        <v/>
      </c>
      <c r="Q85" s="75" t="str">
        <f>""</f>
        <v/>
      </c>
      <c r="R85" s="75" t="str">
        <f>""</f>
        <v/>
      </c>
      <c r="S85" s="75" t="str">
        <f>""</f>
        <v/>
      </c>
      <c r="T85" s="75" t="str">
        <f>""</f>
        <v/>
      </c>
      <c r="U85" s="75" t="str">
        <f>""</f>
        <v/>
      </c>
      <c r="V85" s="75" t="str">
        <f>""</f>
        <v/>
      </c>
      <c r="W85" s="75" t="str">
        <f>""</f>
        <v/>
      </c>
      <c r="X85" s="75" t="str">
        <f>""</f>
        <v/>
      </c>
      <c r="Y85" s="75" t="str">
        <f>""</f>
        <v/>
      </c>
      <c r="Z85" s="75" t="str">
        <f>""</f>
        <v/>
      </c>
      <c r="AA85" s="75" t="str">
        <f>""</f>
        <v/>
      </c>
      <c r="AB85" s="75" t="str">
        <f>""</f>
        <v/>
      </c>
      <c r="AC85" s="75" t="str">
        <f>""</f>
        <v/>
      </c>
      <c r="AD85" s="75" t="str">
        <f>""</f>
        <v/>
      </c>
      <c r="AE85" s="75" t="str">
        <f>""</f>
        <v/>
      </c>
      <c r="AF85" s="75" t="str">
        <f>""</f>
        <v/>
      </c>
      <c r="AG85" s="75" t="e">
        <f>HLOOKUP(Campagne,Faction_list_complete,83,FALSE)</f>
        <v>#N/A</v>
      </c>
    </row>
    <row r="86" spans="1:33">
      <c r="A86" s="138" t="str">
        <f>""</f>
        <v/>
      </c>
      <c r="B86" s="138" t="str">
        <f>""</f>
        <v/>
      </c>
      <c r="C86" s="138" t="str">
        <f>""</f>
        <v/>
      </c>
      <c r="D86" s="138" t="str">
        <f>""</f>
        <v/>
      </c>
      <c r="E86" s="138" t="str">
        <f>""</f>
        <v/>
      </c>
      <c r="F86" s="138" t="str">
        <f>""</f>
        <v/>
      </c>
      <c r="G86" s="138" t="str">
        <f>""</f>
        <v/>
      </c>
      <c r="H86" s="138" t="str">
        <f>""</f>
        <v/>
      </c>
      <c r="I86" s="138" t="str">
        <f>""</f>
        <v/>
      </c>
      <c r="J86" s="138" t="s">
        <v>1620</v>
      </c>
      <c r="K86" s="138" t="str">
        <f>""</f>
        <v/>
      </c>
      <c r="L86" s="138" t="str">
        <f>""</f>
        <v/>
      </c>
      <c r="M86" s="138" t="str">
        <f>""</f>
        <v/>
      </c>
      <c r="N86" s="138" t="str">
        <f>""</f>
        <v/>
      </c>
      <c r="O86" s="138" t="str">
        <f>""</f>
        <v/>
      </c>
      <c r="P86" s="138" t="str">
        <f>""</f>
        <v/>
      </c>
      <c r="Q86" s="138" t="str">
        <f>""</f>
        <v/>
      </c>
      <c r="R86" s="138" t="str">
        <f>""</f>
        <v/>
      </c>
      <c r="S86" s="138" t="str">
        <f>""</f>
        <v/>
      </c>
      <c r="T86" s="138" t="str">
        <f>""</f>
        <v/>
      </c>
      <c r="U86" s="138" t="str">
        <f>""</f>
        <v/>
      </c>
      <c r="V86" s="138" t="str">
        <f>""</f>
        <v/>
      </c>
      <c r="W86" s="138" t="str">
        <f>""</f>
        <v/>
      </c>
      <c r="X86" s="138" t="str">
        <f>""</f>
        <v/>
      </c>
      <c r="Y86" s="138" t="str">
        <f>""</f>
        <v/>
      </c>
      <c r="Z86" s="138" t="str">
        <f>""</f>
        <v/>
      </c>
      <c r="AA86" s="138" t="str">
        <f>""</f>
        <v/>
      </c>
      <c r="AB86" s="138" t="str">
        <f>""</f>
        <v/>
      </c>
      <c r="AC86" s="138" t="str">
        <f>""</f>
        <v/>
      </c>
      <c r="AD86" s="138" t="str">
        <f>""</f>
        <v/>
      </c>
      <c r="AE86" s="138" t="str">
        <f>""</f>
        <v/>
      </c>
      <c r="AF86" s="138" t="str">
        <f>""</f>
        <v/>
      </c>
      <c r="AG86" s="138" t="e">
        <f>HLOOKUP(Campagne,Faction_list_complete,84,FALSE)</f>
        <v>#N/A</v>
      </c>
    </row>
    <row r="87" spans="1:33">
      <c r="A87" s="75" t="str">
        <f>""</f>
        <v/>
      </c>
      <c r="B87" s="75" t="str">
        <f>""</f>
        <v/>
      </c>
      <c r="C87" s="75" t="str">
        <f>""</f>
        <v/>
      </c>
      <c r="D87" s="75" t="str">
        <f>""</f>
        <v/>
      </c>
      <c r="E87" s="75" t="str">
        <f>""</f>
        <v/>
      </c>
      <c r="F87" s="75" t="str">
        <f>""</f>
        <v/>
      </c>
      <c r="G87" s="75" t="str">
        <f>""</f>
        <v/>
      </c>
      <c r="H87" s="75" t="str">
        <f>""</f>
        <v/>
      </c>
      <c r="I87" s="75" t="str">
        <f>""</f>
        <v/>
      </c>
      <c r="J87" s="75" t="s">
        <v>1621</v>
      </c>
      <c r="K87" s="75" t="str">
        <f>""</f>
        <v/>
      </c>
      <c r="L87" s="75" t="str">
        <f>""</f>
        <v/>
      </c>
      <c r="M87" s="75" t="str">
        <f>""</f>
        <v/>
      </c>
      <c r="N87" s="75" t="str">
        <f>""</f>
        <v/>
      </c>
      <c r="O87" s="75" t="str">
        <f>""</f>
        <v/>
      </c>
      <c r="P87" s="75" t="str">
        <f>""</f>
        <v/>
      </c>
      <c r="Q87" s="75" t="str">
        <f>""</f>
        <v/>
      </c>
      <c r="R87" s="75" t="str">
        <f>""</f>
        <v/>
      </c>
      <c r="S87" s="75" t="str">
        <f>""</f>
        <v/>
      </c>
      <c r="T87" s="75" t="str">
        <f>""</f>
        <v/>
      </c>
      <c r="U87" s="75" t="str">
        <f>""</f>
        <v/>
      </c>
      <c r="V87" s="75" t="str">
        <f>""</f>
        <v/>
      </c>
      <c r="W87" s="75" t="str">
        <f>""</f>
        <v/>
      </c>
      <c r="X87" s="75" t="str">
        <f>""</f>
        <v/>
      </c>
      <c r="Y87" s="75" t="str">
        <f>""</f>
        <v/>
      </c>
      <c r="Z87" s="75" t="str">
        <f>""</f>
        <v/>
      </c>
      <c r="AA87" s="75" t="str">
        <f>""</f>
        <v/>
      </c>
      <c r="AB87" s="75" t="str">
        <f>""</f>
        <v/>
      </c>
      <c r="AC87" s="75" t="str">
        <f>""</f>
        <v/>
      </c>
      <c r="AD87" s="75" t="str">
        <f>""</f>
        <v/>
      </c>
      <c r="AE87" s="75" t="str">
        <f>""</f>
        <v/>
      </c>
      <c r="AF87" s="75" t="str">
        <f>""</f>
        <v/>
      </c>
      <c r="AG87" s="75" t="e">
        <f>HLOOKUP(Campagne,Faction_list_complete,85,FALSE)</f>
        <v>#N/A</v>
      </c>
    </row>
    <row r="88" spans="1:33">
      <c r="A88" s="138" t="str">
        <f>""</f>
        <v/>
      </c>
      <c r="B88" s="138" t="str">
        <f>""</f>
        <v/>
      </c>
      <c r="C88" s="138" t="str">
        <f>""</f>
        <v/>
      </c>
      <c r="D88" s="138" t="str">
        <f>""</f>
        <v/>
      </c>
      <c r="E88" s="138" t="str">
        <f>""</f>
        <v/>
      </c>
      <c r="F88" s="138" t="str">
        <f>""</f>
        <v/>
      </c>
      <c r="G88" s="138" t="str">
        <f>""</f>
        <v/>
      </c>
      <c r="H88" s="138" t="str">
        <f>""</f>
        <v/>
      </c>
      <c r="I88" s="138" t="str">
        <f>""</f>
        <v/>
      </c>
      <c r="J88" s="138" t="s">
        <v>1622</v>
      </c>
      <c r="K88" s="138" t="str">
        <f>""</f>
        <v/>
      </c>
      <c r="L88" s="138" t="str">
        <f>""</f>
        <v/>
      </c>
      <c r="M88" s="138" t="str">
        <f>""</f>
        <v/>
      </c>
      <c r="N88" s="138" t="str">
        <f>""</f>
        <v/>
      </c>
      <c r="O88" s="138" t="str">
        <f>""</f>
        <v/>
      </c>
      <c r="P88" s="138" t="str">
        <f>""</f>
        <v/>
      </c>
      <c r="Q88" s="138" t="str">
        <f>""</f>
        <v/>
      </c>
      <c r="R88" s="138" t="str">
        <f>""</f>
        <v/>
      </c>
      <c r="S88" s="138" t="str">
        <f>""</f>
        <v/>
      </c>
      <c r="T88" s="138" t="str">
        <f>""</f>
        <v/>
      </c>
      <c r="U88" s="138" t="str">
        <f>""</f>
        <v/>
      </c>
      <c r="V88" s="138" t="str">
        <f>""</f>
        <v/>
      </c>
      <c r="W88" s="138" t="str">
        <f>""</f>
        <v/>
      </c>
      <c r="X88" s="138" t="str">
        <f>""</f>
        <v/>
      </c>
      <c r="Y88" s="138" t="str">
        <f>""</f>
        <v/>
      </c>
      <c r="Z88" s="138" t="str">
        <f>""</f>
        <v/>
      </c>
      <c r="AA88" s="138" t="str">
        <f>""</f>
        <v/>
      </c>
      <c r="AB88" s="138" t="str">
        <f>""</f>
        <v/>
      </c>
      <c r="AC88" s="138" t="str">
        <f>""</f>
        <v/>
      </c>
      <c r="AD88" s="138" t="str">
        <f>""</f>
        <v/>
      </c>
      <c r="AE88" s="138" t="str">
        <f>""</f>
        <v/>
      </c>
      <c r="AF88" s="138" t="str">
        <f>""</f>
        <v/>
      </c>
      <c r="AG88" s="138" t="e">
        <f>HLOOKUP(Campagne,Faction_list_complete,86,FALSE)</f>
        <v>#N/A</v>
      </c>
    </row>
    <row r="89" spans="1:33">
      <c r="A89" s="75" t="str">
        <f>""</f>
        <v/>
      </c>
      <c r="B89" s="75" t="str">
        <f>""</f>
        <v/>
      </c>
      <c r="C89" s="75" t="str">
        <f>""</f>
        <v/>
      </c>
      <c r="D89" s="75" t="str">
        <f>""</f>
        <v/>
      </c>
      <c r="E89" s="75" t="str">
        <f>""</f>
        <v/>
      </c>
      <c r="F89" s="75" t="str">
        <f>""</f>
        <v/>
      </c>
      <c r="G89" s="75" t="str">
        <f>""</f>
        <v/>
      </c>
      <c r="H89" s="75" t="str">
        <f>""</f>
        <v/>
      </c>
      <c r="I89" s="75" t="str">
        <f>""</f>
        <v/>
      </c>
      <c r="J89" s="75" t="s">
        <v>1623</v>
      </c>
      <c r="K89" s="75" t="str">
        <f>""</f>
        <v/>
      </c>
      <c r="L89" s="75" t="str">
        <f>""</f>
        <v/>
      </c>
      <c r="M89" s="75" t="str">
        <f>""</f>
        <v/>
      </c>
      <c r="N89" s="75" t="str">
        <f>""</f>
        <v/>
      </c>
      <c r="O89" s="75" t="str">
        <f>""</f>
        <v/>
      </c>
      <c r="P89" s="75" t="str">
        <f>""</f>
        <v/>
      </c>
      <c r="Q89" s="75" t="str">
        <f>""</f>
        <v/>
      </c>
      <c r="R89" s="75" t="str">
        <f>""</f>
        <v/>
      </c>
      <c r="S89" s="75" t="str">
        <f>""</f>
        <v/>
      </c>
      <c r="T89" s="75" t="str">
        <f>""</f>
        <v/>
      </c>
      <c r="U89" s="75" t="str">
        <f>""</f>
        <v/>
      </c>
      <c r="V89" s="75" t="str">
        <f>""</f>
        <v/>
      </c>
      <c r="W89" s="75" t="str">
        <f>""</f>
        <v/>
      </c>
      <c r="X89" s="75" t="str">
        <f>""</f>
        <v/>
      </c>
      <c r="Y89" s="75" t="str">
        <f>""</f>
        <v/>
      </c>
      <c r="Z89" s="75" t="str">
        <f>""</f>
        <v/>
      </c>
      <c r="AA89" s="75" t="str">
        <f>""</f>
        <v/>
      </c>
      <c r="AB89" s="75" t="str">
        <f>""</f>
        <v/>
      </c>
      <c r="AC89" s="75" t="str">
        <f>""</f>
        <v/>
      </c>
      <c r="AD89" s="75" t="str">
        <f>""</f>
        <v/>
      </c>
      <c r="AE89" s="75" t="str">
        <f>""</f>
        <v/>
      </c>
      <c r="AF89" s="75" t="str">
        <f>""</f>
        <v/>
      </c>
      <c r="AG89" s="75" t="e">
        <f>HLOOKUP(Campagne,Faction_list_complete,87,FALSE)</f>
        <v>#N/A</v>
      </c>
    </row>
    <row r="90" spans="1:33">
      <c r="A90" s="138" t="str">
        <f>""</f>
        <v/>
      </c>
      <c r="B90" s="138" t="str">
        <f>""</f>
        <v/>
      </c>
      <c r="C90" s="138" t="str">
        <f>""</f>
        <v/>
      </c>
      <c r="D90" s="138" t="str">
        <f>""</f>
        <v/>
      </c>
      <c r="E90" s="138" t="str">
        <f>""</f>
        <v/>
      </c>
      <c r="F90" s="138" t="str">
        <f>""</f>
        <v/>
      </c>
      <c r="G90" s="138" t="str">
        <f>""</f>
        <v/>
      </c>
      <c r="H90" s="138" t="str">
        <f>""</f>
        <v/>
      </c>
      <c r="I90" s="138" t="str">
        <f>""</f>
        <v/>
      </c>
      <c r="J90" s="138" t="s">
        <v>1624</v>
      </c>
      <c r="K90" s="138" t="str">
        <f>""</f>
        <v/>
      </c>
      <c r="L90" s="138" t="str">
        <f>""</f>
        <v/>
      </c>
      <c r="M90" s="138" t="str">
        <f>""</f>
        <v/>
      </c>
      <c r="N90" s="138" t="str">
        <f>""</f>
        <v/>
      </c>
      <c r="O90" s="138" t="str">
        <f>""</f>
        <v/>
      </c>
      <c r="P90" s="138" t="str">
        <f>""</f>
        <v/>
      </c>
      <c r="Q90" s="138" t="str">
        <f>""</f>
        <v/>
      </c>
      <c r="R90" s="138" t="str">
        <f>""</f>
        <v/>
      </c>
      <c r="S90" s="138" t="str">
        <f>""</f>
        <v/>
      </c>
      <c r="T90" s="138" t="str">
        <f>""</f>
        <v/>
      </c>
      <c r="U90" s="138" t="str">
        <f>""</f>
        <v/>
      </c>
      <c r="V90" s="138" t="str">
        <f>""</f>
        <v/>
      </c>
      <c r="W90" s="138" t="str">
        <f>""</f>
        <v/>
      </c>
      <c r="X90" s="138" t="str">
        <f>""</f>
        <v/>
      </c>
      <c r="Y90" s="138" t="str">
        <f>""</f>
        <v/>
      </c>
      <c r="Z90" s="138" t="str">
        <f>""</f>
        <v/>
      </c>
      <c r="AA90" s="138" t="str">
        <f>""</f>
        <v/>
      </c>
      <c r="AB90" s="138" t="str">
        <f>""</f>
        <v/>
      </c>
      <c r="AC90" s="138" t="str">
        <f>""</f>
        <v/>
      </c>
      <c r="AD90" s="138" t="str">
        <f>""</f>
        <v/>
      </c>
      <c r="AE90" s="138" t="str">
        <f>""</f>
        <v/>
      </c>
      <c r="AF90" s="138" t="str">
        <f>""</f>
        <v/>
      </c>
      <c r="AG90" s="138" t="e">
        <f>HLOOKUP(Campagne,Faction_list_complete,88,FALSE)</f>
        <v>#N/A</v>
      </c>
    </row>
    <row r="91" spans="1:33">
      <c r="A91" s="75" t="str">
        <f>""</f>
        <v/>
      </c>
      <c r="B91" s="75" t="str">
        <f>""</f>
        <v/>
      </c>
      <c r="C91" s="75" t="str">
        <f>""</f>
        <v/>
      </c>
      <c r="D91" s="75" t="str">
        <f>""</f>
        <v/>
      </c>
      <c r="E91" s="75" t="str">
        <f>""</f>
        <v/>
      </c>
      <c r="F91" s="75" t="str">
        <f>""</f>
        <v/>
      </c>
      <c r="G91" s="75" t="str">
        <f>""</f>
        <v/>
      </c>
      <c r="H91" s="75" t="str">
        <f>""</f>
        <v/>
      </c>
      <c r="I91" s="75" t="str">
        <f>""</f>
        <v/>
      </c>
      <c r="J91" s="75" t="s">
        <v>1625</v>
      </c>
      <c r="K91" s="75" t="str">
        <f>""</f>
        <v/>
      </c>
      <c r="L91" s="75" t="str">
        <f>""</f>
        <v/>
      </c>
      <c r="M91" s="75" t="str">
        <f>""</f>
        <v/>
      </c>
      <c r="N91" s="75" t="str">
        <f>""</f>
        <v/>
      </c>
      <c r="O91" s="75" t="str">
        <f>""</f>
        <v/>
      </c>
      <c r="P91" s="75" t="str">
        <f>""</f>
        <v/>
      </c>
      <c r="Q91" s="75" t="str">
        <f>""</f>
        <v/>
      </c>
      <c r="R91" s="75" t="str">
        <f>""</f>
        <v/>
      </c>
      <c r="S91" s="75" t="str">
        <f>""</f>
        <v/>
      </c>
      <c r="T91" s="75" t="str">
        <f>""</f>
        <v/>
      </c>
      <c r="U91" s="75" t="str">
        <f>""</f>
        <v/>
      </c>
      <c r="V91" s="75" t="str">
        <f>""</f>
        <v/>
      </c>
      <c r="W91" s="75" t="str">
        <f>""</f>
        <v/>
      </c>
      <c r="X91" s="75" t="str">
        <f>""</f>
        <v/>
      </c>
      <c r="Y91" s="75" t="str">
        <f>""</f>
        <v/>
      </c>
      <c r="Z91" s="75" t="str">
        <f>""</f>
        <v/>
      </c>
      <c r="AA91" s="75" t="str">
        <f>""</f>
        <v/>
      </c>
      <c r="AB91" s="75" t="str">
        <f>""</f>
        <v/>
      </c>
      <c r="AC91" s="75" t="str">
        <f>""</f>
        <v/>
      </c>
      <c r="AD91" s="75" t="str">
        <f>""</f>
        <v/>
      </c>
      <c r="AE91" s="75" t="str">
        <f>""</f>
        <v/>
      </c>
      <c r="AF91" s="75" t="str">
        <f>""</f>
        <v/>
      </c>
      <c r="AG91" s="75" t="e">
        <f>HLOOKUP(Campagne,Faction_list_complete,89,FALSE)</f>
        <v>#N/A</v>
      </c>
    </row>
    <row r="103" spans="1:9">
      <c r="A103" s="421" t="s">
        <v>1418</v>
      </c>
      <c r="B103" s="421"/>
      <c r="C103" s="421"/>
      <c r="D103" s="421"/>
      <c r="H103" s="140" t="s">
        <v>847</v>
      </c>
      <c r="I103" s="140"/>
    </row>
    <row r="104" spans="1:9">
      <c r="A104" s="135" t="s">
        <v>740</v>
      </c>
      <c r="B104" s="135" t="s">
        <v>741</v>
      </c>
      <c r="C104" s="135" t="s">
        <v>775</v>
      </c>
      <c r="D104" s="135" t="s">
        <v>742</v>
      </c>
      <c r="H104" s="140" t="s">
        <v>297</v>
      </c>
      <c r="I104" s="140" t="s">
        <v>861</v>
      </c>
    </row>
    <row r="105" spans="1:9">
      <c r="A105" s="136" t="s">
        <v>743</v>
      </c>
      <c r="B105" s="136" t="s">
        <v>774</v>
      </c>
      <c r="C105" s="136" t="s">
        <v>776</v>
      </c>
      <c r="D105" s="136" t="s">
        <v>777</v>
      </c>
      <c r="H105" s="22" t="s">
        <v>848</v>
      </c>
      <c r="I105" s="141" t="s">
        <v>1535</v>
      </c>
    </row>
    <row r="106" spans="1:9">
      <c r="A106" s="73" t="s">
        <v>744</v>
      </c>
      <c r="B106" s="73" t="s">
        <v>773</v>
      </c>
      <c r="C106" s="73" t="s">
        <v>743</v>
      </c>
      <c r="D106" s="73" t="s">
        <v>845</v>
      </c>
      <c r="H106" s="1" t="s">
        <v>849</v>
      </c>
      <c r="I106" s="75" t="s">
        <v>1536</v>
      </c>
    </row>
    <row r="107" spans="1:9">
      <c r="A107" s="136" t="s">
        <v>745</v>
      </c>
      <c r="B107" s="136" t="s">
        <v>772</v>
      </c>
      <c r="C107" s="136" t="s">
        <v>778</v>
      </c>
      <c r="D107" s="136" t="s">
        <v>779</v>
      </c>
      <c r="H107" s="22" t="s">
        <v>850</v>
      </c>
      <c r="I107" s="22" t="s">
        <v>1537</v>
      </c>
    </row>
    <row r="108" spans="1:9">
      <c r="A108" s="73" t="s">
        <v>746</v>
      </c>
      <c r="B108" s="73" t="s">
        <v>771</v>
      </c>
      <c r="C108" s="73" t="s">
        <v>780</v>
      </c>
      <c r="D108" s="73" t="s">
        <v>789</v>
      </c>
      <c r="H108" s="1" t="s">
        <v>851</v>
      </c>
      <c r="I108" s="1" t="str">
        <f>""</f>
        <v/>
      </c>
    </row>
    <row r="109" spans="1:9">
      <c r="A109" s="136" t="s">
        <v>747</v>
      </c>
      <c r="B109" s="136" t="s">
        <v>770</v>
      </c>
      <c r="C109" s="136" t="s">
        <v>781</v>
      </c>
      <c r="D109" s="136" t="s">
        <v>782</v>
      </c>
    </row>
    <row r="110" spans="1:9">
      <c r="A110" s="73" t="s">
        <v>748</v>
      </c>
      <c r="B110" s="73" t="s">
        <v>769</v>
      </c>
      <c r="C110" s="73" t="s">
        <v>783</v>
      </c>
      <c r="D110" s="73" t="s">
        <v>784</v>
      </c>
    </row>
    <row r="111" spans="1:9">
      <c r="A111" s="136" t="s">
        <v>749</v>
      </c>
      <c r="B111" s="136" t="s">
        <v>768</v>
      </c>
      <c r="C111" s="136" t="s">
        <v>845</v>
      </c>
      <c r="D111" s="136" t="s">
        <v>747</v>
      </c>
    </row>
    <row r="112" spans="1:9">
      <c r="A112" s="73" t="s">
        <v>750</v>
      </c>
      <c r="B112" s="73" t="s">
        <v>767</v>
      </c>
      <c r="C112" s="73" t="s">
        <v>786</v>
      </c>
      <c r="D112" s="73" t="s">
        <v>785</v>
      </c>
    </row>
    <row r="113" spans="1:4">
      <c r="A113" s="136" t="s">
        <v>751</v>
      </c>
      <c r="B113" s="136" t="s">
        <v>766</v>
      </c>
      <c r="C113" s="136" t="s">
        <v>787</v>
      </c>
      <c r="D113" s="136" t="s">
        <v>747</v>
      </c>
    </row>
    <row r="114" spans="1:4">
      <c r="A114" s="73" t="s">
        <v>752</v>
      </c>
      <c r="B114" s="73" t="s">
        <v>765</v>
      </c>
      <c r="C114" s="73" t="s">
        <v>788</v>
      </c>
      <c r="D114" s="73" t="s">
        <v>790</v>
      </c>
    </row>
    <row r="115" spans="1:4">
      <c r="A115" s="136" t="s">
        <v>753</v>
      </c>
      <c r="B115" s="136" t="s">
        <v>764</v>
      </c>
      <c r="C115" s="136" t="s">
        <v>845</v>
      </c>
      <c r="D115" s="136" t="s">
        <v>747</v>
      </c>
    </row>
    <row r="116" spans="1:4">
      <c r="A116" s="73" t="s">
        <v>754</v>
      </c>
      <c r="B116" s="73" t="s">
        <v>763</v>
      </c>
      <c r="C116" s="73" t="s">
        <v>791</v>
      </c>
      <c r="D116" s="73" t="s">
        <v>792</v>
      </c>
    </row>
    <row r="117" spans="1:4">
      <c r="A117" s="136" t="s">
        <v>755</v>
      </c>
      <c r="B117" s="136" t="s">
        <v>762</v>
      </c>
      <c r="C117" s="136" t="s">
        <v>784</v>
      </c>
      <c r="D117" s="136" t="s">
        <v>793</v>
      </c>
    </row>
    <row r="118" spans="1:4">
      <c r="A118" s="73" t="s">
        <v>756</v>
      </c>
      <c r="B118" s="73" t="s">
        <v>761</v>
      </c>
      <c r="C118" s="73" t="s">
        <v>794</v>
      </c>
      <c r="D118" s="73" t="s">
        <v>746</v>
      </c>
    </row>
    <row r="119" spans="1:4">
      <c r="A119" s="136" t="s">
        <v>757</v>
      </c>
      <c r="B119" s="136" t="s">
        <v>760</v>
      </c>
      <c r="C119" s="136" t="s">
        <v>795</v>
      </c>
      <c r="D119" s="136" t="s">
        <v>789</v>
      </c>
    </row>
    <row r="120" spans="1:4">
      <c r="A120" s="73" t="s">
        <v>758</v>
      </c>
      <c r="B120" s="73" t="s">
        <v>759</v>
      </c>
      <c r="C120" s="73" t="s">
        <v>845</v>
      </c>
      <c r="D120" s="73" t="s">
        <v>845</v>
      </c>
    </row>
    <row r="121" spans="1:4">
      <c r="A121" s="136" t="s">
        <v>1420</v>
      </c>
      <c r="B121" s="136"/>
      <c r="C121" s="136"/>
      <c r="D121" s="136"/>
    </row>
    <row r="122" spans="1:4">
      <c r="A122" s="73" t="s">
        <v>1421</v>
      </c>
      <c r="B122" s="73"/>
      <c r="C122" s="73"/>
      <c r="D122" s="73"/>
    </row>
    <row r="123" spans="1:4">
      <c r="A123" s="136" t="s">
        <v>1422</v>
      </c>
      <c r="B123" s="136"/>
      <c r="C123" s="136"/>
      <c r="D123" s="136"/>
    </row>
    <row r="124" spans="1:4">
      <c r="A124" s="73" t="s">
        <v>1423</v>
      </c>
      <c r="B124" s="73"/>
      <c r="C124" s="73"/>
      <c r="D124" s="73"/>
    </row>
    <row r="125" spans="1:4">
      <c r="A125" s="136" t="s">
        <v>1424</v>
      </c>
      <c r="B125" s="136"/>
      <c r="C125" s="136"/>
      <c r="D125" s="136"/>
    </row>
    <row r="126" spans="1:4">
      <c r="A126" s="73" t="s">
        <v>1425</v>
      </c>
      <c r="B126" s="73"/>
      <c r="C126" s="73"/>
      <c r="D126" s="73"/>
    </row>
    <row r="127" spans="1:4">
      <c r="A127" s="136" t="s">
        <v>1426</v>
      </c>
      <c r="B127" s="136"/>
      <c r="C127" s="136"/>
      <c r="D127" s="136"/>
    </row>
    <row r="128" spans="1:4">
      <c r="A128" s="73" t="s">
        <v>1427</v>
      </c>
      <c r="B128" s="73"/>
      <c r="C128" s="73"/>
      <c r="D128" s="73"/>
    </row>
    <row r="129" spans="1:4">
      <c r="A129" s="136" t="s">
        <v>1428</v>
      </c>
      <c r="B129" s="136"/>
      <c r="C129" s="136"/>
      <c r="D129" s="136"/>
    </row>
    <row r="130" spans="1:4">
      <c r="A130" s="73" t="s">
        <v>1429</v>
      </c>
      <c r="B130" s="73"/>
      <c r="C130" s="73"/>
      <c r="D130" s="73"/>
    </row>
    <row r="131" spans="1:4">
      <c r="A131" s="136" t="s">
        <v>1492</v>
      </c>
      <c r="B131" s="136"/>
      <c r="C131" s="136"/>
      <c r="D131" s="136"/>
    </row>
    <row r="132" spans="1:4">
      <c r="A132" s="73" t="s">
        <v>1493</v>
      </c>
      <c r="B132" s="73"/>
      <c r="C132" s="73"/>
      <c r="D132" s="73"/>
    </row>
    <row r="133" spans="1:4">
      <c r="A133" s="136" t="s">
        <v>1494</v>
      </c>
      <c r="B133" s="136"/>
      <c r="C133" s="136"/>
      <c r="D133" s="136"/>
    </row>
    <row r="134" spans="1:4">
      <c r="A134" s="73" t="s">
        <v>1495</v>
      </c>
      <c r="B134" s="73"/>
      <c r="C134" s="73"/>
      <c r="D134" s="73"/>
    </row>
    <row r="135" spans="1:4">
      <c r="A135" s="136" t="s">
        <v>1496</v>
      </c>
      <c r="B135" s="136"/>
      <c r="C135" s="136"/>
      <c r="D135" s="136"/>
    </row>
    <row r="136" spans="1:4">
      <c r="A136" s="73" t="s">
        <v>1497</v>
      </c>
      <c r="B136" s="73"/>
      <c r="C136" s="73"/>
      <c r="D136" s="73"/>
    </row>
    <row r="137" spans="1:4">
      <c r="A137" s="136" t="s">
        <v>1498</v>
      </c>
      <c r="B137" s="136"/>
      <c r="C137" s="136"/>
      <c r="D137" s="136"/>
    </row>
    <row r="138" spans="1:4">
      <c r="A138" s="73" t="s">
        <v>1499</v>
      </c>
      <c r="B138" s="73"/>
      <c r="C138" s="73"/>
      <c r="D138" s="73"/>
    </row>
    <row r="139" spans="1:4">
      <c r="A139" s="136" t="s">
        <v>1436</v>
      </c>
      <c r="B139" s="136"/>
      <c r="C139" s="136"/>
      <c r="D139" s="136"/>
    </row>
    <row r="140" spans="1:4">
      <c r="A140" s="73" t="s">
        <v>1437</v>
      </c>
      <c r="B140" s="73"/>
      <c r="C140" s="73"/>
      <c r="D140" s="73"/>
    </row>
    <row r="141" spans="1:4">
      <c r="A141" s="136" t="s">
        <v>1438</v>
      </c>
      <c r="B141" s="136"/>
      <c r="C141" s="136"/>
      <c r="D141" s="136"/>
    </row>
    <row r="142" spans="1:4">
      <c r="A142" s="73" t="s">
        <v>1439</v>
      </c>
      <c r="B142" s="73"/>
      <c r="C142" s="73"/>
      <c r="D142" s="73"/>
    </row>
    <row r="143" spans="1:4">
      <c r="A143" s="136" t="s">
        <v>1440</v>
      </c>
      <c r="B143" s="136"/>
      <c r="C143" s="136"/>
      <c r="D143" s="136"/>
    </row>
    <row r="144" spans="1:4">
      <c r="A144" s="73" t="s">
        <v>1441</v>
      </c>
      <c r="B144" s="73"/>
      <c r="C144" s="73"/>
      <c r="D144" s="73"/>
    </row>
    <row r="145" spans="1:4">
      <c r="A145" s="136" t="s">
        <v>1442</v>
      </c>
      <c r="B145" s="136"/>
      <c r="C145" s="136"/>
      <c r="D145" s="136"/>
    </row>
    <row r="146" spans="1:4">
      <c r="A146" s="73" t="s">
        <v>1443</v>
      </c>
      <c r="B146" s="73"/>
      <c r="C146" s="73"/>
      <c r="D146" s="73"/>
    </row>
    <row r="147" spans="1:4">
      <c r="A147" s="136" t="s">
        <v>1444</v>
      </c>
      <c r="B147" s="136"/>
      <c r="C147" s="136"/>
      <c r="D147" s="136"/>
    </row>
    <row r="148" spans="1:4">
      <c r="A148" s="73" t="s">
        <v>1445</v>
      </c>
      <c r="B148" s="73"/>
      <c r="C148" s="73"/>
      <c r="D148" s="73"/>
    </row>
    <row r="149" spans="1:4">
      <c r="A149" s="136" t="s">
        <v>1446</v>
      </c>
      <c r="B149" s="136"/>
      <c r="C149" s="136"/>
      <c r="D149" s="136"/>
    </row>
    <row r="150" spans="1:4">
      <c r="A150" s="73" t="s">
        <v>1447</v>
      </c>
      <c r="B150" s="73"/>
      <c r="C150" s="73"/>
      <c r="D150" s="73"/>
    </row>
    <row r="151" spans="1:4">
      <c r="A151" s="136" t="s">
        <v>1448</v>
      </c>
      <c r="B151" s="136"/>
      <c r="C151" s="136"/>
      <c r="D151" s="136"/>
    </row>
    <row r="152" spans="1:4">
      <c r="A152" s="73" t="s">
        <v>1449</v>
      </c>
      <c r="B152" s="73"/>
      <c r="C152" s="73"/>
      <c r="D152" s="73"/>
    </row>
    <row r="153" spans="1:4">
      <c r="A153" s="136" t="s">
        <v>1450</v>
      </c>
      <c r="B153" s="136"/>
      <c r="C153" s="136"/>
      <c r="D153" s="136"/>
    </row>
    <row r="154" spans="1:4">
      <c r="A154" s="73" t="s">
        <v>1451</v>
      </c>
      <c r="B154" s="73"/>
      <c r="C154" s="73"/>
      <c r="D154" s="73"/>
    </row>
    <row r="155" spans="1:4">
      <c r="A155" s="136" t="s">
        <v>1452</v>
      </c>
      <c r="B155" s="136"/>
      <c r="C155" s="136"/>
      <c r="D155" s="136"/>
    </row>
    <row r="156" spans="1:4">
      <c r="A156" s="73" t="s">
        <v>1453</v>
      </c>
      <c r="B156" s="73"/>
      <c r="C156" s="73"/>
      <c r="D156" s="73"/>
    </row>
    <row r="157" spans="1:4">
      <c r="A157" s="136" t="s">
        <v>1454</v>
      </c>
      <c r="B157" s="136"/>
      <c r="C157" s="136"/>
      <c r="D157" s="136"/>
    </row>
    <row r="158" spans="1:4">
      <c r="A158" s="73" t="s">
        <v>1455</v>
      </c>
      <c r="B158" s="73"/>
      <c r="C158" s="73"/>
      <c r="D158" s="73"/>
    </row>
    <row r="159" spans="1:4">
      <c r="A159" s="136" t="s">
        <v>1456</v>
      </c>
      <c r="B159" s="136"/>
      <c r="C159" s="136"/>
      <c r="D159" s="136"/>
    </row>
    <row r="160" spans="1:4">
      <c r="A160" s="73" t="s">
        <v>1457</v>
      </c>
      <c r="B160" s="73"/>
      <c r="C160" s="73"/>
      <c r="D160" s="73"/>
    </row>
    <row r="161" spans="1:4">
      <c r="A161" s="136" t="s">
        <v>1458</v>
      </c>
      <c r="B161" s="136"/>
      <c r="C161" s="136"/>
      <c r="D161" s="136"/>
    </row>
    <row r="162" spans="1:4">
      <c r="A162" s="73" t="s">
        <v>1459</v>
      </c>
      <c r="B162" s="73"/>
      <c r="C162" s="73"/>
      <c r="D162" s="73"/>
    </row>
    <row r="163" spans="1:4">
      <c r="A163" s="136" t="s">
        <v>1460</v>
      </c>
      <c r="B163" s="136"/>
      <c r="C163" s="136"/>
      <c r="D163" s="136"/>
    </row>
    <row r="164" spans="1:4">
      <c r="A164" s="73" t="s">
        <v>1461</v>
      </c>
      <c r="B164" s="73"/>
      <c r="C164" s="73"/>
      <c r="D164" s="73"/>
    </row>
    <row r="165" spans="1:4">
      <c r="A165" s="136" t="s">
        <v>1420</v>
      </c>
      <c r="B165" s="136"/>
      <c r="C165" s="136"/>
      <c r="D165" s="136"/>
    </row>
    <row r="166" spans="1:4">
      <c r="A166" s="73" t="s">
        <v>1421</v>
      </c>
      <c r="B166" s="73"/>
      <c r="C166" s="73"/>
      <c r="D166" s="73"/>
    </row>
    <row r="167" spans="1:4">
      <c r="A167" s="136" t="s">
        <v>1422</v>
      </c>
      <c r="B167" s="136"/>
      <c r="C167" s="136"/>
      <c r="D167" s="136"/>
    </row>
    <row r="168" spans="1:4">
      <c r="A168" s="73" t="s">
        <v>1423</v>
      </c>
      <c r="B168" s="73"/>
      <c r="C168" s="73"/>
      <c r="D168" s="73"/>
    </row>
    <row r="169" spans="1:4">
      <c r="A169" s="136" t="s">
        <v>1424</v>
      </c>
      <c r="B169" s="136"/>
      <c r="C169" s="136"/>
      <c r="D169" s="136"/>
    </row>
    <row r="170" spans="1:4">
      <c r="A170" s="73" t="s">
        <v>1425</v>
      </c>
      <c r="B170" s="73"/>
      <c r="C170" s="73"/>
      <c r="D170" s="73"/>
    </row>
    <row r="171" spans="1:4">
      <c r="A171" s="136" t="s">
        <v>1426</v>
      </c>
      <c r="B171" s="136"/>
      <c r="C171" s="136"/>
      <c r="D171" s="136"/>
    </row>
    <row r="172" spans="1:4">
      <c r="A172" s="73" t="s">
        <v>1427</v>
      </c>
      <c r="B172" s="73"/>
      <c r="C172" s="73"/>
      <c r="D172" s="73"/>
    </row>
    <row r="173" spans="1:4">
      <c r="A173" s="136" t="s">
        <v>1428</v>
      </c>
      <c r="B173" s="136"/>
      <c r="C173" s="136"/>
      <c r="D173" s="136"/>
    </row>
    <row r="174" spans="1:4">
      <c r="A174" s="73" t="s">
        <v>1429</v>
      </c>
      <c r="B174" s="73"/>
      <c r="C174" s="73"/>
      <c r="D174" s="73"/>
    </row>
    <row r="175" spans="1:4">
      <c r="A175" s="136" t="s">
        <v>1483</v>
      </c>
      <c r="B175" s="136"/>
      <c r="C175" s="136"/>
      <c r="D175" s="136"/>
    </row>
    <row r="176" spans="1:4">
      <c r="A176" s="73" t="s">
        <v>1484</v>
      </c>
      <c r="B176" s="73"/>
      <c r="C176" s="73"/>
      <c r="D176" s="73"/>
    </row>
    <row r="177" spans="1:4">
      <c r="A177" s="136" t="s">
        <v>1485</v>
      </c>
      <c r="B177" s="136"/>
      <c r="C177" s="136"/>
      <c r="D177" s="136"/>
    </row>
    <row r="178" spans="1:4">
      <c r="A178" s="73" t="s">
        <v>1486</v>
      </c>
      <c r="B178" s="73"/>
      <c r="C178" s="73"/>
      <c r="D178" s="73"/>
    </row>
    <row r="179" spans="1:4">
      <c r="A179" s="136" t="s">
        <v>1487</v>
      </c>
      <c r="B179" s="136"/>
      <c r="C179" s="136"/>
      <c r="D179" s="136"/>
    </row>
    <row r="180" spans="1:4">
      <c r="A180" s="73" t="s">
        <v>1488</v>
      </c>
      <c r="B180" s="73"/>
      <c r="C180" s="73"/>
      <c r="D180" s="73"/>
    </row>
    <row r="181" spans="1:4">
      <c r="A181" s="136" t="s">
        <v>1489</v>
      </c>
      <c r="B181" s="136"/>
      <c r="C181" s="136"/>
      <c r="D181" s="136"/>
    </row>
    <row r="182" spans="1:4">
      <c r="A182" s="73" t="s">
        <v>1490</v>
      </c>
      <c r="B182" s="73"/>
      <c r="C182" s="73"/>
      <c r="D182" s="73"/>
    </row>
    <row r="183" spans="1:4">
      <c r="A183" s="136" t="s">
        <v>1491</v>
      </c>
      <c r="B183" s="136"/>
      <c r="C183" s="136"/>
      <c r="D183" s="136"/>
    </row>
    <row r="184" spans="1:4">
      <c r="A184" s="73" t="s">
        <v>1500</v>
      </c>
      <c r="B184" s="73"/>
      <c r="C184" s="73"/>
      <c r="D184" s="73"/>
    </row>
    <row r="185" spans="1:4">
      <c r="A185" s="136" t="s">
        <v>1501</v>
      </c>
      <c r="B185" s="136"/>
      <c r="C185" s="136"/>
      <c r="D185" s="136"/>
    </row>
    <row r="186" spans="1:4">
      <c r="A186" s="73" t="s">
        <v>1502</v>
      </c>
      <c r="B186" s="73"/>
      <c r="C186" s="73"/>
      <c r="D186" s="73"/>
    </row>
    <row r="187" spans="1:4">
      <c r="A187" s="136" t="s">
        <v>1503</v>
      </c>
      <c r="B187" s="136"/>
      <c r="C187" s="136"/>
      <c r="D187" s="136"/>
    </row>
    <row r="188" spans="1:4">
      <c r="A188" s="73" t="s">
        <v>1504</v>
      </c>
      <c r="B188" s="73"/>
      <c r="C188" s="73"/>
      <c r="D188" s="73"/>
    </row>
    <row r="189" spans="1:4">
      <c r="A189" s="136" t="s">
        <v>1505</v>
      </c>
      <c r="B189" s="136"/>
      <c r="C189" s="136"/>
      <c r="D189" s="136"/>
    </row>
    <row r="190" spans="1:4">
      <c r="A190" s="73" t="s">
        <v>1506</v>
      </c>
      <c r="B190" s="73"/>
      <c r="C190" s="73"/>
      <c r="D190" s="73"/>
    </row>
    <row r="191" spans="1:4">
      <c r="A191" s="136" t="s">
        <v>1507</v>
      </c>
      <c r="B191" s="136"/>
      <c r="C191" s="136"/>
      <c r="D191" s="136"/>
    </row>
    <row r="192" spans="1:4">
      <c r="A192" s="73" t="s">
        <v>1508</v>
      </c>
      <c r="B192" s="73"/>
      <c r="C192" s="73"/>
      <c r="D192" s="73"/>
    </row>
    <row r="193" spans="1:4">
      <c r="A193" s="136" t="s">
        <v>1509</v>
      </c>
      <c r="B193" s="136"/>
      <c r="C193" s="136"/>
      <c r="D193" s="136"/>
    </row>
    <row r="194" spans="1:4">
      <c r="A194" s="73" t="s">
        <v>1510</v>
      </c>
      <c r="B194" s="73"/>
      <c r="C194" s="73"/>
      <c r="D194" s="73"/>
    </row>
    <row r="195" spans="1:4">
      <c r="A195" s="136" t="s">
        <v>1511</v>
      </c>
      <c r="B195" s="136"/>
      <c r="C195" s="136"/>
      <c r="D195" s="136"/>
    </row>
    <row r="196" spans="1:4">
      <c r="A196" s="73" t="s">
        <v>1512</v>
      </c>
      <c r="B196" s="73"/>
      <c r="C196" s="73"/>
      <c r="D196" s="73"/>
    </row>
    <row r="197" spans="1:4">
      <c r="A197" s="136" t="s">
        <v>1513</v>
      </c>
      <c r="B197" s="136"/>
      <c r="C197" s="136"/>
      <c r="D197" s="136"/>
    </row>
    <row r="198" spans="1:4">
      <c r="A198" s="73" t="s">
        <v>1514</v>
      </c>
      <c r="B198" s="73"/>
      <c r="C198" s="73"/>
      <c r="D198" s="73"/>
    </row>
    <row r="199" spans="1:4">
      <c r="A199" s="136" t="s">
        <v>1515</v>
      </c>
      <c r="B199" s="136"/>
      <c r="C199" s="136"/>
      <c r="D199" s="136"/>
    </row>
    <row r="200" spans="1:4">
      <c r="A200" s="73" t="s">
        <v>1516</v>
      </c>
      <c r="B200" s="73"/>
      <c r="C200" s="73"/>
      <c r="D200" s="73"/>
    </row>
    <row r="201" spans="1:4">
      <c r="A201" s="136" t="s">
        <v>1517</v>
      </c>
      <c r="B201" s="136"/>
      <c r="C201" s="136"/>
      <c r="D201" s="136"/>
    </row>
    <row r="202" spans="1:4">
      <c r="A202" s="73" t="s">
        <v>1518</v>
      </c>
      <c r="B202" s="73"/>
      <c r="C202" s="73"/>
      <c r="D202" s="73"/>
    </row>
    <row r="203" spans="1:4">
      <c r="A203" s="136" t="s">
        <v>1519</v>
      </c>
      <c r="B203" s="136"/>
      <c r="C203" s="136"/>
      <c r="D203" s="136"/>
    </row>
    <row r="204" spans="1:4">
      <c r="A204" s="73" t="s">
        <v>1520</v>
      </c>
      <c r="B204" s="73"/>
      <c r="C204" s="73"/>
      <c r="D204" s="73"/>
    </row>
    <row r="205" spans="1:4">
      <c r="A205" s="136" t="s">
        <v>1521</v>
      </c>
      <c r="B205" s="136"/>
      <c r="C205" s="136"/>
      <c r="D205" s="136"/>
    </row>
    <row r="206" spans="1:4">
      <c r="A206" s="73" t="s">
        <v>1522</v>
      </c>
      <c r="B206" s="73"/>
      <c r="C206" s="73"/>
      <c r="D206" s="73"/>
    </row>
    <row r="207" spans="1:4">
      <c r="A207" s="136" t="s">
        <v>1523</v>
      </c>
      <c r="B207" s="136"/>
      <c r="C207" s="136"/>
      <c r="D207" s="136"/>
    </row>
    <row r="208" spans="1:4">
      <c r="A208" s="73" t="s">
        <v>1524</v>
      </c>
      <c r="B208" s="73"/>
      <c r="C208" s="73"/>
      <c r="D208" s="73"/>
    </row>
    <row r="209" spans="1:4">
      <c r="A209" s="136" t="s">
        <v>1525</v>
      </c>
      <c r="B209" s="136"/>
      <c r="C209" s="136"/>
      <c r="D209" s="136"/>
    </row>
    <row r="210" spans="1:4">
      <c r="A210" s="73" t="s">
        <v>1534</v>
      </c>
      <c r="B210" s="73"/>
      <c r="C210" s="73"/>
      <c r="D210" s="73"/>
    </row>
    <row r="211" spans="1:4">
      <c r="A211" s="136" t="s">
        <v>1528</v>
      </c>
      <c r="B211" s="136"/>
      <c r="C211" s="136"/>
      <c r="D211" s="136"/>
    </row>
    <row r="212" spans="1:4">
      <c r="A212" s="73" t="s">
        <v>1529</v>
      </c>
      <c r="B212" s="73"/>
      <c r="C212" s="73"/>
      <c r="D212" s="73"/>
    </row>
    <row r="213" spans="1:4">
      <c r="A213" s="136" t="s">
        <v>1530</v>
      </c>
      <c r="B213" s="136"/>
      <c r="C213" s="136"/>
      <c r="D213" s="136"/>
    </row>
    <row r="214" spans="1:4">
      <c r="A214" s="73" t="s">
        <v>1531</v>
      </c>
      <c r="B214" s="73"/>
      <c r="C214" s="73"/>
      <c r="D214" s="73"/>
    </row>
    <row r="215" spans="1:4">
      <c r="A215" s="136" t="s">
        <v>1532</v>
      </c>
      <c r="B215" s="136"/>
      <c r="C215" s="136"/>
      <c r="D215" s="136"/>
    </row>
    <row r="216" spans="1:4">
      <c r="A216" s="73" t="s">
        <v>1533</v>
      </c>
      <c r="B216" s="73"/>
      <c r="C216" s="73"/>
      <c r="D216" s="73"/>
    </row>
  </sheetData>
  <sortState ref="AJ11:AJ14">
    <sortCondition ref="AJ10"/>
  </sortState>
  <mergeCells count="2">
    <mergeCell ref="A103:D103"/>
    <mergeCell ref="A2:AG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U318"/>
  <sheetViews>
    <sheetView zoomScale="85" zoomScaleNormal="85" workbookViewId="0">
      <pane ySplit="1" topLeftCell="A2" activePane="bottomLeft" state="frozen"/>
      <selection pane="bottomLeft" activeCell="J67" sqref="J67"/>
    </sheetView>
  </sheetViews>
  <sheetFormatPr defaultColWidth="8.42578125" defaultRowHeight="11.25"/>
  <cols>
    <col min="1" max="1" width="29.7109375" style="45" bestFit="1" customWidth="1"/>
    <col min="2" max="9" width="12" style="46" customWidth="1"/>
    <col min="10" max="10" width="31" style="44" customWidth="1"/>
    <col min="11" max="11" width="5.28515625" style="47" customWidth="1"/>
    <col min="12" max="12" width="19.85546875" style="48" customWidth="1"/>
    <col min="13" max="13" width="8.42578125" style="48"/>
    <col min="14" max="16384" width="8.42578125" style="52"/>
  </cols>
  <sheetData>
    <row r="1" spans="1:255" s="56" customFormat="1" ht="12.75">
      <c r="A1" s="99" t="s">
        <v>179</v>
      </c>
      <c r="B1" s="40" t="s">
        <v>291</v>
      </c>
      <c r="C1" s="40" t="s">
        <v>292</v>
      </c>
      <c r="D1" s="40" t="s">
        <v>293</v>
      </c>
      <c r="E1" s="40" t="s">
        <v>294</v>
      </c>
      <c r="F1" s="40" t="s">
        <v>295</v>
      </c>
      <c r="G1" s="40" t="s">
        <v>296</v>
      </c>
      <c r="H1" s="40" t="s">
        <v>297</v>
      </c>
      <c r="I1" s="40" t="s">
        <v>298</v>
      </c>
      <c r="J1" s="41" t="s">
        <v>299</v>
      </c>
      <c r="K1" s="39" t="s">
        <v>300</v>
      </c>
      <c r="L1" s="39" t="s">
        <v>301</v>
      </c>
      <c r="M1" s="39" t="s">
        <v>302</v>
      </c>
    </row>
    <row r="2" spans="1:255">
      <c r="A2" s="98" t="s">
        <v>303</v>
      </c>
      <c r="B2" s="43" t="s">
        <v>304</v>
      </c>
      <c r="C2" s="43" t="s">
        <v>304</v>
      </c>
      <c r="D2" s="43" t="s">
        <v>304</v>
      </c>
      <c r="E2" s="43" t="s">
        <v>304</v>
      </c>
      <c r="F2" s="43" t="s">
        <v>305</v>
      </c>
      <c r="G2" s="43" t="s">
        <v>305</v>
      </c>
      <c r="H2" s="43" t="s">
        <v>305</v>
      </c>
      <c r="I2" s="43" t="s">
        <v>305</v>
      </c>
      <c r="J2" s="44" t="s">
        <v>306</v>
      </c>
      <c r="K2" s="45" t="s">
        <v>307</v>
      </c>
      <c r="L2" s="46"/>
      <c r="M2" s="46"/>
    </row>
    <row r="3" spans="1:255">
      <c r="A3" s="98" t="s">
        <v>308</v>
      </c>
      <c r="B3" s="43" t="s">
        <v>305</v>
      </c>
      <c r="C3" s="43" t="s">
        <v>305</v>
      </c>
      <c r="D3" s="43" t="s">
        <v>305</v>
      </c>
      <c r="E3" s="43" t="s">
        <v>305</v>
      </c>
      <c r="F3" s="43" t="s">
        <v>305</v>
      </c>
      <c r="G3" s="43" t="s">
        <v>304</v>
      </c>
      <c r="H3" s="43" t="s">
        <v>305</v>
      </c>
      <c r="I3" s="43" t="s">
        <v>305</v>
      </c>
      <c r="J3" s="49" t="s">
        <v>1345</v>
      </c>
      <c r="K3" s="47">
        <v>9</v>
      </c>
    </row>
    <row r="4" spans="1:255">
      <c r="A4" s="98" t="s">
        <v>287</v>
      </c>
      <c r="B4" s="43" t="s">
        <v>304</v>
      </c>
      <c r="C4" s="43" t="s">
        <v>304</v>
      </c>
      <c r="D4" s="43" t="s">
        <v>304</v>
      </c>
      <c r="E4" s="43" t="s">
        <v>304</v>
      </c>
      <c r="F4" s="43" t="s">
        <v>305</v>
      </c>
      <c r="G4" s="43" t="s">
        <v>305</v>
      </c>
      <c r="H4" s="43" t="s">
        <v>304</v>
      </c>
      <c r="I4" s="43" t="s">
        <v>305</v>
      </c>
      <c r="J4" s="49" t="s">
        <v>309</v>
      </c>
      <c r="K4" s="44"/>
      <c r="L4" s="46"/>
      <c r="M4" s="46"/>
    </row>
    <row r="5" spans="1:255">
      <c r="A5" s="45" t="s">
        <v>310</v>
      </c>
      <c r="B5" s="50"/>
      <c r="C5" s="50"/>
      <c r="D5" s="50"/>
      <c r="E5" s="50"/>
      <c r="F5" s="50"/>
      <c r="G5" s="50"/>
      <c r="H5" s="50"/>
      <c r="I5" s="50"/>
      <c r="J5" s="44" t="s">
        <v>312</v>
      </c>
      <c r="K5" s="47">
        <v>82</v>
      </c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1"/>
      <c r="EG5" s="51"/>
      <c r="EH5" s="51"/>
      <c r="EI5" s="51"/>
      <c r="EJ5" s="51"/>
      <c r="EK5" s="51"/>
      <c r="EL5" s="51"/>
      <c r="EM5" s="51"/>
      <c r="EN5" s="51"/>
      <c r="EO5" s="51"/>
      <c r="EP5" s="51"/>
      <c r="EQ5" s="51"/>
      <c r="ER5" s="51"/>
      <c r="ES5" s="51"/>
      <c r="ET5" s="51"/>
      <c r="EU5" s="51"/>
      <c r="EV5" s="51"/>
      <c r="EW5" s="51"/>
      <c r="EX5" s="51"/>
      <c r="EY5" s="51"/>
      <c r="EZ5" s="51"/>
      <c r="FA5" s="51"/>
      <c r="FB5" s="51"/>
      <c r="FC5" s="51"/>
      <c r="FD5" s="51"/>
      <c r="FE5" s="51"/>
      <c r="FF5" s="51"/>
      <c r="FG5" s="51"/>
      <c r="FH5" s="51"/>
      <c r="FI5" s="51"/>
      <c r="FJ5" s="51"/>
      <c r="FK5" s="51"/>
      <c r="FL5" s="51"/>
      <c r="FM5" s="51"/>
      <c r="FN5" s="51"/>
      <c r="FO5" s="51"/>
      <c r="FP5" s="51"/>
      <c r="FQ5" s="51"/>
      <c r="FR5" s="51"/>
      <c r="FS5" s="51"/>
      <c r="FT5" s="51"/>
      <c r="FU5" s="51"/>
      <c r="FV5" s="51"/>
      <c r="FW5" s="51"/>
      <c r="FX5" s="51"/>
      <c r="FY5" s="51"/>
      <c r="FZ5" s="51"/>
      <c r="GA5" s="51"/>
      <c r="GB5" s="51"/>
      <c r="GC5" s="51"/>
      <c r="GD5" s="51"/>
      <c r="GE5" s="51"/>
      <c r="GF5" s="51"/>
      <c r="GG5" s="51"/>
      <c r="GH5" s="51"/>
      <c r="GI5" s="51"/>
      <c r="GJ5" s="51"/>
      <c r="GK5" s="51"/>
      <c r="GL5" s="51"/>
      <c r="GM5" s="51"/>
      <c r="GN5" s="51"/>
      <c r="GO5" s="51"/>
      <c r="GP5" s="51"/>
      <c r="GQ5" s="51"/>
      <c r="GR5" s="51"/>
      <c r="GS5" s="51"/>
      <c r="GT5" s="51"/>
      <c r="GU5" s="51"/>
      <c r="GV5" s="51"/>
      <c r="GW5" s="51"/>
      <c r="GX5" s="51"/>
      <c r="GY5" s="51"/>
      <c r="GZ5" s="51"/>
      <c r="HA5" s="51"/>
      <c r="HB5" s="51"/>
      <c r="HC5" s="51"/>
      <c r="HD5" s="51"/>
      <c r="HE5" s="51"/>
      <c r="HF5" s="51"/>
      <c r="HG5" s="51"/>
      <c r="HH5" s="51"/>
      <c r="HI5" s="51"/>
      <c r="HJ5" s="51"/>
      <c r="HK5" s="51"/>
      <c r="HL5" s="51"/>
      <c r="HM5" s="51"/>
      <c r="HN5" s="51"/>
      <c r="HO5" s="51"/>
      <c r="HP5" s="51"/>
      <c r="HQ5" s="51"/>
      <c r="HR5" s="51"/>
      <c r="HS5" s="51"/>
      <c r="HT5" s="51"/>
      <c r="HU5" s="51"/>
      <c r="HV5" s="51"/>
      <c r="HW5" s="51"/>
      <c r="HX5" s="51"/>
      <c r="HY5" s="51"/>
      <c r="HZ5" s="51"/>
      <c r="IA5" s="51"/>
      <c r="IB5" s="51"/>
      <c r="IC5" s="51"/>
      <c r="ID5" s="51"/>
      <c r="IE5" s="51"/>
      <c r="IF5" s="51"/>
      <c r="IG5" s="51"/>
      <c r="IH5" s="51"/>
      <c r="II5" s="51"/>
      <c r="IJ5" s="51"/>
      <c r="IK5" s="51"/>
      <c r="IL5" s="51"/>
      <c r="IM5" s="51"/>
      <c r="IN5" s="51"/>
      <c r="IO5" s="51"/>
      <c r="IP5" s="51"/>
      <c r="IQ5" s="51"/>
      <c r="IR5" s="51"/>
      <c r="IS5" s="51"/>
      <c r="IT5" s="51"/>
      <c r="IU5" s="51"/>
    </row>
    <row r="6" spans="1:255">
      <c r="A6" s="98" t="s">
        <v>311</v>
      </c>
      <c r="B6" s="43" t="s">
        <v>305</v>
      </c>
      <c r="C6" s="43" t="s">
        <v>305</v>
      </c>
      <c r="D6" s="43" t="s">
        <v>305</v>
      </c>
      <c r="E6" s="43" t="s">
        <v>305</v>
      </c>
      <c r="F6" s="43" t="s">
        <v>305</v>
      </c>
      <c r="G6" s="43" t="s">
        <v>305</v>
      </c>
      <c r="H6" s="43" t="s">
        <v>304</v>
      </c>
      <c r="I6" s="43" t="s">
        <v>305</v>
      </c>
      <c r="J6" s="49" t="s">
        <v>312</v>
      </c>
    </row>
    <row r="7" spans="1:255">
      <c r="A7" s="98" t="s">
        <v>313</v>
      </c>
      <c r="B7" s="43" t="s">
        <v>304</v>
      </c>
      <c r="C7" s="43" t="s">
        <v>304</v>
      </c>
      <c r="D7" s="43" t="s">
        <v>304</v>
      </c>
      <c r="E7" s="43" t="s">
        <v>304</v>
      </c>
      <c r="F7" s="43" t="s">
        <v>305</v>
      </c>
      <c r="G7" s="43" t="s">
        <v>305</v>
      </c>
      <c r="H7" s="43" t="s">
        <v>305</v>
      </c>
      <c r="I7" s="43" t="s">
        <v>305</v>
      </c>
      <c r="J7" s="44" t="s">
        <v>306</v>
      </c>
      <c r="K7" s="45" t="s">
        <v>314</v>
      </c>
      <c r="L7" s="46"/>
      <c r="M7" s="46"/>
    </row>
    <row r="8" spans="1:255">
      <c r="A8" s="100" t="s">
        <v>315</v>
      </c>
      <c r="B8" s="46" t="s">
        <v>305</v>
      </c>
      <c r="C8" s="46" t="s">
        <v>305</v>
      </c>
      <c r="D8" s="46" t="s">
        <v>305</v>
      </c>
      <c r="E8" s="46" t="s">
        <v>305</v>
      </c>
      <c r="F8" s="46" t="s">
        <v>305</v>
      </c>
      <c r="G8" s="46" t="s">
        <v>305</v>
      </c>
      <c r="H8" s="46" t="s">
        <v>305</v>
      </c>
      <c r="I8" s="46" t="s">
        <v>1527</v>
      </c>
      <c r="J8" s="47" t="s">
        <v>316</v>
      </c>
      <c r="K8" s="44"/>
      <c r="L8" s="46"/>
      <c r="M8" s="46"/>
    </row>
    <row r="9" spans="1:255">
      <c r="A9" s="98" t="s">
        <v>317</v>
      </c>
      <c r="B9" s="43" t="s">
        <v>305</v>
      </c>
      <c r="C9" s="43" t="s">
        <v>305</v>
      </c>
      <c r="D9" s="43" t="s">
        <v>305</v>
      </c>
      <c r="E9" s="43" t="s">
        <v>305</v>
      </c>
      <c r="F9" s="43" t="s">
        <v>305</v>
      </c>
      <c r="G9" s="43" t="s">
        <v>305</v>
      </c>
      <c r="H9" s="53" t="s">
        <v>304</v>
      </c>
      <c r="I9" s="43" t="s">
        <v>305</v>
      </c>
      <c r="J9" s="49" t="s">
        <v>312</v>
      </c>
    </row>
    <row r="10" spans="1:255">
      <c r="A10" s="98" t="s">
        <v>318</v>
      </c>
      <c r="B10" s="43" t="s">
        <v>305</v>
      </c>
      <c r="C10" s="43" t="s">
        <v>305</v>
      </c>
      <c r="D10" s="43" t="s">
        <v>305</v>
      </c>
      <c r="E10" s="43" t="s">
        <v>305</v>
      </c>
      <c r="F10" s="43" t="s">
        <v>305</v>
      </c>
      <c r="G10" s="43" t="s">
        <v>305</v>
      </c>
      <c r="H10" s="53" t="s">
        <v>304</v>
      </c>
      <c r="I10" s="43" t="s">
        <v>305</v>
      </c>
      <c r="J10" s="49" t="s">
        <v>312</v>
      </c>
    </row>
    <row r="11" spans="1:255">
      <c r="A11" s="98" t="s">
        <v>319</v>
      </c>
      <c r="B11" s="43" t="s">
        <v>305</v>
      </c>
      <c r="C11" s="43" t="s">
        <v>305</v>
      </c>
      <c r="D11" s="43" t="s">
        <v>305</v>
      </c>
      <c r="E11" s="43" t="s">
        <v>305</v>
      </c>
      <c r="F11" s="43" t="s">
        <v>305</v>
      </c>
      <c r="G11" s="43" t="s">
        <v>305</v>
      </c>
      <c r="H11" s="53" t="s">
        <v>304</v>
      </c>
      <c r="I11" s="43" t="s">
        <v>305</v>
      </c>
      <c r="J11" s="49" t="s">
        <v>312</v>
      </c>
    </row>
    <row r="12" spans="1:255">
      <c r="A12" s="98" t="s">
        <v>320</v>
      </c>
      <c r="B12" s="43" t="s">
        <v>305</v>
      </c>
      <c r="C12" s="43" t="s">
        <v>305</v>
      </c>
      <c r="D12" s="43" t="s">
        <v>305</v>
      </c>
      <c r="E12" s="43" t="s">
        <v>305</v>
      </c>
      <c r="F12" s="43" t="s">
        <v>305</v>
      </c>
      <c r="G12" s="43" t="s">
        <v>305</v>
      </c>
      <c r="H12" s="53" t="s">
        <v>304</v>
      </c>
      <c r="I12" s="43" t="s">
        <v>305</v>
      </c>
      <c r="J12" s="49" t="s">
        <v>312</v>
      </c>
    </row>
    <row r="13" spans="1:255">
      <c r="A13" s="98" t="s">
        <v>321</v>
      </c>
      <c r="B13" s="43" t="s">
        <v>305</v>
      </c>
      <c r="C13" s="43" t="s">
        <v>305</v>
      </c>
      <c r="D13" s="43" t="s">
        <v>305</v>
      </c>
      <c r="E13" s="43" t="s">
        <v>305</v>
      </c>
      <c r="F13" s="43" t="s">
        <v>305</v>
      </c>
      <c r="G13" s="43" t="s">
        <v>305</v>
      </c>
      <c r="H13" s="53" t="s">
        <v>304</v>
      </c>
      <c r="I13" s="43" t="s">
        <v>305</v>
      </c>
      <c r="J13" s="49" t="s">
        <v>312</v>
      </c>
    </row>
    <row r="14" spans="1:255">
      <c r="A14" s="98" t="s">
        <v>322</v>
      </c>
      <c r="B14" s="53"/>
      <c r="C14" s="53"/>
      <c r="D14" s="53"/>
      <c r="E14" s="53"/>
      <c r="F14" s="53"/>
      <c r="G14" s="53"/>
      <c r="H14" s="53"/>
      <c r="I14" s="53"/>
      <c r="J14" s="44" t="s">
        <v>323</v>
      </c>
      <c r="K14" s="44" t="s">
        <v>686</v>
      </c>
      <c r="L14" s="46"/>
      <c r="M14" s="46"/>
      <c r="N14" s="53"/>
      <c r="O14" s="53"/>
      <c r="P14" s="53"/>
      <c r="Q14" s="53"/>
      <c r="R14" s="53"/>
      <c r="S14" s="53"/>
      <c r="T14" s="4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43"/>
      <c r="CC14" s="43"/>
      <c r="CD14" s="43"/>
      <c r="CE14" s="43"/>
      <c r="CF14" s="43"/>
      <c r="CG14" s="43"/>
      <c r="CH14" s="53"/>
      <c r="CI14" s="43"/>
      <c r="CJ14" s="49"/>
    </row>
    <row r="15" spans="1:255">
      <c r="A15" s="98" t="s">
        <v>324</v>
      </c>
      <c r="B15" s="43" t="s">
        <v>305</v>
      </c>
      <c r="C15" s="43" t="s">
        <v>305</v>
      </c>
      <c r="D15" s="43" t="s">
        <v>305</v>
      </c>
      <c r="E15" s="43" t="s">
        <v>305</v>
      </c>
      <c r="F15" s="43" t="s">
        <v>305</v>
      </c>
      <c r="G15" s="43" t="s">
        <v>305</v>
      </c>
      <c r="H15" s="53" t="s">
        <v>304</v>
      </c>
      <c r="I15" s="43" t="s">
        <v>305</v>
      </c>
      <c r="J15" s="49" t="s">
        <v>312</v>
      </c>
    </row>
    <row r="16" spans="1:255">
      <c r="A16" s="98" t="s">
        <v>1305</v>
      </c>
      <c r="B16" s="43" t="s">
        <v>305</v>
      </c>
      <c r="C16" s="43" t="s">
        <v>305</v>
      </c>
      <c r="D16" s="43" t="s">
        <v>305</v>
      </c>
      <c r="E16" s="43" t="s">
        <v>305</v>
      </c>
      <c r="F16" s="53" t="s">
        <v>304</v>
      </c>
      <c r="G16" s="43" t="s">
        <v>305</v>
      </c>
      <c r="H16" s="53" t="s">
        <v>304</v>
      </c>
      <c r="I16" s="43" t="s">
        <v>305</v>
      </c>
      <c r="J16" s="49" t="s">
        <v>1351</v>
      </c>
      <c r="K16" s="47">
        <v>6</v>
      </c>
    </row>
    <row r="17" spans="1:255">
      <c r="A17" s="100" t="s">
        <v>325</v>
      </c>
      <c r="B17" s="53" t="s">
        <v>304</v>
      </c>
      <c r="C17" s="53" t="s">
        <v>304</v>
      </c>
      <c r="D17" s="53" t="s">
        <v>304</v>
      </c>
      <c r="E17" s="53" t="s">
        <v>304</v>
      </c>
      <c r="F17" s="43" t="s">
        <v>305</v>
      </c>
      <c r="G17" s="43" t="s">
        <v>305</v>
      </c>
      <c r="H17" s="53" t="s">
        <v>304</v>
      </c>
      <c r="I17" s="43" t="s">
        <v>305</v>
      </c>
      <c r="J17" s="49" t="s">
        <v>297</v>
      </c>
    </row>
    <row r="18" spans="1:255">
      <c r="A18" s="100" t="s">
        <v>326</v>
      </c>
      <c r="B18" s="53" t="s">
        <v>304</v>
      </c>
      <c r="C18" s="53" t="s">
        <v>304</v>
      </c>
      <c r="D18" s="53" t="s">
        <v>304</v>
      </c>
      <c r="E18" s="53" t="s">
        <v>304</v>
      </c>
      <c r="F18" s="43" t="s">
        <v>305</v>
      </c>
      <c r="G18" s="43" t="s">
        <v>305</v>
      </c>
      <c r="H18" s="53" t="s">
        <v>304</v>
      </c>
      <c r="I18" s="43" t="s">
        <v>305</v>
      </c>
      <c r="J18" s="49" t="s">
        <v>297</v>
      </c>
      <c r="K18" s="44"/>
      <c r="L18" s="46"/>
      <c r="M18" s="46"/>
    </row>
    <row r="19" spans="1:255">
      <c r="A19" s="98" t="s">
        <v>327</v>
      </c>
      <c r="B19" s="43" t="s">
        <v>304</v>
      </c>
      <c r="C19" s="43" t="s">
        <v>304</v>
      </c>
      <c r="D19" s="43" t="s">
        <v>304</v>
      </c>
      <c r="E19" s="43" t="s">
        <v>305</v>
      </c>
      <c r="F19" s="43" t="s">
        <v>305</v>
      </c>
      <c r="G19" s="43" t="s">
        <v>305</v>
      </c>
      <c r="H19" s="43" t="s">
        <v>305</v>
      </c>
      <c r="I19" s="43" t="s">
        <v>305</v>
      </c>
      <c r="J19" s="44" t="s">
        <v>306</v>
      </c>
      <c r="K19" s="45" t="s">
        <v>328</v>
      </c>
      <c r="L19" s="46"/>
      <c r="M19" s="46"/>
    </row>
    <row r="20" spans="1:255">
      <c r="A20" s="98" t="s">
        <v>329</v>
      </c>
      <c r="B20" s="43" t="s">
        <v>304</v>
      </c>
      <c r="C20" s="53" t="s">
        <v>304</v>
      </c>
      <c r="D20" s="53" t="s">
        <v>304</v>
      </c>
      <c r="E20" s="43" t="s">
        <v>305</v>
      </c>
      <c r="F20" s="43" t="s">
        <v>305</v>
      </c>
      <c r="G20" s="43" t="s">
        <v>305</v>
      </c>
      <c r="H20" s="43" t="s">
        <v>305</v>
      </c>
      <c r="I20" s="43" t="s">
        <v>305</v>
      </c>
      <c r="J20" s="49" t="s">
        <v>330</v>
      </c>
      <c r="K20" s="47">
        <v>28</v>
      </c>
    </row>
    <row r="21" spans="1:255">
      <c r="A21" s="98" t="s">
        <v>331</v>
      </c>
      <c r="B21" s="43" t="s">
        <v>304</v>
      </c>
      <c r="C21" s="43" t="s">
        <v>304</v>
      </c>
      <c r="D21" s="43" t="s">
        <v>304</v>
      </c>
      <c r="E21" s="43" t="s">
        <v>304</v>
      </c>
      <c r="F21" s="43" t="s">
        <v>305</v>
      </c>
      <c r="G21" s="43" t="s">
        <v>305</v>
      </c>
      <c r="H21" s="43" t="s">
        <v>304</v>
      </c>
      <c r="I21" s="43" t="s">
        <v>305</v>
      </c>
      <c r="J21" s="44" t="s">
        <v>306</v>
      </c>
      <c r="K21" s="45" t="s">
        <v>332</v>
      </c>
      <c r="L21" s="46"/>
      <c r="M21" s="46"/>
    </row>
    <row r="22" spans="1:255">
      <c r="A22" s="98" t="s">
        <v>333</v>
      </c>
      <c r="B22" s="43" t="s">
        <v>304</v>
      </c>
      <c r="C22" s="43" t="s">
        <v>304</v>
      </c>
      <c r="D22" s="43" t="s">
        <v>304</v>
      </c>
      <c r="E22" s="43" t="s">
        <v>304</v>
      </c>
      <c r="F22" s="43" t="s">
        <v>305</v>
      </c>
      <c r="G22" s="43" t="s">
        <v>305</v>
      </c>
      <c r="H22" s="43" t="s">
        <v>305</v>
      </c>
      <c r="I22" s="43" t="s">
        <v>305</v>
      </c>
      <c r="J22" s="44" t="s">
        <v>306</v>
      </c>
      <c r="K22" s="45" t="s">
        <v>334</v>
      </c>
      <c r="L22" s="46"/>
      <c r="M22" s="46"/>
    </row>
    <row r="23" spans="1:255">
      <c r="A23" s="98" t="s">
        <v>335</v>
      </c>
      <c r="B23" s="43" t="s">
        <v>304</v>
      </c>
      <c r="C23" s="43" t="s">
        <v>304</v>
      </c>
      <c r="D23" s="43" t="s">
        <v>304</v>
      </c>
      <c r="E23" s="43" t="s">
        <v>304</v>
      </c>
      <c r="F23" s="43" t="s">
        <v>304</v>
      </c>
      <c r="G23" s="43" t="s">
        <v>305</v>
      </c>
      <c r="H23" s="43" t="s">
        <v>304</v>
      </c>
      <c r="I23" s="43" t="s">
        <v>305</v>
      </c>
      <c r="J23" s="44" t="s">
        <v>306</v>
      </c>
      <c r="K23" s="44" t="s">
        <v>336</v>
      </c>
      <c r="L23" s="46"/>
      <c r="M23" s="46"/>
    </row>
    <row r="24" spans="1:255">
      <c r="A24" s="98" t="s">
        <v>337</v>
      </c>
      <c r="B24" s="43" t="s">
        <v>304</v>
      </c>
      <c r="C24" s="53" t="s">
        <v>304</v>
      </c>
      <c r="D24" s="53" t="s">
        <v>304</v>
      </c>
      <c r="E24" s="43" t="s">
        <v>305</v>
      </c>
      <c r="F24" s="43" t="s">
        <v>305</v>
      </c>
      <c r="G24" s="43" t="s">
        <v>305</v>
      </c>
      <c r="H24" s="43" t="s">
        <v>305</v>
      </c>
      <c r="I24" s="43" t="s">
        <v>305</v>
      </c>
      <c r="J24" s="49" t="s">
        <v>330</v>
      </c>
      <c r="K24" s="47">
        <v>30</v>
      </c>
    </row>
    <row r="25" spans="1:255">
      <c r="A25" s="98" t="s">
        <v>338</v>
      </c>
      <c r="B25" s="43" t="s">
        <v>304</v>
      </c>
      <c r="C25" s="53" t="s">
        <v>304</v>
      </c>
      <c r="D25" s="53" t="s">
        <v>304</v>
      </c>
      <c r="E25" s="43" t="s">
        <v>305</v>
      </c>
      <c r="F25" s="43" t="s">
        <v>305</v>
      </c>
      <c r="G25" s="43" t="s">
        <v>305</v>
      </c>
      <c r="H25" s="43" t="s">
        <v>305</v>
      </c>
      <c r="I25" s="53" t="s">
        <v>339</v>
      </c>
      <c r="J25" s="49" t="s">
        <v>340</v>
      </c>
      <c r="K25" s="47">
        <v>28</v>
      </c>
    </row>
    <row r="26" spans="1:255">
      <c r="A26" s="100" t="s">
        <v>342</v>
      </c>
      <c r="J26" s="47" t="s">
        <v>343</v>
      </c>
      <c r="K26" s="44" t="s">
        <v>625</v>
      </c>
      <c r="L26" s="46"/>
      <c r="M26" s="46"/>
    </row>
    <row r="27" spans="1:255">
      <c r="A27" s="98" t="s">
        <v>344</v>
      </c>
      <c r="B27" s="43" t="s">
        <v>304</v>
      </c>
      <c r="C27" s="43" t="s">
        <v>304</v>
      </c>
      <c r="D27" s="43" t="s">
        <v>304</v>
      </c>
      <c r="E27" s="43" t="s">
        <v>304</v>
      </c>
      <c r="F27" s="43" t="s">
        <v>304</v>
      </c>
      <c r="G27" s="43" t="s">
        <v>305</v>
      </c>
      <c r="H27" s="43" t="s">
        <v>305</v>
      </c>
      <c r="I27" s="43" t="s">
        <v>305</v>
      </c>
      <c r="J27" s="49" t="s">
        <v>1341</v>
      </c>
      <c r="K27" s="44" t="s">
        <v>307</v>
      </c>
      <c r="L27" s="46"/>
      <c r="M27" s="46"/>
    </row>
    <row r="28" spans="1:255">
      <c r="A28" s="100" t="s">
        <v>345</v>
      </c>
      <c r="B28" s="50"/>
      <c r="C28" s="50"/>
      <c r="D28" s="50"/>
      <c r="E28" s="50"/>
      <c r="F28" s="50"/>
      <c r="G28" s="50"/>
      <c r="H28" s="50"/>
      <c r="I28" s="50"/>
      <c r="J28" s="51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57"/>
      <c r="DC28" s="57"/>
      <c r="DD28" s="57"/>
      <c r="DE28" s="57"/>
      <c r="DF28" s="57"/>
      <c r="DG28" s="57"/>
      <c r="DH28" s="57"/>
      <c r="DI28" s="57"/>
      <c r="DJ28" s="57"/>
      <c r="DK28" s="57"/>
      <c r="DL28" s="57"/>
      <c r="DM28" s="57"/>
      <c r="DN28" s="57"/>
      <c r="DO28" s="57"/>
      <c r="DP28" s="57"/>
      <c r="DQ28" s="57"/>
      <c r="DR28" s="57"/>
      <c r="DS28" s="57"/>
      <c r="DT28" s="57"/>
      <c r="DU28" s="57"/>
      <c r="DV28" s="57"/>
      <c r="DW28" s="57"/>
      <c r="DX28" s="57"/>
      <c r="DY28" s="57"/>
      <c r="DZ28" s="57"/>
      <c r="EA28" s="57"/>
      <c r="EB28" s="57"/>
      <c r="EC28" s="57"/>
      <c r="ED28" s="57"/>
      <c r="EE28" s="57"/>
      <c r="EF28" s="57"/>
      <c r="EG28" s="57"/>
      <c r="EH28" s="57"/>
      <c r="EI28" s="57"/>
      <c r="EJ28" s="57"/>
      <c r="EK28" s="57"/>
      <c r="EL28" s="57"/>
      <c r="EM28" s="57"/>
      <c r="EN28" s="57"/>
      <c r="EO28" s="57"/>
      <c r="EP28" s="57"/>
      <c r="EQ28" s="57"/>
      <c r="ER28" s="57"/>
      <c r="ES28" s="57"/>
      <c r="ET28" s="57"/>
      <c r="EU28" s="57"/>
      <c r="EV28" s="57"/>
      <c r="EW28" s="57"/>
      <c r="EX28" s="57"/>
      <c r="EY28" s="57"/>
      <c r="EZ28" s="57"/>
      <c r="FA28" s="57"/>
      <c r="FB28" s="57"/>
      <c r="FC28" s="57"/>
      <c r="FD28" s="57"/>
      <c r="FE28" s="57"/>
      <c r="FF28" s="57"/>
      <c r="FG28" s="57"/>
      <c r="FH28" s="57"/>
      <c r="FI28" s="57"/>
      <c r="FJ28" s="57"/>
      <c r="FK28" s="57"/>
      <c r="FL28" s="57"/>
      <c r="FM28" s="57"/>
      <c r="FN28" s="57"/>
      <c r="FO28" s="57"/>
      <c r="FP28" s="57"/>
      <c r="FQ28" s="57"/>
      <c r="FR28" s="57"/>
      <c r="FS28" s="57"/>
      <c r="FT28" s="57"/>
      <c r="FU28" s="57"/>
      <c r="FV28" s="57"/>
      <c r="FW28" s="57"/>
      <c r="FX28" s="57"/>
      <c r="FY28" s="57"/>
      <c r="FZ28" s="57"/>
      <c r="GA28" s="57"/>
      <c r="GB28" s="57"/>
      <c r="GC28" s="57"/>
      <c r="GD28" s="57"/>
      <c r="GE28" s="57"/>
      <c r="GF28" s="57"/>
      <c r="GG28" s="57"/>
      <c r="GH28" s="57"/>
      <c r="GI28" s="57"/>
      <c r="GJ28" s="57"/>
      <c r="GK28" s="57"/>
      <c r="GL28" s="57"/>
      <c r="GM28" s="57"/>
      <c r="GN28" s="57"/>
      <c r="GO28" s="57"/>
      <c r="GP28" s="57"/>
      <c r="GQ28" s="57"/>
      <c r="GR28" s="57"/>
      <c r="GS28" s="57"/>
      <c r="GT28" s="57"/>
      <c r="GU28" s="57"/>
      <c r="GV28" s="57"/>
      <c r="GW28" s="57"/>
      <c r="GX28" s="57"/>
      <c r="GY28" s="57"/>
      <c r="GZ28" s="57"/>
      <c r="HA28" s="57"/>
      <c r="HB28" s="57"/>
      <c r="HC28" s="57"/>
      <c r="HD28" s="57"/>
      <c r="HE28" s="57"/>
      <c r="HF28" s="57"/>
      <c r="HG28" s="57"/>
      <c r="HH28" s="57"/>
      <c r="HI28" s="57"/>
      <c r="HJ28" s="57"/>
      <c r="HK28" s="57"/>
      <c r="HL28" s="57"/>
      <c r="HM28" s="57"/>
      <c r="HN28" s="57"/>
      <c r="HO28" s="57"/>
      <c r="HP28" s="57"/>
      <c r="HQ28" s="57"/>
      <c r="HR28" s="57"/>
      <c r="HS28" s="57"/>
      <c r="HT28" s="57"/>
      <c r="HU28" s="57"/>
      <c r="HV28" s="57"/>
      <c r="HW28" s="57"/>
      <c r="HX28" s="57"/>
      <c r="HY28" s="57"/>
      <c r="HZ28" s="57"/>
      <c r="IA28" s="57"/>
      <c r="IB28" s="57"/>
      <c r="IC28" s="57"/>
      <c r="ID28" s="57"/>
      <c r="IE28" s="57"/>
      <c r="IF28" s="57"/>
      <c r="IG28" s="57"/>
      <c r="IH28" s="57"/>
      <c r="II28" s="57"/>
      <c r="IJ28" s="57"/>
      <c r="IK28" s="57"/>
      <c r="IL28" s="57"/>
      <c r="IM28" s="57"/>
      <c r="IN28" s="57"/>
      <c r="IO28" s="57"/>
      <c r="IP28" s="57"/>
      <c r="IQ28" s="57"/>
      <c r="IR28" s="57"/>
      <c r="IS28" s="57"/>
      <c r="IT28" s="57"/>
      <c r="IU28" s="57"/>
    </row>
    <row r="29" spans="1:255">
      <c r="A29" s="98" t="s">
        <v>346</v>
      </c>
      <c r="B29" s="46" t="s">
        <v>305</v>
      </c>
      <c r="C29" s="43" t="s">
        <v>305</v>
      </c>
      <c r="D29" s="43" t="s">
        <v>305</v>
      </c>
      <c r="E29" s="43" t="s">
        <v>305</v>
      </c>
      <c r="F29" s="43" t="s">
        <v>305</v>
      </c>
      <c r="G29" s="43" t="s">
        <v>305</v>
      </c>
      <c r="H29" s="43" t="s">
        <v>305</v>
      </c>
      <c r="I29" s="43" t="s">
        <v>347</v>
      </c>
      <c r="J29" s="49" t="s">
        <v>348</v>
      </c>
      <c r="K29" s="42"/>
      <c r="L29" s="53"/>
      <c r="M29" s="53"/>
    </row>
    <row r="30" spans="1:255">
      <c r="A30" s="98" t="s">
        <v>349</v>
      </c>
      <c r="B30" s="43" t="s">
        <v>305</v>
      </c>
      <c r="C30" s="43" t="s">
        <v>305</v>
      </c>
      <c r="D30" s="43" t="s">
        <v>305</v>
      </c>
      <c r="E30" s="43" t="s">
        <v>305</v>
      </c>
      <c r="F30" s="43" t="s">
        <v>305</v>
      </c>
      <c r="G30" s="43" t="s">
        <v>305</v>
      </c>
      <c r="H30" s="43" t="s">
        <v>305</v>
      </c>
      <c r="I30" s="43" t="s">
        <v>347</v>
      </c>
      <c r="J30" s="49" t="s">
        <v>348</v>
      </c>
      <c r="K30" s="44"/>
      <c r="L30" s="46"/>
      <c r="M30" s="46"/>
    </row>
    <row r="31" spans="1:255">
      <c r="A31" s="98" t="s">
        <v>350</v>
      </c>
      <c r="B31" s="43" t="s">
        <v>305</v>
      </c>
      <c r="C31" s="43" t="s">
        <v>305</v>
      </c>
      <c r="D31" s="43" t="s">
        <v>305</v>
      </c>
      <c r="E31" s="43" t="s">
        <v>305</v>
      </c>
      <c r="F31" s="43" t="s">
        <v>305</v>
      </c>
      <c r="G31" s="43" t="s">
        <v>305</v>
      </c>
      <c r="H31" s="43" t="s">
        <v>305</v>
      </c>
      <c r="I31" s="43" t="s">
        <v>347</v>
      </c>
      <c r="J31" s="49" t="s">
        <v>348</v>
      </c>
      <c r="K31" s="44"/>
      <c r="L31" s="46"/>
      <c r="M31" s="46"/>
    </row>
    <row r="32" spans="1:255">
      <c r="A32" s="98" t="s">
        <v>351</v>
      </c>
      <c r="B32" s="43" t="s">
        <v>305</v>
      </c>
      <c r="C32" s="43" t="s">
        <v>305</v>
      </c>
      <c r="D32" s="43" t="s">
        <v>305</v>
      </c>
      <c r="E32" s="43" t="s">
        <v>305</v>
      </c>
      <c r="F32" s="43" t="s">
        <v>305</v>
      </c>
      <c r="G32" s="43" t="s">
        <v>305</v>
      </c>
      <c r="H32" s="43" t="s">
        <v>305</v>
      </c>
      <c r="I32" s="43" t="s">
        <v>347</v>
      </c>
      <c r="J32" s="49" t="s">
        <v>348</v>
      </c>
    </row>
    <row r="33" spans="1:13">
      <c r="A33" s="98" t="s">
        <v>352</v>
      </c>
      <c r="B33" s="43" t="s">
        <v>305</v>
      </c>
      <c r="C33" s="43" t="s">
        <v>305</v>
      </c>
      <c r="D33" s="43" t="s">
        <v>305</v>
      </c>
      <c r="E33" s="43" t="s">
        <v>305</v>
      </c>
      <c r="F33" s="43" t="s">
        <v>305</v>
      </c>
      <c r="G33" s="43" t="s">
        <v>305</v>
      </c>
      <c r="H33" s="43" t="s">
        <v>305</v>
      </c>
      <c r="I33" s="43" t="s">
        <v>347</v>
      </c>
      <c r="J33" s="49" t="s">
        <v>348</v>
      </c>
    </row>
    <row r="34" spans="1:13">
      <c r="A34" s="98" t="s">
        <v>353</v>
      </c>
      <c r="B34" s="43" t="s">
        <v>305</v>
      </c>
      <c r="C34" s="43" t="s">
        <v>305</v>
      </c>
      <c r="D34" s="43" t="s">
        <v>305</v>
      </c>
      <c r="E34" s="43" t="s">
        <v>305</v>
      </c>
      <c r="F34" s="43" t="s">
        <v>305</v>
      </c>
      <c r="G34" s="43" t="s">
        <v>305</v>
      </c>
      <c r="H34" s="43" t="s">
        <v>305</v>
      </c>
      <c r="I34" s="43" t="s">
        <v>347</v>
      </c>
      <c r="J34" s="49" t="s">
        <v>354</v>
      </c>
      <c r="K34" s="47">
        <v>61</v>
      </c>
    </row>
    <row r="35" spans="1:13">
      <c r="A35" s="98" t="s">
        <v>355</v>
      </c>
      <c r="B35" s="43" t="s">
        <v>305</v>
      </c>
      <c r="C35" s="43" t="s">
        <v>305</v>
      </c>
      <c r="D35" s="43" t="s">
        <v>305</v>
      </c>
      <c r="E35" s="43" t="s">
        <v>305</v>
      </c>
      <c r="F35" s="43" t="s">
        <v>305</v>
      </c>
      <c r="G35" s="43" t="s">
        <v>305</v>
      </c>
      <c r="H35" s="43" t="s">
        <v>305</v>
      </c>
      <c r="I35" s="43" t="s">
        <v>347</v>
      </c>
      <c r="J35" s="49" t="s">
        <v>348</v>
      </c>
    </row>
    <row r="36" spans="1:13">
      <c r="A36" s="98" t="s">
        <v>356</v>
      </c>
      <c r="B36" s="43" t="s">
        <v>305</v>
      </c>
      <c r="C36" s="43" t="s">
        <v>305</v>
      </c>
      <c r="D36" s="43" t="s">
        <v>305</v>
      </c>
      <c r="E36" s="43" t="s">
        <v>305</v>
      </c>
      <c r="F36" s="43" t="s">
        <v>305</v>
      </c>
      <c r="G36" s="43" t="s">
        <v>305</v>
      </c>
      <c r="H36" s="43" t="s">
        <v>305</v>
      </c>
      <c r="I36" s="43" t="s">
        <v>347</v>
      </c>
      <c r="J36" s="49" t="s">
        <v>348</v>
      </c>
      <c r="K36" s="44"/>
      <c r="L36" s="46"/>
      <c r="M36" s="46"/>
    </row>
    <row r="37" spans="1:13">
      <c r="A37" s="98" t="s">
        <v>357</v>
      </c>
      <c r="B37" s="43" t="s">
        <v>305</v>
      </c>
      <c r="C37" s="43" t="s">
        <v>305</v>
      </c>
      <c r="D37" s="43" t="s">
        <v>305</v>
      </c>
      <c r="E37" s="43" t="s">
        <v>305</v>
      </c>
      <c r="F37" s="43" t="s">
        <v>305</v>
      </c>
      <c r="G37" s="43" t="s">
        <v>305</v>
      </c>
      <c r="H37" s="43" t="s">
        <v>305</v>
      </c>
      <c r="I37" s="43" t="s">
        <v>347</v>
      </c>
      <c r="J37" s="49" t="s">
        <v>354</v>
      </c>
      <c r="K37" s="47">
        <v>61</v>
      </c>
    </row>
    <row r="38" spans="1:13">
      <c r="A38" s="98" t="s">
        <v>358</v>
      </c>
      <c r="B38" s="43" t="s">
        <v>305</v>
      </c>
      <c r="C38" s="43" t="s">
        <v>305</v>
      </c>
      <c r="D38" s="43" t="s">
        <v>305</v>
      </c>
      <c r="E38" s="43" t="s">
        <v>305</v>
      </c>
      <c r="F38" s="43" t="s">
        <v>305</v>
      </c>
      <c r="G38" s="43" t="s">
        <v>305</v>
      </c>
      <c r="H38" s="43" t="s">
        <v>305</v>
      </c>
      <c r="I38" s="43" t="s">
        <v>347</v>
      </c>
      <c r="J38" s="49" t="s">
        <v>348</v>
      </c>
      <c r="K38" s="44"/>
      <c r="L38" s="46"/>
      <c r="M38" s="46"/>
    </row>
    <row r="39" spans="1:13">
      <c r="A39" s="98" t="s">
        <v>359</v>
      </c>
      <c r="B39" s="43" t="s">
        <v>305</v>
      </c>
      <c r="C39" s="43" t="s">
        <v>305</v>
      </c>
      <c r="D39" s="43" t="s">
        <v>305</v>
      </c>
      <c r="E39" s="43" t="s">
        <v>305</v>
      </c>
      <c r="F39" s="43" t="s">
        <v>305</v>
      </c>
      <c r="G39" s="43" t="s">
        <v>305</v>
      </c>
      <c r="H39" s="43" t="s">
        <v>305</v>
      </c>
      <c r="I39" s="43" t="s">
        <v>347</v>
      </c>
      <c r="J39" s="49" t="s">
        <v>348</v>
      </c>
      <c r="K39" s="44"/>
      <c r="L39" s="46"/>
      <c r="M39" s="46"/>
    </row>
    <row r="40" spans="1:13">
      <c r="A40" s="98" t="s">
        <v>360</v>
      </c>
      <c r="B40" s="43" t="s">
        <v>305</v>
      </c>
      <c r="C40" s="43" t="s">
        <v>305</v>
      </c>
      <c r="D40" s="43" t="s">
        <v>305</v>
      </c>
      <c r="E40" s="43" t="s">
        <v>305</v>
      </c>
      <c r="F40" s="43" t="s">
        <v>305</v>
      </c>
      <c r="G40" s="43" t="s">
        <v>305</v>
      </c>
      <c r="H40" s="43" t="s">
        <v>305</v>
      </c>
      <c r="I40" s="43" t="s">
        <v>347</v>
      </c>
      <c r="J40" s="49" t="s">
        <v>348</v>
      </c>
      <c r="K40" s="44"/>
      <c r="L40" s="46"/>
      <c r="M40" s="46"/>
    </row>
    <row r="41" spans="1:13">
      <c r="A41" s="98" t="s">
        <v>361</v>
      </c>
      <c r="B41" s="43" t="s">
        <v>305</v>
      </c>
      <c r="C41" s="43" t="s">
        <v>305</v>
      </c>
      <c r="D41" s="43" t="s">
        <v>305</v>
      </c>
      <c r="E41" s="43" t="s">
        <v>305</v>
      </c>
      <c r="F41" s="43" t="s">
        <v>305</v>
      </c>
      <c r="G41" s="43" t="s">
        <v>305</v>
      </c>
      <c r="H41" s="43" t="s">
        <v>305</v>
      </c>
      <c r="I41" s="43" t="s">
        <v>347</v>
      </c>
      <c r="J41" s="49" t="s">
        <v>354</v>
      </c>
      <c r="K41" s="47">
        <v>61</v>
      </c>
    </row>
    <row r="42" spans="1:13">
      <c r="A42" s="98" t="s">
        <v>362</v>
      </c>
      <c r="B42" s="43" t="s">
        <v>305</v>
      </c>
      <c r="C42" s="43" t="s">
        <v>305</v>
      </c>
      <c r="D42" s="43" t="s">
        <v>305</v>
      </c>
      <c r="E42" s="43" t="s">
        <v>305</v>
      </c>
      <c r="F42" s="43" t="s">
        <v>305</v>
      </c>
      <c r="G42" s="43" t="s">
        <v>305</v>
      </c>
      <c r="H42" s="43" t="s">
        <v>305</v>
      </c>
      <c r="I42" s="43" t="s">
        <v>347</v>
      </c>
      <c r="J42" s="49" t="s">
        <v>354</v>
      </c>
      <c r="K42" s="47">
        <v>61</v>
      </c>
    </row>
    <row r="43" spans="1:13">
      <c r="A43" s="98" t="s">
        <v>363</v>
      </c>
      <c r="B43" s="43" t="s">
        <v>305</v>
      </c>
      <c r="C43" s="43" t="s">
        <v>305</v>
      </c>
      <c r="D43" s="43" t="s">
        <v>305</v>
      </c>
      <c r="E43" s="43" t="s">
        <v>305</v>
      </c>
      <c r="F43" s="43" t="s">
        <v>305</v>
      </c>
      <c r="G43" s="43" t="s">
        <v>305</v>
      </c>
      <c r="H43" s="43" t="s">
        <v>305</v>
      </c>
      <c r="I43" s="43" t="s">
        <v>347</v>
      </c>
      <c r="J43" s="49" t="s">
        <v>348</v>
      </c>
    </row>
    <row r="44" spans="1:13">
      <c r="A44" s="98" t="s">
        <v>364</v>
      </c>
      <c r="B44" s="43" t="s">
        <v>305</v>
      </c>
      <c r="C44" s="43" t="s">
        <v>305</v>
      </c>
      <c r="D44" s="43" t="s">
        <v>305</v>
      </c>
      <c r="E44" s="43" t="s">
        <v>305</v>
      </c>
      <c r="F44" s="43" t="s">
        <v>305</v>
      </c>
      <c r="G44" s="43" t="s">
        <v>305</v>
      </c>
      <c r="H44" s="43" t="s">
        <v>305</v>
      </c>
      <c r="I44" s="43" t="s">
        <v>347</v>
      </c>
      <c r="J44" s="49" t="s">
        <v>348</v>
      </c>
    </row>
    <row r="45" spans="1:13">
      <c r="A45" s="98" t="s">
        <v>365</v>
      </c>
      <c r="B45" s="43" t="s">
        <v>305</v>
      </c>
      <c r="C45" s="43" t="s">
        <v>305</v>
      </c>
      <c r="D45" s="43" t="s">
        <v>305</v>
      </c>
      <c r="E45" s="43" t="s">
        <v>305</v>
      </c>
      <c r="F45" s="43" t="s">
        <v>305</v>
      </c>
      <c r="G45" s="43" t="s">
        <v>305</v>
      </c>
      <c r="H45" s="43" t="s">
        <v>305</v>
      </c>
      <c r="I45" s="43" t="s">
        <v>347</v>
      </c>
      <c r="J45" s="49" t="s">
        <v>354</v>
      </c>
      <c r="K45" s="47">
        <v>61</v>
      </c>
    </row>
    <row r="46" spans="1:13">
      <c r="A46" s="98" t="s">
        <v>366</v>
      </c>
      <c r="B46" s="43" t="s">
        <v>305</v>
      </c>
      <c r="C46" s="43" t="s">
        <v>305</v>
      </c>
      <c r="D46" s="43" t="s">
        <v>305</v>
      </c>
      <c r="E46" s="43" t="s">
        <v>305</v>
      </c>
      <c r="F46" s="43" t="s">
        <v>305</v>
      </c>
      <c r="G46" s="43" t="s">
        <v>305</v>
      </c>
      <c r="H46" s="43" t="s">
        <v>305</v>
      </c>
      <c r="I46" s="43" t="s">
        <v>347</v>
      </c>
      <c r="J46" s="49" t="s">
        <v>348</v>
      </c>
    </row>
    <row r="47" spans="1:13">
      <c r="A47" s="98" t="s">
        <v>367</v>
      </c>
      <c r="B47" s="43" t="s">
        <v>305</v>
      </c>
      <c r="C47" s="43" t="s">
        <v>305</v>
      </c>
      <c r="D47" s="43" t="s">
        <v>305</v>
      </c>
      <c r="E47" s="43" t="s">
        <v>305</v>
      </c>
      <c r="F47" s="43" t="s">
        <v>305</v>
      </c>
      <c r="G47" s="43" t="s">
        <v>305</v>
      </c>
      <c r="H47" s="43" t="s">
        <v>305</v>
      </c>
      <c r="I47" s="43" t="s">
        <v>347</v>
      </c>
      <c r="J47" s="49" t="s">
        <v>354</v>
      </c>
      <c r="K47" s="47">
        <v>61</v>
      </c>
    </row>
    <row r="48" spans="1:13">
      <c r="A48" s="98" t="s">
        <v>368</v>
      </c>
      <c r="B48" s="43" t="s">
        <v>305</v>
      </c>
      <c r="C48" s="43" t="s">
        <v>305</v>
      </c>
      <c r="D48" s="43" t="s">
        <v>305</v>
      </c>
      <c r="E48" s="43" t="s">
        <v>305</v>
      </c>
      <c r="F48" s="43" t="s">
        <v>305</v>
      </c>
      <c r="G48" s="43" t="s">
        <v>305</v>
      </c>
      <c r="H48" s="43" t="s">
        <v>305</v>
      </c>
      <c r="I48" s="43" t="s">
        <v>347</v>
      </c>
      <c r="J48" s="49" t="s">
        <v>348</v>
      </c>
    </row>
    <row r="49" spans="1:255">
      <c r="A49" s="98" t="s">
        <v>369</v>
      </c>
      <c r="B49" s="43" t="s">
        <v>305</v>
      </c>
      <c r="C49" s="43" t="s">
        <v>305</v>
      </c>
      <c r="D49" s="43" t="s">
        <v>305</v>
      </c>
      <c r="E49" s="43" t="s">
        <v>305</v>
      </c>
      <c r="F49" s="43" t="s">
        <v>305</v>
      </c>
      <c r="G49" s="43" t="s">
        <v>305</v>
      </c>
      <c r="H49" s="43" t="s">
        <v>305</v>
      </c>
      <c r="I49" s="43" t="s">
        <v>347</v>
      </c>
      <c r="J49" s="49" t="s">
        <v>348</v>
      </c>
    </row>
    <row r="50" spans="1:255">
      <c r="A50" s="98" t="s">
        <v>370</v>
      </c>
      <c r="B50" s="43" t="s">
        <v>305</v>
      </c>
      <c r="C50" s="43" t="s">
        <v>305</v>
      </c>
      <c r="D50" s="43" t="s">
        <v>305</v>
      </c>
      <c r="E50" s="43" t="s">
        <v>305</v>
      </c>
      <c r="F50" s="43" t="s">
        <v>305</v>
      </c>
      <c r="G50" s="43" t="s">
        <v>305</v>
      </c>
      <c r="H50" s="43" t="s">
        <v>305</v>
      </c>
      <c r="I50" s="43" t="s">
        <v>347</v>
      </c>
      <c r="J50" s="49" t="s">
        <v>354</v>
      </c>
      <c r="K50" s="47">
        <v>61</v>
      </c>
    </row>
    <row r="51" spans="1:255">
      <c r="A51" s="98" t="s">
        <v>372</v>
      </c>
      <c r="B51" s="43" t="s">
        <v>305</v>
      </c>
      <c r="C51" s="43" t="s">
        <v>305</v>
      </c>
      <c r="D51" s="43" t="s">
        <v>305</v>
      </c>
      <c r="E51" s="43" t="s">
        <v>305</v>
      </c>
      <c r="F51" s="43" t="s">
        <v>304</v>
      </c>
      <c r="G51" s="43" t="s">
        <v>305</v>
      </c>
      <c r="H51" s="43" t="s">
        <v>305</v>
      </c>
      <c r="I51" s="43" t="s">
        <v>305</v>
      </c>
      <c r="J51" s="49" t="s">
        <v>373</v>
      </c>
    </row>
    <row r="52" spans="1:255">
      <c r="A52" s="98" t="s">
        <v>374</v>
      </c>
      <c r="B52" s="43" t="s">
        <v>305</v>
      </c>
      <c r="C52" s="43" t="s">
        <v>304</v>
      </c>
      <c r="D52" s="43" t="s">
        <v>305</v>
      </c>
      <c r="E52" s="43" t="s">
        <v>305</v>
      </c>
      <c r="F52" s="43" t="s">
        <v>305</v>
      </c>
      <c r="G52" s="43" t="s">
        <v>305</v>
      </c>
      <c r="H52" s="43" t="s">
        <v>305</v>
      </c>
      <c r="I52" s="43" t="s">
        <v>375</v>
      </c>
      <c r="J52" s="49" t="s">
        <v>376</v>
      </c>
      <c r="K52" s="52"/>
      <c r="L52" s="46"/>
      <c r="M52" s="46"/>
    </row>
    <row r="53" spans="1:255">
      <c r="A53" s="98" t="s">
        <v>377</v>
      </c>
      <c r="B53" s="43" t="s">
        <v>305</v>
      </c>
      <c r="C53" s="43" t="s">
        <v>305</v>
      </c>
      <c r="D53" s="43" t="s">
        <v>305</v>
      </c>
      <c r="E53" s="43" t="s">
        <v>305</v>
      </c>
      <c r="F53" s="43" t="s">
        <v>305</v>
      </c>
      <c r="G53" s="43" t="s">
        <v>304</v>
      </c>
      <c r="H53" s="43" t="s">
        <v>305</v>
      </c>
      <c r="I53" s="43" t="s">
        <v>305</v>
      </c>
      <c r="J53" s="49" t="s">
        <v>1340</v>
      </c>
      <c r="K53" s="47">
        <v>3</v>
      </c>
      <c r="L53" s="49" t="s">
        <v>1347</v>
      </c>
    </row>
    <row r="54" spans="1:255">
      <c r="A54" s="97" t="s">
        <v>378</v>
      </c>
      <c r="B54" s="46" t="s">
        <v>305</v>
      </c>
      <c r="C54" s="46" t="s">
        <v>305</v>
      </c>
      <c r="D54" s="46" t="s">
        <v>305</v>
      </c>
      <c r="E54" s="46" t="s">
        <v>305</v>
      </c>
      <c r="F54" s="46" t="s">
        <v>305</v>
      </c>
      <c r="G54" s="46" t="s">
        <v>305</v>
      </c>
      <c r="H54" s="46" t="s">
        <v>305</v>
      </c>
      <c r="I54" s="155" t="s">
        <v>854</v>
      </c>
      <c r="J54" s="49" t="s">
        <v>1355</v>
      </c>
      <c r="K54" s="47">
        <v>15</v>
      </c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  <c r="AY54" s="58"/>
      <c r="AZ54" s="58"/>
      <c r="BA54" s="58"/>
      <c r="BB54" s="58"/>
      <c r="BC54" s="58"/>
      <c r="BD54" s="58"/>
      <c r="BE54" s="58"/>
      <c r="BF54" s="58"/>
      <c r="BG54" s="58"/>
      <c r="BH54" s="58"/>
      <c r="BI54" s="58"/>
      <c r="BJ54" s="58"/>
      <c r="BK54" s="58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8"/>
      <c r="BW54" s="58"/>
      <c r="BX54" s="58"/>
      <c r="BY54" s="58"/>
      <c r="BZ54" s="58"/>
      <c r="CA54" s="58"/>
      <c r="CB54" s="58"/>
      <c r="CC54" s="58"/>
      <c r="CD54" s="58"/>
      <c r="CE54" s="58"/>
      <c r="CF54" s="58"/>
      <c r="CG54" s="58"/>
      <c r="CH54" s="58"/>
      <c r="CI54" s="58"/>
      <c r="CJ54" s="58"/>
      <c r="CK54" s="58"/>
      <c r="CL54" s="58"/>
      <c r="CM54" s="58"/>
      <c r="CN54" s="58"/>
      <c r="CO54" s="58"/>
      <c r="CP54" s="58"/>
      <c r="CQ54" s="58"/>
      <c r="CR54" s="58"/>
      <c r="CS54" s="58"/>
      <c r="CT54" s="58"/>
      <c r="CU54" s="58"/>
      <c r="CV54" s="58"/>
      <c r="CW54" s="58"/>
      <c r="CX54" s="58"/>
      <c r="CY54" s="58"/>
      <c r="CZ54" s="58"/>
      <c r="DA54" s="58"/>
      <c r="DB54" s="58"/>
      <c r="DC54" s="58"/>
      <c r="DD54" s="58"/>
      <c r="DE54" s="58"/>
      <c r="DF54" s="58"/>
      <c r="DG54" s="58"/>
      <c r="DH54" s="58"/>
      <c r="DI54" s="58"/>
      <c r="DJ54" s="58"/>
      <c r="DK54" s="58"/>
      <c r="DL54" s="58"/>
      <c r="DM54" s="58"/>
      <c r="DN54" s="58"/>
      <c r="DO54" s="58"/>
      <c r="DP54" s="58"/>
      <c r="DQ54" s="58"/>
      <c r="DR54" s="58"/>
      <c r="DS54" s="58"/>
      <c r="DT54" s="58"/>
      <c r="DU54" s="58"/>
      <c r="DV54" s="58"/>
      <c r="DW54" s="58"/>
      <c r="DX54" s="58"/>
      <c r="DY54" s="58"/>
      <c r="DZ54" s="58"/>
      <c r="EA54" s="58"/>
      <c r="EB54" s="58"/>
      <c r="EC54" s="58"/>
      <c r="ED54" s="58"/>
      <c r="EE54" s="58"/>
      <c r="EF54" s="58"/>
      <c r="EG54" s="58"/>
      <c r="EH54" s="58"/>
      <c r="EI54" s="58"/>
      <c r="EJ54" s="58"/>
      <c r="EK54" s="58"/>
      <c r="EL54" s="58"/>
      <c r="EM54" s="58"/>
      <c r="EN54" s="58"/>
      <c r="EO54" s="58"/>
      <c r="EP54" s="58"/>
      <c r="EQ54" s="58"/>
      <c r="ER54" s="58"/>
      <c r="ES54" s="58"/>
      <c r="ET54" s="58"/>
      <c r="EU54" s="58"/>
      <c r="EV54" s="58"/>
      <c r="EW54" s="58"/>
      <c r="EX54" s="58"/>
      <c r="EY54" s="58"/>
      <c r="EZ54" s="58"/>
      <c r="FA54" s="58"/>
      <c r="FB54" s="58"/>
      <c r="FC54" s="58"/>
      <c r="FD54" s="58"/>
      <c r="FE54" s="58"/>
      <c r="FF54" s="58"/>
      <c r="FG54" s="58"/>
      <c r="FH54" s="58"/>
      <c r="FI54" s="58"/>
      <c r="FJ54" s="58"/>
      <c r="FK54" s="58"/>
      <c r="FL54" s="58"/>
      <c r="FM54" s="58"/>
      <c r="FN54" s="58"/>
      <c r="FO54" s="58"/>
      <c r="FP54" s="58"/>
      <c r="FQ54" s="58"/>
      <c r="FR54" s="58"/>
      <c r="FS54" s="58"/>
      <c r="FT54" s="58"/>
      <c r="FU54" s="58"/>
      <c r="FV54" s="58"/>
      <c r="FW54" s="58"/>
      <c r="FX54" s="58"/>
      <c r="FY54" s="58"/>
      <c r="FZ54" s="58"/>
      <c r="GA54" s="58"/>
      <c r="GB54" s="58"/>
      <c r="GC54" s="58"/>
      <c r="GD54" s="58"/>
      <c r="GE54" s="58"/>
      <c r="GF54" s="58"/>
      <c r="GG54" s="58"/>
      <c r="GH54" s="58"/>
      <c r="GI54" s="58"/>
      <c r="GJ54" s="58"/>
      <c r="GK54" s="58"/>
      <c r="GL54" s="58"/>
      <c r="GM54" s="58"/>
      <c r="GN54" s="58"/>
      <c r="GO54" s="58"/>
      <c r="GP54" s="58"/>
      <c r="GQ54" s="58"/>
      <c r="GR54" s="58"/>
      <c r="GS54" s="58"/>
      <c r="GT54" s="58"/>
      <c r="GU54" s="58"/>
      <c r="GV54" s="58"/>
      <c r="GW54" s="58"/>
      <c r="GX54" s="58"/>
      <c r="GY54" s="58"/>
      <c r="GZ54" s="58"/>
      <c r="HA54" s="58"/>
      <c r="HB54" s="58"/>
      <c r="HC54" s="58"/>
      <c r="HD54" s="58"/>
      <c r="HE54" s="58"/>
      <c r="HF54" s="58"/>
      <c r="HG54" s="58"/>
      <c r="HH54" s="58"/>
      <c r="HI54" s="58"/>
      <c r="HJ54" s="58"/>
      <c r="HK54" s="58"/>
      <c r="HL54" s="58"/>
      <c r="HM54" s="58"/>
      <c r="HN54" s="58"/>
      <c r="HO54" s="58"/>
      <c r="HP54" s="58"/>
      <c r="HQ54" s="58"/>
      <c r="HR54" s="58"/>
      <c r="HS54" s="58"/>
      <c r="HT54" s="58"/>
      <c r="HU54" s="58"/>
      <c r="HV54" s="58"/>
      <c r="HW54" s="58"/>
      <c r="HX54" s="58"/>
      <c r="HY54" s="58"/>
      <c r="HZ54" s="58"/>
      <c r="IA54" s="58"/>
      <c r="IB54" s="58"/>
      <c r="IC54" s="58"/>
      <c r="ID54" s="58"/>
      <c r="IE54" s="58"/>
      <c r="IF54" s="58"/>
      <c r="IG54" s="58"/>
      <c r="IH54" s="58"/>
      <c r="II54" s="58"/>
      <c r="IJ54" s="58"/>
      <c r="IK54" s="58"/>
      <c r="IL54" s="58"/>
      <c r="IM54" s="58"/>
      <c r="IN54" s="58"/>
      <c r="IO54" s="58"/>
      <c r="IP54" s="58"/>
      <c r="IQ54" s="58"/>
      <c r="IR54" s="58"/>
      <c r="IS54" s="58"/>
      <c r="IT54" s="58"/>
      <c r="IU54" s="58"/>
    </row>
    <row r="55" spans="1:255">
      <c r="A55" s="98" t="s">
        <v>379</v>
      </c>
      <c r="B55" s="43" t="s">
        <v>305</v>
      </c>
      <c r="C55" s="43" t="s">
        <v>305</v>
      </c>
      <c r="D55" s="43" t="s">
        <v>305</v>
      </c>
      <c r="E55" s="43" t="s">
        <v>305</v>
      </c>
      <c r="F55" s="43" t="s">
        <v>304</v>
      </c>
      <c r="G55" s="43" t="s">
        <v>305</v>
      </c>
      <c r="H55" s="43" t="s">
        <v>305</v>
      </c>
      <c r="I55" s="43" t="s">
        <v>305</v>
      </c>
      <c r="J55" s="49" t="s">
        <v>380</v>
      </c>
    </row>
    <row r="56" spans="1:255">
      <c r="A56" s="98" t="s">
        <v>381</v>
      </c>
      <c r="B56" s="43" t="s">
        <v>305</v>
      </c>
      <c r="C56" s="43" t="s">
        <v>305</v>
      </c>
      <c r="D56" s="43" t="s">
        <v>305</v>
      </c>
      <c r="E56" s="43" t="s">
        <v>305</v>
      </c>
      <c r="F56" s="43" t="s">
        <v>304</v>
      </c>
      <c r="G56" s="43" t="s">
        <v>305</v>
      </c>
      <c r="H56" s="43" t="s">
        <v>305</v>
      </c>
      <c r="I56" s="43" t="s">
        <v>305</v>
      </c>
      <c r="J56" s="49"/>
    </row>
    <row r="57" spans="1:255">
      <c r="A57" s="98" t="s">
        <v>382</v>
      </c>
      <c r="B57" s="43" t="s">
        <v>304</v>
      </c>
      <c r="C57" s="43" t="s">
        <v>305</v>
      </c>
      <c r="D57" s="43" t="s">
        <v>383</v>
      </c>
      <c r="E57" s="43" t="s">
        <v>305</v>
      </c>
      <c r="F57" s="43" t="s">
        <v>305</v>
      </c>
      <c r="G57" s="43" t="s">
        <v>305</v>
      </c>
      <c r="H57" s="43" t="s">
        <v>305</v>
      </c>
      <c r="I57" s="43" t="s">
        <v>305</v>
      </c>
      <c r="J57" s="44" t="s">
        <v>384</v>
      </c>
      <c r="K57" s="44"/>
      <c r="L57" s="46"/>
      <c r="M57" s="46"/>
    </row>
    <row r="58" spans="1:255">
      <c r="A58" s="98" t="s">
        <v>385</v>
      </c>
      <c r="B58" s="53" t="s">
        <v>304</v>
      </c>
      <c r="C58" s="53" t="s">
        <v>304</v>
      </c>
      <c r="D58" s="53" t="s">
        <v>304</v>
      </c>
      <c r="E58" s="43" t="s">
        <v>305</v>
      </c>
      <c r="F58" s="43" t="s">
        <v>305</v>
      </c>
      <c r="G58" s="43" t="s">
        <v>305</v>
      </c>
      <c r="H58" s="43" t="s">
        <v>305</v>
      </c>
      <c r="I58" s="43" t="s">
        <v>305</v>
      </c>
      <c r="J58" s="49" t="s">
        <v>386</v>
      </c>
      <c r="K58" s="47">
        <v>40</v>
      </c>
    </row>
    <row r="59" spans="1:255">
      <c r="A59" s="98" t="s">
        <v>387</v>
      </c>
      <c r="B59" s="43" t="s">
        <v>304</v>
      </c>
      <c r="C59" s="43" t="s">
        <v>305</v>
      </c>
      <c r="D59" s="43" t="s">
        <v>304</v>
      </c>
      <c r="E59" s="43" t="s">
        <v>305</v>
      </c>
      <c r="F59" s="43" t="s">
        <v>305</v>
      </c>
      <c r="G59" s="43" t="s">
        <v>305</v>
      </c>
      <c r="H59" s="43" t="s">
        <v>305</v>
      </c>
      <c r="I59" s="43" t="s">
        <v>305</v>
      </c>
      <c r="J59" s="44" t="s">
        <v>384</v>
      </c>
      <c r="K59" s="44"/>
      <c r="L59" s="46"/>
      <c r="M59" s="46"/>
    </row>
    <row r="60" spans="1:255">
      <c r="A60" s="98" t="s">
        <v>388</v>
      </c>
      <c r="B60" s="43" t="s">
        <v>305</v>
      </c>
      <c r="C60" s="43" t="s">
        <v>304</v>
      </c>
      <c r="D60" s="43" t="s">
        <v>305</v>
      </c>
      <c r="E60" s="43" t="s">
        <v>305</v>
      </c>
      <c r="F60" s="43" t="s">
        <v>305</v>
      </c>
      <c r="G60" s="43" t="s">
        <v>305</v>
      </c>
      <c r="H60" s="43" t="s">
        <v>305</v>
      </c>
      <c r="I60" s="43" t="s">
        <v>305</v>
      </c>
      <c r="J60" s="49" t="s">
        <v>389</v>
      </c>
      <c r="K60" s="44"/>
      <c r="L60" s="46"/>
      <c r="M60" s="46"/>
    </row>
    <row r="61" spans="1:255">
      <c r="A61" s="98" t="s">
        <v>390</v>
      </c>
      <c r="B61" s="43" t="s">
        <v>305</v>
      </c>
      <c r="C61" s="43" t="s">
        <v>305</v>
      </c>
      <c r="D61" s="43" t="s">
        <v>305</v>
      </c>
      <c r="E61" s="43" t="s">
        <v>305</v>
      </c>
      <c r="F61" s="43" t="s">
        <v>304</v>
      </c>
      <c r="G61" s="43" t="s">
        <v>305</v>
      </c>
      <c r="H61" s="43" t="s">
        <v>305</v>
      </c>
      <c r="I61" s="43" t="s">
        <v>305</v>
      </c>
      <c r="J61" s="49"/>
    </row>
    <row r="62" spans="1:255">
      <c r="A62" s="98" t="s">
        <v>391</v>
      </c>
      <c r="B62" s="43" t="s">
        <v>305</v>
      </c>
      <c r="C62" s="43" t="s">
        <v>304</v>
      </c>
      <c r="D62" s="43" t="s">
        <v>305</v>
      </c>
      <c r="E62" s="43" t="s">
        <v>305</v>
      </c>
      <c r="F62" s="43" t="s">
        <v>305</v>
      </c>
      <c r="G62" s="43" t="s">
        <v>305</v>
      </c>
      <c r="H62" s="43" t="s">
        <v>305</v>
      </c>
      <c r="I62" s="43" t="s">
        <v>305</v>
      </c>
      <c r="J62" s="49" t="s">
        <v>389</v>
      </c>
    </row>
    <row r="63" spans="1:255">
      <c r="A63" s="98" t="s">
        <v>392</v>
      </c>
      <c r="B63" s="43" t="s">
        <v>304</v>
      </c>
      <c r="C63" s="43" t="s">
        <v>305</v>
      </c>
      <c r="D63" s="43" t="s">
        <v>304</v>
      </c>
      <c r="E63" s="43" t="s">
        <v>305</v>
      </c>
      <c r="F63" s="43" t="s">
        <v>305</v>
      </c>
      <c r="G63" s="43" t="s">
        <v>305</v>
      </c>
      <c r="H63" s="43" t="s">
        <v>305</v>
      </c>
      <c r="I63" s="43" t="s">
        <v>305</v>
      </c>
      <c r="J63" s="44" t="s">
        <v>384</v>
      </c>
      <c r="K63" s="44"/>
      <c r="L63" s="46"/>
      <c r="M63" s="46"/>
    </row>
    <row r="64" spans="1:255">
      <c r="A64" s="98" t="s">
        <v>393</v>
      </c>
      <c r="B64" s="43" t="s">
        <v>304</v>
      </c>
      <c r="C64" s="43" t="s">
        <v>305</v>
      </c>
      <c r="D64" s="43" t="s">
        <v>304</v>
      </c>
      <c r="E64" s="43" t="s">
        <v>304</v>
      </c>
      <c r="F64" s="43" t="s">
        <v>305</v>
      </c>
      <c r="G64" s="43" t="s">
        <v>305</v>
      </c>
      <c r="H64" s="43" t="s">
        <v>304</v>
      </c>
      <c r="I64" s="43" t="s">
        <v>305</v>
      </c>
      <c r="J64" s="44" t="s">
        <v>394</v>
      </c>
      <c r="K64" s="44" t="s">
        <v>395</v>
      </c>
      <c r="L64" s="48" t="s">
        <v>396</v>
      </c>
      <c r="M64" s="46"/>
    </row>
    <row r="65" spans="1:13">
      <c r="A65" s="98" t="s">
        <v>397</v>
      </c>
      <c r="B65" s="43" t="s">
        <v>305</v>
      </c>
      <c r="C65" s="43" t="s">
        <v>305</v>
      </c>
      <c r="D65" s="43" t="s">
        <v>305</v>
      </c>
      <c r="E65" s="43" t="s">
        <v>305</v>
      </c>
      <c r="F65" s="43" t="s">
        <v>304</v>
      </c>
      <c r="G65" s="43" t="s">
        <v>305</v>
      </c>
      <c r="H65" s="43" t="s">
        <v>305</v>
      </c>
      <c r="I65" s="43" t="s">
        <v>305</v>
      </c>
      <c r="J65" s="49" t="s">
        <v>373</v>
      </c>
      <c r="K65" s="44"/>
      <c r="L65" s="46"/>
      <c r="M65" s="46"/>
    </row>
    <row r="66" spans="1:13">
      <c r="A66" s="98" t="s">
        <v>398</v>
      </c>
      <c r="B66" s="43"/>
      <c r="C66" s="43" t="s">
        <v>304</v>
      </c>
      <c r="D66" s="43" t="s">
        <v>305</v>
      </c>
      <c r="E66" s="43" t="s">
        <v>305</v>
      </c>
      <c r="F66" s="43" t="s">
        <v>305</v>
      </c>
      <c r="G66" s="43" t="s">
        <v>305</v>
      </c>
      <c r="H66" s="43" t="s">
        <v>305</v>
      </c>
      <c r="I66" s="46" t="s">
        <v>399</v>
      </c>
      <c r="J66" s="49" t="s">
        <v>400</v>
      </c>
    </row>
    <row r="67" spans="1:13">
      <c r="A67" s="98" t="s">
        <v>401</v>
      </c>
      <c r="B67" s="43" t="s">
        <v>304</v>
      </c>
      <c r="C67" s="43" t="s">
        <v>305</v>
      </c>
      <c r="D67" s="43" t="s">
        <v>304</v>
      </c>
      <c r="E67" s="43" t="s">
        <v>304</v>
      </c>
      <c r="F67" s="43" t="s">
        <v>305</v>
      </c>
      <c r="G67" s="43" t="s">
        <v>305</v>
      </c>
      <c r="H67" s="43" t="s">
        <v>304</v>
      </c>
      <c r="I67" s="43" t="s">
        <v>305</v>
      </c>
      <c r="J67" s="44" t="s">
        <v>384</v>
      </c>
    </row>
    <row r="68" spans="1:13">
      <c r="A68" s="98" t="s">
        <v>402</v>
      </c>
      <c r="B68" s="43" t="s">
        <v>305</v>
      </c>
      <c r="C68" s="43" t="s">
        <v>305</v>
      </c>
      <c r="D68" s="43" t="s">
        <v>305</v>
      </c>
      <c r="E68" s="43" t="s">
        <v>305</v>
      </c>
      <c r="F68" s="43" t="s">
        <v>304</v>
      </c>
      <c r="G68" s="43" t="s">
        <v>305</v>
      </c>
      <c r="H68" s="43" t="s">
        <v>305</v>
      </c>
      <c r="I68" s="43" t="s">
        <v>305</v>
      </c>
      <c r="J68" s="49" t="s">
        <v>380</v>
      </c>
      <c r="K68" s="44"/>
      <c r="L68" s="46"/>
      <c r="M68" s="46"/>
    </row>
    <row r="69" spans="1:13">
      <c r="A69" s="98" t="s">
        <v>403</v>
      </c>
      <c r="B69" s="43" t="s">
        <v>305</v>
      </c>
      <c r="C69" s="43" t="s">
        <v>305</v>
      </c>
      <c r="D69" s="43" t="s">
        <v>305</v>
      </c>
      <c r="E69" s="43" t="s">
        <v>305</v>
      </c>
      <c r="F69" s="43" t="s">
        <v>304</v>
      </c>
      <c r="G69" s="43" t="s">
        <v>305</v>
      </c>
      <c r="H69" s="43" t="s">
        <v>305</v>
      </c>
      <c r="I69" s="43" t="s">
        <v>305</v>
      </c>
      <c r="J69" s="49" t="s">
        <v>1351</v>
      </c>
      <c r="K69" s="44" t="s">
        <v>1352</v>
      </c>
      <c r="L69" s="46"/>
      <c r="M69" s="46"/>
    </row>
    <row r="70" spans="1:13">
      <c r="A70" s="98" t="s">
        <v>404</v>
      </c>
      <c r="B70" s="43" t="s">
        <v>305</v>
      </c>
      <c r="C70" s="43" t="s">
        <v>304</v>
      </c>
      <c r="D70" s="43" t="s">
        <v>305</v>
      </c>
      <c r="E70" s="43" t="s">
        <v>305</v>
      </c>
      <c r="F70" s="43" t="s">
        <v>305</v>
      </c>
      <c r="G70" s="43" t="s">
        <v>305</v>
      </c>
      <c r="H70" s="43" t="s">
        <v>305</v>
      </c>
      <c r="I70" s="43" t="s">
        <v>305</v>
      </c>
      <c r="J70" s="49" t="s">
        <v>389</v>
      </c>
      <c r="K70" s="52"/>
      <c r="L70" s="46"/>
      <c r="M70" s="46"/>
    </row>
    <row r="71" spans="1:13">
      <c r="A71" s="45" t="s">
        <v>405</v>
      </c>
      <c r="B71" s="43"/>
      <c r="C71" s="43"/>
      <c r="D71" s="43"/>
      <c r="E71" s="43"/>
      <c r="F71" s="43"/>
      <c r="G71" s="43"/>
      <c r="H71" s="43"/>
      <c r="I71" s="43"/>
      <c r="J71" s="49" t="s">
        <v>406</v>
      </c>
      <c r="K71" s="52"/>
      <c r="L71" s="46"/>
      <c r="M71" s="46"/>
    </row>
    <row r="72" spans="1:13">
      <c r="A72" s="98" t="s">
        <v>407</v>
      </c>
      <c r="B72" s="43" t="s">
        <v>305</v>
      </c>
      <c r="C72" s="43" t="s">
        <v>305</v>
      </c>
      <c r="D72" s="43" t="s">
        <v>305</v>
      </c>
      <c r="E72" s="43" t="s">
        <v>305</v>
      </c>
      <c r="F72" s="43" t="s">
        <v>305</v>
      </c>
      <c r="G72" s="43" t="s">
        <v>305</v>
      </c>
      <c r="H72" s="43" t="s">
        <v>305</v>
      </c>
      <c r="I72" s="43" t="s">
        <v>305</v>
      </c>
      <c r="J72" s="44" t="s">
        <v>384</v>
      </c>
      <c r="K72" s="44"/>
      <c r="L72" s="46"/>
      <c r="M72" s="46"/>
    </row>
    <row r="73" spans="1:13">
      <c r="A73" s="98" t="s">
        <v>408</v>
      </c>
      <c r="B73" s="43" t="s">
        <v>305</v>
      </c>
      <c r="C73" s="43" t="s">
        <v>305</v>
      </c>
      <c r="D73" s="43" t="s">
        <v>305</v>
      </c>
      <c r="E73" s="43" t="s">
        <v>305</v>
      </c>
      <c r="F73" s="43" t="s">
        <v>304</v>
      </c>
      <c r="G73" s="43" t="s">
        <v>305</v>
      </c>
      <c r="H73" s="43" t="s">
        <v>305</v>
      </c>
      <c r="I73" s="43" t="s">
        <v>305</v>
      </c>
      <c r="J73" s="49" t="s">
        <v>380</v>
      </c>
      <c r="K73" s="44"/>
      <c r="L73" s="46"/>
      <c r="M73" s="46"/>
    </row>
    <row r="74" spans="1:13">
      <c r="A74" s="98" t="s">
        <v>409</v>
      </c>
      <c r="B74" s="53" t="s">
        <v>304</v>
      </c>
      <c r="C74" s="53" t="s">
        <v>304</v>
      </c>
      <c r="D74" s="43" t="s">
        <v>305</v>
      </c>
      <c r="E74" s="43" t="s">
        <v>305</v>
      </c>
      <c r="F74" s="43" t="s">
        <v>305</v>
      </c>
      <c r="G74" s="43" t="s">
        <v>305</v>
      </c>
      <c r="H74" s="43" t="s">
        <v>305</v>
      </c>
      <c r="I74" s="43" t="s">
        <v>305</v>
      </c>
      <c r="J74" s="49" t="s">
        <v>389</v>
      </c>
      <c r="K74" s="52"/>
      <c r="L74" s="46"/>
      <c r="M74" s="46"/>
    </row>
    <row r="75" spans="1:13">
      <c r="A75" s="98" t="s">
        <v>410</v>
      </c>
      <c r="B75" s="43" t="s">
        <v>305</v>
      </c>
      <c r="C75" s="43" t="s">
        <v>305</v>
      </c>
      <c r="D75" s="43" t="s">
        <v>305</v>
      </c>
      <c r="E75" s="43" t="s">
        <v>305</v>
      </c>
      <c r="F75" s="43" t="s">
        <v>304</v>
      </c>
      <c r="G75" s="43" t="s">
        <v>305</v>
      </c>
      <c r="H75" s="43" t="s">
        <v>305</v>
      </c>
      <c r="I75" s="43" t="s">
        <v>305</v>
      </c>
      <c r="J75" s="49"/>
    </row>
    <row r="76" spans="1:13">
      <c r="A76" s="98" t="s">
        <v>411</v>
      </c>
      <c r="B76" s="43" t="s">
        <v>305</v>
      </c>
      <c r="C76" s="43" t="s">
        <v>305</v>
      </c>
      <c r="D76" s="43" t="s">
        <v>305</v>
      </c>
      <c r="E76" s="43" t="s">
        <v>305</v>
      </c>
      <c r="F76" s="43" t="s">
        <v>305</v>
      </c>
      <c r="G76" s="43" t="s">
        <v>305</v>
      </c>
      <c r="H76" s="53" t="s">
        <v>304</v>
      </c>
      <c r="I76" s="43" t="s">
        <v>305</v>
      </c>
      <c r="J76" s="49" t="s">
        <v>685</v>
      </c>
      <c r="K76" s="47">
        <v>60</v>
      </c>
    </row>
    <row r="77" spans="1:13">
      <c r="A77" s="98" t="s">
        <v>412</v>
      </c>
      <c r="B77" s="43" t="s">
        <v>305</v>
      </c>
      <c r="C77" s="43" t="s">
        <v>305</v>
      </c>
      <c r="D77" s="43" t="s">
        <v>305</v>
      </c>
      <c r="E77" s="43" t="s">
        <v>305</v>
      </c>
      <c r="F77" s="43" t="s">
        <v>305</v>
      </c>
      <c r="G77" s="43" t="s">
        <v>305</v>
      </c>
      <c r="H77" s="53" t="s">
        <v>304</v>
      </c>
      <c r="I77" s="43" t="s">
        <v>305</v>
      </c>
      <c r="J77" s="49" t="s">
        <v>685</v>
      </c>
      <c r="K77" s="47">
        <v>61</v>
      </c>
    </row>
    <row r="78" spans="1:13">
      <c r="A78" s="98" t="s">
        <v>413</v>
      </c>
      <c r="B78" s="43" t="s">
        <v>305</v>
      </c>
      <c r="C78" s="43" t="s">
        <v>305</v>
      </c>
      <c r="D78" s="43" t="s">
        <v>305</v>
      </c>
      <c r="E78" s="43" t="s">
        <v>305</v>
      </c>
      <c r="F78" s="43" t="s">
        <v>305</v>
      </c>
      <c r="G78" s="43" t="s">
        <v>305</v>
      </c>
      <c r="H78" s="53" t="s">
        <v>304</v>
      </c>
      <c r="I78" s="43" t="s">
        <v>305</v>
      </c>
      <c r="J78" s="49" t="s">
        <v>685</v>
      </c>
      <c r="K78" s="47">
        <v>62</v>
      </c>
    </row>
    <row r="79" spans="1:13">
      <c r="A79" s="98" t="s">
        <v>414</v>
      </c>
      <c r="B79" s="43" t="s">
        <v>305</v>
      </c>
      <c r="C79" s="43" t="s">
        <v>305</v>
      </c>
      <c r="D79" s="43" t="s">
        <v>305</v>
      </c>
      <c r="E79" s="43" t="s">
        <v>305</v>
      </c>
      <c r="F79" s="43" t="s">
        <v>305</v>
      </c>
      <c r="G79" s="43" t="s">
        <v>305</v>
      </c>
      <c r="H79" s="53" t="s">
        <v>304</v>
      </c>
      <c r="I79" s="43" t="s">
        <v>305</v>
      </c>
      <c r="J79" s="49" t="s">
        <v>685</v>
      </c>
      <c r="K79" s="44" t="s">
        <v>687</v>
      </c>
      <c r="L79" s="46"/>
      <c r="M79" s="46"/>
    </row>
    <row r="80" spans="1:13">
      <c r="A80" s="98" t="s">
        <v>415</v>
      </c>
      <c r="B80" s="43" t="s">
        <v>305</v>
      </c>
      <c r="C80" s="43" t="s">
        <v>305</v>
      </c>
      <c r="D80" s="43" t="s">
        <v>305</v>
      </c>
      <c r="E80" s="43" t="s">
        <v>305</v>
      </c>
      <c r="F80" s="43" t="s">
        <v>305</v>
      </c>
      <c r="G80" s="43" t="s">
        <v>305</v>
      </c>
      <c r="H80" s="53" t="s">
        <v>304</v>
      </c>
      <c r="I80" s="43" t="s">
        <v>305</v>
      </c>
      <c r="J80" s="49" t="s">
        <v>685</v>
      </c>
      <c r="K80" s="47">
        <v>65</v>
      </c>
    </row>
    <row r="81" spans="1:13">
      <c r="A81" s="98" t="s">
        <v>416</v>
      </c>
      <c r="B81" s="43" t="s">
        <v>305</v>
      </c>
      <c r="C81" s="43" t="s">
        <v>305</v>
      </c>
      <c r="D81" s="43" t="s">
        <v>305</v>
      </c>
      <c r="E81" s="43" t="s">
        <v>305</v>
      </c>
      <c r="F81" s="43" t="s">
        <v>305</v>
      </c>
      <c r="G81" s="43" t="s">
        <v>305</v>
      </c>
      <c r="H81" s="53" t="s">
        <v>304</v>
      </c>
      <c r="I81" s="43" t="s">
        <v>305</v>
      </c>
      <c r="J81" s="49" t="s">
        <v>685</v>
      </c>
      <c r="K81" s="47">
        <v>67</v>
      </c>
    </row>
    <row r="82" spans="1:13">
      <c r="A82" s="98" t="s">
        <v>417</v>
      </c>
      <c r="B82" s="43" t="s">
        <v>305</v>
      </c>
      <c r="C82" s="43" t="s">
        <v>305</v>
      </c>
      <c r="D82" s="43" t="s">
        <v>305</v>
      </c>
      <c r="E82" s="43" t="s">
        <v>305</v>
      </c>
      <c r="F82" s="43" t="s">
        <v>305</v>
      </c>
      <c r="G82" s="43" t="s">
        <v>305</v>
      </c>
      <c r="H82" s="53" t="s">
        <v>304</v>
      </c>
      <c r="I82" s="43" t="s">
        <v>305</v>
      </c>
      <c r="J82" s="49" t="s">
        <v>685</v>
      </c>
      <c r="K82" s="44" t="s">
        <v>523</v>
      </c>
      <c r="L82" s="46"/>
      <c r="M82" s="46"/>
    </row>
    <row r="83" spans="1:13">
      <c r="A83" s="45" t="s">
        <v>418</v>
      </c>
      <c r="J83" s="44" t="s">
        <v>419</v>
      </c>
      <c r="K83" s="47">
        <v>36</v>
      </c>
    </row>
    <row r="84" spans="1:13">
      <c r="A84" s="98" t="s">
        <v>420</v>
      </c>
      <c r="B84" s="43" t="s">
        <v>304</v>
      </c>
      <c r="C84" s="43" t="s">
        <v>305</v>
      </c>
      <c r="D84" s="43" t="s">
        <v>304</v>
      </c>
      <c r="E84" s="43" t="s">
        <v>305</v>
      </c>
      <c r="F84" s="43" t="s">
        <v>305</v>
      </c>
      <c r="G84" s="43" t="s">
        <v>305</v>
      </c>
      <c r="H84" s="53" t="s">
        <v>304</v>
      </c>
      <c r="I84" s="53" t="s">
        <v>339</v>
      </c>
      <c r="J84" s="49"/>
      <c r="K84" s="44"/>
      <c r="L84" s="46"/>
      <c r="M84" s="46"/>
    </row>
    <row r="85" spans="1:13">
      <c r="A85" s="100" t="s">
        <v>421</v>
      </c>
      <c r="B85" s="43"/>
      <c r="C85" s="43"/>
      <c r="D85" s="43"/>
      <c r="E85" s="43"/>
      <c r="F85" s="43"/>
      <c r="G85" s="43"/>
      <c r="H85" s="53"/>
      <c r="I85" s="53"/>
      <c r="J85" s="49"/>
      <c r="K85" s="44"/>
      <c r="L85" s="46"/>
      <c r="M85" s="46"/>
    </row>
    <row r="86" spans="1:13">
      <c r="A86" s="98" t="s">
        <v>422</v>
      </c>
      <c r="B86" s="43" t="s">
        <v>305</v>
      </c>
      <c r="C86" s="43" t="s">
        <v>304</v>
      </c>
      <c r="D86" s="43" t="s">
        <v>305</v>
      </c>
      <c r="E86" s="43" t="s">
        <v>305</v>
      </c>
      <c r="F86" s="43" t="s">
        <v>305</v>
      </c>
      <c r="G86" s="43" t="s">
        <v>305</v>
      </c>
      <c r="H86" s="43" t="s">
        <v>305</v>
      </c>
      <c r="I86" s="43" t="s">
        <v>305</v>
      </c>
      <c r="J86" s="49" t="s">
        <v>389</v>
      </c>
      <c r="K86" s="52"/>
      <c r="L86" s="46"/>
      <c r="M86" s="46"/>
    </row>
    <row r="87" spans="1:13">
      <c r="A87" s="45" t="s">
        <v>423</v>
      </c>
      <c r="B87" s="43"/>
      <c r="C87" s="43"/>
      <c r="D87" s="43"/>
      <c r="E87" s="43"/>
      <c r="F87" s="43"/>
      <c r="G87" s="43"/>
      <c r="H87" s="53"/>
      <c r="I87" s="53"/>
      <c r="J87" s="49" t="s">
        <v>389</v>
      </c>
      <c r="K87" s="52"/>
      <c r="L87" s="46"/>
      <c r="M87" s="46"/>
    </row>
    <row r="88" spans="1:13">
      <c r="A88" s="98" t="s">
        <v>424</v>
      </c>
      <c r="B88" s="43" t="s">
        <v>305</v>
      </c>
      <c r="C88" s="43" t="s">
        <v>304</v>
      </c>
      <c r="D88" s="43" t="s">
        <v>305</v>
      </c>
      <c r="E88" s="43" t="s">
        <v>305</v>
      </c>
      <c r="F88" s="43" t="s">
        <v>305</v>
      </c>
      <c r="G88" s="43" t="s">
        <v>305</v>
      </c>
      <c r="H88" s="43" t="s">
        <v>305</v>
      </c>
      <c r="I88" s="43" t="s">
        <v>305</v>
      </c>
      <c r="J88" s="49" t="s">
        <v>425</v>
      </c>
      <c r="K88" s="52"/>
      <c r="L88" s="46"/>
      <c r="M88" s="46"/>
    </row>
    <row r="89" spans="1:13">
      <c r="A89" s="100" t="s">
        <v>426</v>
      </c>
      <c r="B89" s="43"/>
      <c r="C89" s="43"/>
      <c r="D89" s="43"/>
      <c r="E89" s="43"/>
      <c r="F89" s="43"/>
      <c r="G89" s="43"/>
      <c r="H89" s="43"/>
      <c r="I89" s="43"/>
      <c r="J89" s="49" t="s">
        <v>1358</v>
      </c>
      <c r="K89" s="54">
        <v>23</v>
      </c>
      <c r="L89" s="55"/>
      <c r="M89" s="55"/>
    </row>
    <row r="90" spans="1:13">
      <c r="A90" s="98" t="s">
        <v>427</v>
      </c>
      <c r="B90" s="43" t="s">
        <v>305</v>
      </c>
      <c r="C90" s="43" t="s">
        <v>305</v>
      </c>
      <c r="D90" s="43" t="s">
        <v>305</v>
      </c>
      <c r="E90" s="43" t="s">
        <v>305</v>
      </c>
      <c r="F90" s="43" t="s">
        <v>305</v>
      </c>
      <c r="G90" s="43" t="s">
        <v>304</v>
      </c>
      <c r="H90" s="43" t="s">
        <v>305</v>
      </c>
      <c r="I90" s="43" t="s">
        <v>305</v>
      </c>
      <c r="J90" s="49" t="s">
        <v>1340</v>
      </c>
      <c r="K90" s="47">
        <v>3</v>
      </c>
      <c r="L90" s="49" t="s">
        <v>1347</v>
      </c>
    </row>
    <row r="91" spans="1:13">
      <c r="A91" s="98" t="s">
        <v>428</v>
      </c>
      <c r="B91" s="43" t="s">
        <v>304</v>
      </c>
      <c r="C91" s="43" t="s">
        <v>304</v>
      </c>
      <c r="D91" s="43" t="s">
        <v>304</v>
      </c>
      <c r="E91" s="43" t="s">
        <v>304</v>
      </c>
      <c r="F91" s="43" t="s">
        <v>305</v>
      </c>
      <c r="G91" s="43" t="s">
        <v>305</v>
      </c>
      <c r="H91" s="53" t="s">
        <v>304</v>
      </c>
      <c r="I91" s="43" t="s">
        <v>305</v>
      </c>
      <c r="J91" s="49" t="s">
        <v>429</v>
      </c>
      <c r="K91" s="47">
        <v>20</v>
      </c>
    </row>
    <row r="92" spans="1:13">
      <c r="A92" s="97" t="s">
        <v>430</v>
      </c>
      <c r="B92" s="43"/>
      <c r="C92" s="43"/>
      <c r="D92" s="43"/>
      <c r="E92" s="43"/>
      <c r="F92" s="43"/>
      <c r="G92" s="43"/>
      <c r="H92" s="53"/>
      <c r="I92" s="43"/>
      <c r="J92" s="49" t="s">
        <v>389</v>
      </c>
      <c r="K92" s="52"/>
      <c r="L92" s="46"/>
      <c r="M92" s="46"/>
    </row>
    <row r="93" spans="1:13">
      <c r="A93" s="97" t="s">
        <v>431</v>
      </c>
      <c r="B93" s="46" t="s">
        <v>305</v>
      </c>
      <c r="C93" s="46" t="s">
        <v>305</v>
      </c>
      <c r="D93" s="46" t="s">
        <v>305</v>
      </c>
      <c r="E93" s="46" t="s">
        <v>305</v>
      </c>
      <c r="F93" s="46" t="s">
        <v>305</v>
      </c>
      <c r="G93" s="46" t="s">
        <v>305</v>
      </c>
      <c r="H93" s="46" t="s">
        <v>305</v>
      </c>
      <c r="I93" s="155" t="s">
        <v>854</v>
      </c>
      <c r="J93" s="49" t="s">
        <v>1355</v>
      </c>
      <c r="K93" s="44" t="s">
        <v>1357</v>
      </c>
      <c r="L93" s="46"/>
      <c r="M93" s="46"/>
    </row>
    <row r="94" spans="1:13">
      <c r="A94" s="98" t="s">
        <v>432</v>
      </c>
      <c r="B94" s="43" t="s">
        <v>305</v>
      </c>
      <c r="C94" s="43" t="s">
        <v>305</v>
      </c>
      <c r="D94" s="43" t="s">
        <v>305</v>
      </c>
      <c r="E94" s="43" t="s">
        <v>305</v>
      </c>
      <c r="F94" s="43" t="s">
        <v>304</v>
      </c>
      <c r="G94" s="43" t="s">
        <v>305</v>
      </c>
      <c r="H94" s="43" t="s">
        <v>305</v>
      </c>
      <c r="I94" s="43" t="s">
        <v>305</v>
      </c>
      <c r="J94" s="49" t="s">
        <v>1351</v>
      </c>
      <c r="K94" s="47">
        <v>6</v>
      </c>
    </row>
    <row r="95" spans="1:13">
      <c r="A95" s="98" t="s">
        <v>433</v>
      </c>
      <c r="B95" s="43" t="s">
        <v>305</v>
      </c>
      <c r="C95" s="43" t="s">
        <v>305</v>
      </c>
      <c r="D95" s="43" t="s">
        <v>305</v>
      </c>
      <c r="E95" s="43" t="s">
        <v>305</v>
      </c>
      <c r="F95" s="43" t="s">
        <v>304</v>
      </c>
      <c r="G95" s="43" t="s">
        <v>305</v>
      </c>
      <c r="H95" s="43" t="s">
        <v>305</v>
      </c>
      <c r="I95" s="43" t="s">
        <v>305</v>
      </c>
      <c r="J95" s="49" t="s">
        <v>1351</v>
      </c>
      <c r="K95" s="47">
        <v>6</v>
      </c>
    </row>
    <row r="96" spans="1:13">
      <c r="A96" s="98" t="s">
        <v>434</v>
      </c>
      <c r="B96" s="43" t="s">
        <v>305</v>
      </c>
      <c r="C96" s="43" t="s">
        <v>305</v>
      </c>
      <c r="D96" s="43" t="s">
        <v>305</v>
      </c>
      <c r="E96" s="43" t="s">
        <v>305</v>
      </c>
      <c r="F96" s="43" t="s">
        <v>304</v>
      </c>
      <c r="G96" s="43" t="s">
        <v>305</v>
      </c>
      <c r="H96" s="43" t="s">
        <v>305</v>
      </c>
      <c r="I96" s="43" t="s">
        <v>305</v>
      </c>
      <c r="J96" s="49" t="s">
        <v>380</v>
      </c>
      <c r="K96" s="44"/>
      <c r="L96" s="46"/>
      <c r="M96" s="46"/>
    </row>
    <row r="97" spans="1:13">
      <c r="A97" s="98" t="s">
        <v>435</v>
      </c>
      <c r="B97" s="43" t="s">
        <v>305</v>
      </c>
      <c r="C97" s="43" t="s">
        <v>305</v>
      </c>
      <c r="D97" s="43" t="s">
        <v>305</v>
      </c>
      <c r="E97" s="43" t="s">
        <v>305</v>
      </c>
      <c r="F97" s="43" t="s">
        <v>304</v>
      </c>
      <c r="G97" s="43" t="s">
        <v>305</v>
      </c>
      <c r="H97" s="43" t="s">
        <v>305</v>
      </c>
      <c r="I97" s="43" t="s">
        <v>305</v>
      </c>
      <c r="J97" s="49" t="s">
        <v>380</v>
      </c>
    </row>
    <row r="98" spans="1:13">
      <c r="A98" s="45" t="s">
        <v>436</v>
      </c>
      <c r="J98" s="44" t="s">
        <v>419</v>
      </c>
      <c r="K98" s="47">
        <v>36</v>
      </c>
    </row>
    <row r="99" spans="1:13">
      <c r="A99" s="98" t="s">
        <v>437</v>
      </c>
      <c r="B99" s="43" t="s">
        <v>304</v>
      </c>
      <c r="C99" s="43" t="s">
        <v>305</v>
      </c>
      <c r="D99" s="43" t="s">
        <v>305</v>
      </c>
      <c r="E99" s="43" t="s">
        <v>304</v>
      </c>
      <c r="F99" s="43" t="s">
        <v>305</v>
      </c>
      <c r="G99" s="43" t="s">
        <v>305</v>
      </c>
      <c r="H99" s="53" t="s">
        <v>304</v>
      </c>
      <c r="I99" s="43" t="s">
        <v>305</v>
      </c>
      <c r="J99" s="49"/>
    </row>
    <row r="100" spans="1:13">
      <c r="A100" s="98" t="s">
        <v>438</v>
      </c>
      <c r="B100" s="43" t="s">
        <v>305</v>
      </c>
      <c r="C100" s="43" t="s">
        <v>304</v>
      </c>
      <c r="D100" s="43" t="s">
        <v>305</v>
      </c>
      <c r="E100" s="43" t="s">
        <v>304</v>
      </c>
      <c r="F100" s="43" t="s">
        <v>305</v>
      </c>
      <c r="G100" s="43" t="s">
        <v>305</v>
      </c>
      <c r="H100" s="53" t="s">
        <v>304</v>
      </c>
      <c r="I100" s="43" t="s">
        <v>305</v>
      </c>
      <c r="J100" s="49" t="s">
        <v>389</v>
      </c>
      <c r="K100" s="52"/>
      <c r="L100" s="46"/>
      <c r="M100" s="46"/>
    </row>
    <row r="101" spans="1:13">
      <c r="A101" s="45" t="s">
        <v>439</v>
      </c>
      <c r="J101" s="44" t="s">
        <v>419</v>
      </c>
      <c r="K101" s="47">
        <v>36</v>
      </c>
    </row>
    <row r="102" spans="1:13">
      <c r="A102" s="98" t="s">
        <v>440</v>
      </c>
      <c r="B102" s="43" t="s">
        <v>305</v>
      </c>
      <c r="C102" s="43" t="s">
        <v>304</v>
      </c>
      <c r="D102" s="43" t="s">
        <v>305</v>
      </c>
      <c r="E102" s="43" t="s">
        <v>304</v>
      </c>
      <c r="F102" s="43" t="s">
        <v>305</v>
      </c>
      <c r="G102" s="43" t="s">
        <v>305</v>
      </c>
      <c r="H102" s="53" t="s">
        <v>304</v>
      </c>
      <c r="I102" s="43" t="s">
        <v>305</v>
      </c>
      <c r="J102" s="49" t="s">
        <v>389</v>
      </c>
      <c r="K102" s="52"/>
      <c r="L102" s="46"/>
      <c r="M102" s="46"/>
    </row>
    <row r="103" spans="1:13">
      <c r="A103" s="45" t="s">
        <v>441</v>
      </c>
      <c r="B103" s="43"/>
      <c r="C103" s="43"/>
      <c r="D103" s="43"/>
      <c r="E103" s="43"/>
      <c r="F103" s="43"/>
      <c r="G103" s="43"/>
      <c r="H103" s="53"/>
      <c r="I103" s="43"/>
      <c r="J103" s="49"/>
      <c r="K103" s="44"/>
      <c r="L103" s="46"/>
      <c r="M103" s="46"/>
    </row>
    <row r="104" spans="1:13">
      <c r="A104" s="98" t="s">
        <v>442</v>
      </c>
      <c r="B104" s="43" t="s">
        <v>305</v>
      </c>
      <c r="C104" s="43" t="s">
        <v>304</v>
      </c>
      <c r="D104" s="43" t="s">
        <v>305</v>
      </c>
      <c r="E104" s="43" t="s">
        <v>304</v>
      </c>
      <c r="F104" s="43" t="s">
        <v>305</v>
      </c>
      <c r="G104" s="43" t="s">
        <v>305</v>
      </c>
      <c r="H104" s="53" t="s">
        <v>304</v>
      </c>
      <c r="I104" s="43" t="s">
        <v>305</v>
      </c>
      <c r="J104" s="49" t="s">
        <v>389</v>
      </c>
      <c r="K104" s="52"/>
      <c r="L104" s="46"/>
      <c r="M104" s="46"/>
    </row>
    <row r="105" spans="1:13">
      <c r="A105" s="98" t="s">
        <v>443</v>
      </c>
      <c r="B105" s="43" t="s">
        <v>304</v>
      </c>
      <c r="C105" s="43" t="s">
        <v>305</v>
      </c>
      <c r="D105" s="43" t="s">
        <v>304</v>
      </c>
      <c r="E105" s="43" t="s">
        <v>304</v>
      </c>
      <c r="F105" s="43" t="s">
        <v>305</v>
      </c>
      <c r="G105" s="43" t="s">
        <v>305</v>
      </c>
      <c r="H105" s="53" t="s">
        <v>304</v>
      </c>
      <c r="I105" s="43" t="s">
        <v>305</v>
      </c>
      <c r="J105" s="49"/>
      <c r="K105" s="44"/>
      <c r="L105" s="46"/>
      <c r="M105" s="46"/>
    </row>
    <row r="106" spans="1:13">
      <c r="A106" s="45" t="s">
        <v>444</v>
      </c>
      <c r="B106" s="43" t="s">
        <v>304</v>
      </c>
      <c r="C106" s="43" t="s">
        <v>305</v>
      </c>
      <c r="D106" s="43" t="s">
        <v>304</v>
      </c>
      <c r="E106" s="43" t="s">
        <v>304</v>
      </c>
      <c r="F106" s="43" t="s">
        <v>305</v>
      </c>
      <c r="G106" s="43" t="s">
        <v>305</v>
      </c>
      <c r="H106" s="53" t="s">
        <v>304</v>
      </c>
      <c r="I106" s="43" t="s">
        <v>305</v>
      </c>
      <c r="J106" s="49" t="s">
        <v>394</v>
      </c>
      <c r="K106" s="47">
        <v>22</v>
      </c>
    </row>
    <row r="107" spans="1:13">
      <c r="A107" s="45" t="s">
        <v>445</v>
      </c>
      <c r="B107" s="43" t="s">
        <v>305</v>
      </c>
      <c r="C107" s="43" t="s">
        <v>305</v>
      </c>
      <c r="D107" s="43" t="s">
        <v>305</v>
      </c>
      <c r="E107" s="43" t="s">
        <v>305</v>
      </c>
      <c r="F107" s="43" t="s">
        <v>305</v>
      </c>
      <c r="G107" s="43" t="s">
        <v>304</v>
      </c>
      <c r="H107" s="43" t="s">
        <v>305</v>
      </c>
      <c r="I107" s="43" t="s">
        <v>305</v>
      </c>
      <c r="J107" s="49" t="s">
        <v>1340</v>
      </c>
      <c r="K107" s="47">
        <v>3</v>
      </c>
      <c r="L107" s="49" t="s">
        <v>1347</v>
      </c>
    </row>
    <row r="108" spans="1:13">
      <c r="A108" s="97" t="s">
        <v>446</v>
      </c>
      <c r="B108" s="43"/>
      <c r="C108" s="43"/>
      <c r="D108" s="43"/>
      <c r="E108" s="43"/>
      <c r="F108" s="43"/>
      <c r="G108" s="43"/>
      <c r="H108" s="43"/>
      <c r="I108" s="43"/>
      <c r="J108" s="49"/>
    </row>
    <row r="109" spans="1:13">
      <c r="A109" s="45" t="s">
        <v>447</v>
      </c>
      <c r="B109" s="43" t="s">
        <v>305</v>
      </c>
      <c r="C109" s="53" t="s">
        <v>304</v>
      </c>
      <c r="D109" s="43" t="s">
        <v>305</v>
      </c>
      <c r="E109" s="53" t="s">
        <v>304</v>
      </c>
      <c r="F109" s="43" t="s">
        <v>305</v>
      </c>
      <c r="G109" s="43" t="s">
        <v>305</v>
      </c>
      <c r="H109" s="53" t="s">
        <v>304</v>
      </c>
      <c r="I109" s="43" t="s">
        <v>305</v>
      </c>
      <c r="J109" s="49" t="s">
        <v>389</v>
      </c>
      <c r="K109" s="52"/>
      <c r="L109" s="46"/>
      <c r="M109" s="46"/>
    </row>
    <row r="110" spans="1:13">
      <c r="A110" s="45" t="s">
        <v>448</v>
      </c>
      <c r="B110" s="43" t="s">
        <v>305</v>
      </c>
      <c r="C110" s="43" t="s">
        <v>305</v>
      </c>
      <c r="D110" s="43" t="s">
        <v>305</v>
      </c>
      <c r="E110" s="43" t="s">
        <v>304</v>
      </c>
      <c r="F110" s="43" t="s">
        <v>304</v>
      </c>
      <c r="G110" s="43" t="s">
        <v>305</v>
      </c>
      <c r="H110" s="43" t="s">
        <v>304</v>
      </c>
      <c r="I110" s="43" t="s">
        <v>305</v>
      </c>
      <c r="J110" s="49" t="s">
        <v>380</v>
      </c>
    </row>
    <row r="111" spans="1:13">
      <c r="A111" s="97" t="s">
        <v>449</v>
      </c>
      <c r="J111" s="47" t="s">
        <v>341</v>
      </c>
      <c r="K111" s="52"/>
      <c r="L111" s="46"/>
      <c r="M111" s="46"/>
    </row>
    <row r="112" spans="1:13">
      <c r="A112" s="98" t="s">
        <v>450</v>
      </c>
      <c r="B112" s="43" t="s">
        <v>304</v>
      </c>
      <c r="C112" s="43" t="s">
        <v>305</v>
      </c>
      <c r="D112" s="43" t="s">
        <v>304</v>
      </c>
      <c r="E112" s="43" t="s">
        <v>304</v>
      </c>
      <c r="F112" s="43" t="s">
        <v>305</v>
      </c>
      <c r="G112" s="43" t="s">
        <v>305</v>
      </c>
      <c r="H112" s="53" t="s">
        <v>304</v>
      </c>
      <c r="I112" s="43" t="s">
        <v>305</v>
      </c>
      <c r="J112" s="49"/>
    </row>
    <row r="113" spans="1:13">
      <c r="A113" s="98" t="s">
        <v>451</v>
      </c>
      <c r="B113" s="43" t="s">
        <v>305</v>
      </c>
      <c r="C113" s="43" t="s">
        <v>305</v>
      </c>
      <c r="D113" s="43" t="s">
        <v>305</v>
      </c>
      <c r="E113" s="43" t="s">
        <v>305</v>
      </c>
      <c r="F113" s="43" t="s">
        <v>304</v>
      </c>
      <c r="G113" s="43" t="s">
        <v>305</v>
      </c>
      <c r="H113" s="43" t="s">
        <v>305</v>
      </c>
      <c r="I113" s="43" t="s">
        <v>305</v>
      </c>
      <c r="J113" s="49" t="s">
        <v>1351</v>
      </c>
      <c r="K113" s="47">
        <v>6</v>
      </c>
    </row>
    <row r="114" spans="1:13">
      <c r="A114" s="98" t="s">
        <v>452</v>
      </c>
      <c r="B114" s="43" t="s">
        <v>305</v>
      </c>
      <c r="C114" s="43" t="s">
        <v>305</v>
      </c>
      <c r="D114" s="43" t="s">
        <v>305</v>
      </c>
      <c r="E114" s="43" t="s">
        <v>304</v>
      </c>
      <c r="F114" s="43" t="s">
        <v>304</v>
      </c>
      <c r="G114" s="43" t="s">
        <v>305</v>
      </c>
      <c r="H114" s="43" t="s">
        <v>304</v>
      </c>
      <c r="I114" s="43" t="s">
        <v>305</v>
      </c>
      <c r="J114" s="49" t="s">
        <v>373</v>
      </c>
      <c r="K114" s="44"/>
      <c r="L114" s="46"/>
      <c r="M114" s="46"/>
    </row>
    <row r="115" spans="1:13">
      <c r="A115" s="98" t="s">
        <v>453</v>
      </c>
      <c r="B115" s="43" t="s">
        <v>304</v>
      </c>
      <c r="C115" s="43" t="s">
        <v>304</v>
      </c>
      <c r="D115" s="43" t="s">
        <v>305</v>
      </c>
      <c r="E115" s="43" t="s">
        <v>304</v>
      </c>
      <c r="F115" s="43" t="s">
        <v>305</v>
      </c>
      <c r="G115" s="43" t="s">
        <v>305</v>
      </c>
      <c r="H115" s="53" t="s">
        <v>304</v>
      </c>
      <c r="I115" s="43" t="s">
        <v>305</v>
      </c>
      <c r="J115" s="49" t="s">
        <v>389</v>
      </c>
      <c r="K115" s="52"/>
      <c r="L115" s="46"/>
      <c r="M115" s="46"/>
    </row>
    <row r="116" spans="1:13">
      <c r="A116" s="98" t="s">
        <v>454</v>
      </c>
      <c r="B116" s="43" t="s">
        <v>305</v>
      </c>
      <c r="C116" s="43" t="s">
        <v>304</v>
      </c>
      <c r="D116" s="43" t="s">
        <v>305</v>
      </c>
      <c r="E116" s="43" t="s">
        <v>304</v>
      </c>
      <c r="F116" s="43" t="s">
        <v>305</v>
      </c>
      <c r="G116" s="43" t="s">
        <v>305</v>
      </c>
      <c r="H116" s="53" t="s">
        <v>304</v>
      </c>
      <c r="I116" s="43" t="s">
        <v>305</v>
      </c>
      <c r="J116" s="49" t="s">
        <v>389</v>
      </c>
      <c r="K116" s="52"/>
      <c r="L116" s="46"/>
      <c r="M116" s="46"/>
    </row>
    <row r="117" spans="1:13">
      <c r="A117" s="98" t="s">
        <v>455</v>
      </c>
      <c r="B117" s="43" t="s">
        <v>305</v>
      </c>
      <c r="C117" s="43" t="s">
        <v>305</v>
      </c>
      <c r="D117" s="43" t="s">
        <v>305</v>
      </c>
      <c r="E117" s="43" t="s">
        <v>304</v>
      </c>
      <c r="F117" s="43" t="s">
        <v>304</v>
      </c>
      <c r="G117" s="43" t="s">
        <v>305</v>
      </c>
      <c r="H117" s="53" t="s">
        <v>304</v>
      </c>
      <c r="I117" s="43" t="s">
        <v>305</v>
      </c>
      <c r="J117" s="49" t="s">
        <v>380</v>
      </c>
      <c r="K117" s="44"/>
      <c r="L117" s="46"/>
      <c r="M117" s="46"/>
    </row>
    <row r="118" spans="1:13">
      <c r="A118" s="98" t="s">
        <v>456</v>
      </c>
      <c r="B118" s="43"/>
      <c r="C118" s="43"/>
      <c r="D118" s="43"/>
      <c r="E118" s="43"/>
      <c r="F118" s="43"/>
      <c r="G118" s="43"/>
      <c r="H118" s="53"/>
      <c r="I118" s="43"/>
      <c r="J118" s="49"/>
    </row>
    <row r="119" spans="1:13">
      <c r="A119" s="98" t="s">
        <v>457</v>
      </c>
      <c r="B119" s="43" t="s">
        <v>305</v>
      </c>
      <c r="C119" s="43" t="s">
        <v>305</v>
      </c>
      <c r="D119" s="43" t="s">
        <v>305</v>
      </c>
      <c r="E119" s="43" t="s">
        <v>304</v>
      </c>
      <c r="F119" s="43" t="s">
        <v>304</v>
      </c>
      <c r="G119" s="43" t="s">
        <v>305</v>
      </c>
      <c r="H119" s="53" t="s">
        <v>304</v>
      </c>
      <c r="I119" s="43" t="s">
        <v>305</v>
      </c>
      <c r="J119" s="49" t="s">
        <v>380</v>
      </c>
      <c r="K119" s="44"/>
      <c r="L119" s="46"/>
      <c r="M119" s="46"/>
    </row>
    <row r="120" spans="1:13">
      <c r="A120" s="98" t="s">
        <v>458</v>
      </c>
      <c r="B120" s="43" t="s">
        <v>304</v>
      </c>
      <c r="C120" s="43" t="s">
        <v>305</v>
      </c>
      <c r="D120" s="43" t="s">
        <v>304</v>
      </c>
      <c r="E120" s="43" t="s">
        <v>304</v>
      </c>
      <c r="F120" s="43" t="s">
        <v>305</v>
      </c>
      <c r="G120" s="43" t="s">
        <v>305</v>
      </c>
      <c r="H120" s="53" t="s">
        <v>304</v>
      </c>
      <c r="I120" s="43" t="s">
        <v>305</v>
      </c>
      <c r="J120" s="49"/>
      <c r="K120" s="44"/>
      <c r="L120" s="46"/>
      <c r="M120" s="46"/>
    </row>
    <row r="121" spans="1:13">
      <c r="A121" s="97" t="s">
        <v>1359</v>
      </c>
      <c r="B121" s="43"/>
      <c r="C121" s="43"/>
      <c r="D121" s="43"/>
      <c r="E121" s="43"/>
      <c r="F121" s="43"/>
      <c r="G121" s="43"/>
      <c r="H121" s="53"/>
      <c r="I121" s="43"/>
      <c r="J121" s="49" t="s">
        <v>389</v>
      </c>
      <c r="K121" s="52"/>
      <c r="L121" s="46"/>
      <c r="M121" s="46"/>
    </row>
    <row r="122" spans="1:13">
      <c r="A122" s="100" t="s">
        <v>459</v>
      </c>
      <c r="B122" s="43" t="s">
        <v>305</v>
      </c>
      <c r="C122" s="43" t="s">
        <v>305</v>
      </c>
      <c r="D122" s="43" t="s">
        <v>305</v>
      </c>
      <c r="E122" s="43" t="s">
        <v>305</v>
      </c>
      <c r="F122" s="43" t="s">
        <v>305</v>
      </c>
      <c r="G122" s="43" t="s">
        <v>305</v>
      </c>
      <c r="H122" s="43" t="s">
        <v>305</v>
      </c>
      <c r="I122" s="43" t="s">
        <v>1527</v>
      </c>
      <c r="J122" s="47" t="s">
        <v>460</v>
      </c>
    </row>
    <row r="123" spans="1:13">
      <c r="A123" s="45" t="s">
        <v>461</v>
      </c>
      <c r="B123" s="43"/>
      <c r="C123" s="43"/>
      <c r="D123" s="43"/>
      <c r="E123" s="43"/>
      <c r="F123" s="43"/>
      <c r="G123" s="43"/>
      <c r="H123" s="53"/>
      <c r="I123" s="43"/>
      <c r="J123" s="49" t="s">
        <v>323</v>
      </c>
      <c r="K123" s="47">
        <v>26</v>
      </c>
    </row>
    <row r="124" spans="1:13">
      <c r="A124" s="97" t="s">
        <v>462</v>
      </c>
      <c r="B124" s="53" t="s">
        <v>304</v>
      </c>
      <c r="C124" s="53" t="s">
        <v>304</v>
      </c>
      <c r="D124" s="53" t="s">
        <v>304</v>
      </c>
      <c r="E124" s="53" t="s">
        <v>304</v>
      </c>
      <c r="F124" s="43" t="s">
        <v>305</v>
      </c>
      <c r="G124" s="43" t="s">
        <v>305</v>
      </c>
      <c r="H124" s="53" t="s">
        <v>304</v>
      </c>
      <c r="I124" s="43" t="s">
        <v>305</v>
      </c>
      <c r="J124" s="49" t="s">
        <v>297</v>
      </c>
      <c r="K124" s="42"/>
      <c r="L124" s="53"/>
      <c r="M124" s="53"/>
    </row>
    <row r="125" spans="1:13">
      <c r="A125" s="97" t="s">
        <v>463</v>
      </c>
      <c r="B125" s="53" t="s">
        <v>304</v>
      </c>
      <c r="C125" s="53" t="s">
        <v>304</v>
      </c>
      <c r="D125" s="53" t="s">
        <v>304</v>
      </c>
      <c r="E125" s="53" t="s">
        <v>304</v>
      </c>
      <c r="F125" s="43" t="s">
        <v>305</v>
      </c>
      <c r="G125" s="43" t="s">
        <v>305</v>
      </c>
      <c r="H125" s="53" t="s">
        <v>304</v>
      </c>
      <c r="I125" s="43" t="s">
        <v>305</v>
      </c>
      <c r="J125" s="49" t="s">
        <v>297</v>
      </c>
      <c r="K125" s="42"/>
      <c r="L125" s="53"/>
      <c r="M125" s="53"/>
    </row>
    <row r="126" spans="1:13">
      <c r="A126" s="97" t="s">
        <v>464</v>
      </c>
      <c r="B126" s="53" t="s">
        <v>304</v>
      </c>
      <c r="C126" s="53" t="s">
        <v>304</v>
      </c>
      <c r="D126" s="53" t="s">
        <v>304</v>
      </c>
      <c r="E126" s="53" t="s">
        <v>304</v>
      </c>
      <c r="F126" s="43" t="s">
        <v>305</v>
      </c>
      <c r="G126" s="43" t="s">
        <v>305</v>
      </c>
      <c r="H126" s="53" t="s">
        <v>304</v>
      </c>
      <c r="I126" s="43" t="s">
        <v>305</v>
      </c>
      <c r="J126" s="49" t="s">
        <v>297</v>
      </c>
      <c r="K126" s="44"/>
      <c r="L126" s="46"/>
      <c r="M126" s="46"/>
    </row>
    <row r="127" spans="1:13">
      <c r="A127" s="97" t="s">
        <v>465</v>
      </c>
      <c r="B127" s="53" t="s">
        <v>304</v>
      </c>
      <c r="C127" s="53" t="s">
        <v>304</v>
      </c>
      <c r="D127" s="53" t="s">
        <v>304</v>
      </c>
      <c r="E127" s="53" t="s">
        <v>304</v>
      </c>
      <c r="F127" s="43" t="s">
        <v>305</v>
      </c>
      <c r="G127" s="43" t="s">
        <v>305</v>
      </c>
      <c r="H127" s="53" t="s">
        <v>304</v>
      </c>
      <c r="I127" s="43" t="s">
        <v>305</v>
      </c>
      <c r="J127" s="49" t="s">
        <v>297</v>
      </c>
      <c r="K127" s="44"/>
      <c r="L127" s="46"/>
      <c r="M127" s="46"/>
    </row>
    <row r="128" spans="1:13">
      <c r="A128" s="45" t="s">
        <v>466</v>
      </c>
      <c r="B128" s="43" t="s">
        <v>305</v>
      </c>
      <c r="C128" s="43" t="s">
        <v>305</v>
      </c>
      <c r="D128" s="43" t="s">
        <v>305</v>
      </c>
      <c r="E128" s="43" t="s">
        <v>305</v>
      </c>
      <c r="F128" s="43" t="s">
        <v>305</v>
      </c>
      <c r="G128" s="43" t="s">
        <v>304</v>
      </c>
      <c r="H128" s="43" t="s">
        <v>305</v>
      </c>
      <c r="I128" s="43" t="s">
        <v>305</v>
      </c>
      <c r="J128" s="49" t="s">
        <v>1340</v>
      </c>
      <c r="K128" s="47">
        <v>3</v>
      </c>
      <c r="L128" s="49" t="s">
        <v>1347</v>
      </c>
    </row>
    <row r="129" spans="1:255">
      <c r="A129" s="98" t="s">
        <v>467</v>
      </c>
      <c r="B129" s="43" t="s">
        <v>304</v>
      </c>
      <c r="C129" s="43" t="s">
        <v>304</v>
      </c>
      <c r="D129" s="43" t="s">
        <v>304</v>
      </c>
      <c r="E129" s="43" t="s">
        <v>304</v>
      </c>
      <c r="F129" s="43" t="s">
        <v>305</v>
      </c>
      <c r="G129" s="43" t="s">
        <v>305</v>
      </c>
      <c r="H129" s="53" t="s">
        <v>304</v>
      </c>
      <c r="I129" s="43" t="s">
        <v>305</v>
      </c>
      <c r="J129" s="44" t="s">
        <v>306</v>
      </c>
      <c r="K129" s="44" t="s">
        <v>468</v>
      </c>
    </row>
    <row r="130" spans="1:255">
      <c r="A130" s="98" t="s">
        <v>469</v>
      </c>
      <c r="B130" s="43" t="s">
        <v>304</v>
      </c>
      <c r="C130" s="43" t="s">
        <v>304</v>
      </c>
      <c r="D130" s="43" t="s">
        <v>304</v>
      </c>
      <c r="E130" s="43" t="s">
        <v>304</v>
      </c>
      <c r="F130" s="43" t="s">
        <v>305</v>
      </c>
      <c r="G130" s="43" t="s">
        <v>305</v>
      </c>
      <c r="H130" s="53" t="s">
        <v>304</v>
      </c>
      <c r="I130" s="43" t="s">
        <v>305</v>
      </c>
      <c r="J130" s="49"/>
    </row>
    <row r="131" spans="1:255">
      <c r="A131" s="98" t="s">
        <v>470</v>
      </c>
      <c r="B131" s="43" t="s">
        <v>304</v>
      </c>
      <c r="C131" s="43" t="s">
        <v>305</v>
      </c>
      <c r="D131" s="43" t="s">
        <v>304</v>
      </c>
      <c r="E131" s="43" t="s">
        <v>304</v>
      </c>
      <c r="F131" s="43" t="s">
        <v>305</v>
      </c>
      <c r="G131" s="43" t="s">
        <v>305</v>
      </c>
      <c r="H131" s="53" t="s">
        <v>304</v>
      </c>
      <c r="I131" s="43" t="s">
        <v>305</v>
      </c>
      <c r="J131" s="44" t="s">
        <v>306</v>
      </c>
      <c r="K131" s="44" t="s">
        <v>471</v>
      </c>
    </row>
    <row r="132" spans="1:255">
      <c r="A132" s="98" t="s">
        <v>472</v>
      </c>
      <c r="B132" s="43" t="s">
        <v>305</v>
      </c>
      <c r="C132" s="43" t="s">
        <v>304</v>
      </c>
      <c r="D132" s="43" t="s">
        <v>305</v>
      </c>
      <c r="E132" s="43" t="s">
        <v>304</v>
      </c>
      <c r="F132" s="43" t="s">
        <v>305</v>
      </c>
      <c r="G132" s="43" t="s">
        <v>305</v>
      </c>
      <c r="H132" s="53" t="s">
        <v>304</v>
      </c>
      <c r="I132" s="43" t="s">
        <v>305</v>
      </c>
      <c r="J132" s="49"/>
    </row>
    <row r="133" spans="1:255">
      <c r="A133" s="98" t="s">
        <v>473</v>
      </c>
      <c r="B133" s="53" t="s">
        <v>304</v>
      </c>
      <c r="C133" s="53" t="s">
        <v>304</v>
      </c>
      <c r="D133" s="53" t="s">
        <v>304</v>
      </c>
      <c r="E133" s="43" t="s">
        <v>305</v>
      </c>
      <c r="F133" s="43" t="s">
        <v>305</v>
      </c>
      <c r="G133" s="43" t="s">
        <v>305</v>
      </c>
      <c r="H133" s="43" t="s">
        <v>305</v>
      </c>
      <c r="I133" s="43" t="s">
        <v>305</v>
      </c>
      <c r="J133" s="49" t="s">
        <v>474</v>
      </c>
      <c r="K133" s="47">
        <v>48</v>
      </c>
    </row>
    <row r="134" spans="1:255" s="48" customFormat="1">
      <c r="A134" s="98" t="s">
        <v>475</v>
      </c>
      <c r="B134" s="43" t="s">
        <v>304</v>
      </c>
      <c r="C134" s="43" t="s">
        <v>304</v>
      </c>
      <c r="D134" s="43" t="s">
        <v>304</v>
      </c>
      <c r="E134" s="43" t="s">
        <v>304</v>
      </c>
      <c r="F134" s="43" t="s">
        <v>304</v>
      </c>
      <c r="G134" s="43" t="s">
        <v>305</v>
      </c>
      <c r="H134" s="53" t="s">
        <v>304</v>
      </c>
      <c r="I134" s="43" t="s">
        <v>305</v>
      </c>
      <c r="J134" s="49" t="s">
        <v>1341</v>
      </c>
      <c r="K134" s="47">
        <v>16</v>
      </c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  <c r="BV134" s="52"/>
      <c r="BW134" s="52"/>
      <c r="BX134" s="52"/>
      <c r="BY134" s="52"/>
      <c r="BZ134" s="52"/>
      <c r="CA134" s="52"/>
      <c r="CB134" s="52"/>
      <c r="CC134" s="52"/>
      <c r="CD134" s="52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  <c r="CO134" s="52"/>
      <c r="CP134" s="52"/>
      <c r="CQ134" s="52"/>
      <c r="CR134" s="52"/>
      <c r="CS134" s="52"/>
      <c r="CT134" s="52"/>
      <c r="CU134" s="52"/>
      <c r="CV134" s="52"/>
      <c r="CW134" s="52"/>
      <c r="CX134" s="52"/>
      <c r="CY134" s="52"/>
      <c r="CZ134" s="52"/>
      <c r="DA134" s="52"/>
      <c r="DB134" s="52"/>
      <c r="DC134" s="52"/>
      <c r="DD134" s="52"/>
      <c r="DE134" s="52"/>
      <c r="DF134" s="52"/>
      <c r="DG134" s="52"/>
      <c r="DH134" s="52"/>
      <c r="DI134" s="52"/>
      <c r="DJ134" s="52"/>
      <c r="DK134" s="52"/>
      <c r="DL134" s="52"/>
      <c r="DM134" s="52"/>
      <c r="DN134" s="52"/>
      <c r="DO134" s="52"/>
      <c r="DP134" s="52"/>
      <c r="DQ134" s="52"/>
      <c r="DR134" s="52"/>
      <c r="DS134" s="52"/>
      <c r="DT134" s="52"/>
      <c r="DU134" s="52"/>
      <c r="DV134" s="52"/>
      <c r="DW134" s="52"/>
      <c r="DX134" s="52"/>
      <c r="DY134" s="52"/>
      <c r="DZ134" s="52"/>
      <c r="EA134" s="52"/>
      <c r="EB134" s="52"/>
      <c r="EC134" s="52"/>
      <c r="ED134" s="52"/>
      <c r="EE134" s="52"/>
      <c r="EF134" s="52"/>
      <c r="EG134" s="52"/>
      <c r="EH134" s="52"/>
      <c r="EI134" s="52"/>
      <c r="EJ134" s="52"/>
      <c r="EK134" s="52"/>
      <c r="EL134" s="52"/>
      <c r="EM134" s="52"/>
      <c r="EN134" s="52"/>
      <c r="EO134" s="52"/>
      <c r="EP134" s="52"/>
      <c r="EQ134" s="52"/>
      <c r="ER134" s="52"/>
      <c r="ES134" s="52"/>
      <c r="ET134" s="52"/>
      <c r="EU134" s="52"/>
      <c r="EV134" s="52"/>
      <c r="EW134" s="52"/>
      <c r="EX134" s="52"/>
      <c r="EY134" s="52"/>
      <c r="EZ134" s="52"/>
      <c r="FA134" s="52"/>
      <c r="FB134" s="52"/>
      <c r="FC134" s="52"/>
      <c r="FD134" s="52"/>
      <c r="FE134" s="52"/>
      <c r="FF134" s="52"/>
      <c r="FG134" s="52"/>
      <c r="FH134" s="52"/>
      <c r="FI134" s="52"/>
      <c r="FJ134" s="52"/>
      <c r="FK134" s="52"/>
      <c r="FL134" s="52"/>
      <c r="FM134" s="52"/>
      <c r="FN134" s="52"/>
      <c r="FO134" s="52"/>
      <c r="FP134" s="52"/>
      <c r="FQ134" s="52"/>
      <c r="FR134" s="52"/>
      <c r="FS134" s="52"/>
      <c r="FT134" s="52"/>
      <c r="FU134" s="52"/>
      <c r="FV134" s="52"/>
      <c r="FW134" s="52"/>
      <c r="FX134" s="52"/>
      <c r="FY134" s="52"/>
      <c r="FZ134" s="52"/>
      <c r="GA134" s="52"/>
      <c r="GB134" s="52"/>
      <c r="GC134" s="52"/>
      <c r="GD134" s="52"/>
      <c r="GE134" s="52"/>
      <c r="GF134" s="52"/>
      <c r="GG134" s="52"/>
      <c r="GH134" s="52"/>
      <c r="GI134" s="52"/>
      <c r="GJ134" s="52"/>
      <c r="GK134" s="52"/>
      <c r="GL134" s="52"/>
      <c r="GM134" s="52"/>
      <c r="GN134" s="52"/>
      <c r="GO134" s="52"/>
      <c r="GP134" s="52"/>
      <c r="GQ134" s="52"/>
      <c r="GR134" s="52"/>
      <c r="GS134" s="52"/>
      <c r="GT134" s="52"/>
      <c r="GU134" s="52"/>
      <c r="GV134" s="52"/>
      <c r="GW134" s="52"/>
      <c r="GX134" s="52"/>
      <c r="GY134" s="52"/>
      <c r="GZ134" s="52"/>
      <c r="HA134" s="52"/>
      <c r="HB134" s="52"/>
      <c r="HC134" s="52"/>
      <c r="HD134" s="52"/>
      <c r="HE134" s="52"/>
      <c r="HF134" s="52"/>
      <c r="HG134" s="52"/>
      <c r="HH134" s="52"/>
      <c r="HI134" s="52"/>
      <c r="HJ134" s="52"/>
      <c r="HK134" s="52"/>
      <c r="HL134" s="52"/>
      <c r="HM134" s="52"/>
      <c r="HN134" s="52"/>
      <c r="HO134" s="52"/>
      <c r="HP134" s="52"/>
      <c r="HQ134" s="52"/>
      <c r="HR134" s="52"/>
      <c r="HS134" s="52"/>
      <c r="HT134" s="52"/>
      <c r="HU134" s="52"/>
      <c r="HV134" s="52"/>
      <c r="HW134" s="52"/>
      <c r="HX134" s="52"/>
      <c r="HY134" s="52"/>
      <c r="HZ134" s="52"/>
      <c r="IA134" s="52"/>
      <c r="IB134" s="52"/>
      <c r="IC134" s="52"/>
      <c r="ID134" s="52"/>
      <c r="IE134" s="52"/>
      <c r="IF134" s="52"/>
      <c r="IG134" s="52"/>
      <c r="IH134" s="52"/>
      <c r="II134" s="52"/>
      <c r="IJ134" s="52"/>
      <c r="IK134" s="52"/>
      <c r="IL134" s="52"/>
      <c r="IM134" s="52"/>
      <c r="IN134" s="52"/>
      <c r="IO134" s="52"/>
      <c r="IP134" s="52"/>
      <c r="IQ134" s="52"/>
      <c r="IR134" s="52"/>
      <c r="IS134" s="52"/>
      <c r="IT134" s="52"/>
      <c r="IU134" s="52"/>
    </row>
    <row r="135" spans="1:255">
      <c r="A135" s="100" t="s">
        <v>476</v>
      </c>
      <c r="B135" s="43" t="s">
        <v>304</v>
      </c>
      <c r="C135" s="43" t="s">
        <v>304</v>
      </c>
      <c r="D135" s="43" t="s">
        <v>304</v>
      </c>
      <c r="E135" s="43" t="s">
        <v>304</v>
      </c>
      <c r="F135" s="43" t="s">
        <v>305</v>
      </c>
      <c r="G135" s="43" t="s">
        <v>305</v>
      </c>
      <c r="H135" s="53" t="s">
        <v>304</v>
      </c>
      <c r="I135" s="43" t="s">
        <v>305</v>
      </c>
      <c r="J135" s="49"/>
    </row>
    <row r="136" spans="1:255">
      <c r="A136" s="98" t="s">
        <v>477</v>
      </c>
      <c r="B136" s="43" t="s">
        <v>304</v>
      </c>
      <c r="C136" s="43" t="s">
        <v>304</v>
      </c>
      <c r="D136" s="43" t="s">
        <v>304</v>
      </c>
      <c r="E136" s="43" t="s">
        <v>304</v>
      </c>
      <c r="F136" s="43" t="s">
        <v>305</v>
      </c>
      <c r="G136" s="43" t="s">
        <v>305</v>
      </c>
      <c r="H136" s="53" t="s">
        <v>304</v>
      </c>
      <c r="I136" s="43" t="s">
        <v>305</v>
      </c>
      <c r="J136" s="44" t="s">
        <v>306</v>
      </c>
      <c r="K136" s="44" t="s">
        <v>478</v>
      </c>
    </row>
    <row r="137" spans="1:255">
      <c r="A137" s="98" t="s">
        <v>479</v>
      </c>
      <c r="B137" s="43" t="s">
        <v>304</v>
      </c>
      <c r="C137" s="43" t="s">
        <v>304</v>
      </c>
      <c r="D137" s="43" t="s">
        <v>304</v>
      </c>
      <c r="E137" s="43" t="s">
        <v>304</v>
      </c>
      <c r="F137" s="43" t="s">
        <v>305</v>
      </c>
      <c r="G137" s="43" t="s">
        <v>305</v>
      </c>
      <c r="H137" s="53" t="s">
        <v>304</v>
      </c>
      <c r="I137" s="43" t="s">
        <v>305</v>
      </c>
      <c r="J137" s="44" t="s">
        <v>306</v>
      </c>
      <c r="K137" s="44" t="s">
        <v>480</v>
      </c>
    </row>
    <row r="138" spans="1:255">
      <c r="A138" s="45" t="s">
        <v>481</v>
      </c>
      <c r="B138" s="43"/>
      <c r="C138" s="43"/>
      <c r="D138" s="43"/>
      <c r="E138" s="43"/>
      <c r="F138" s="43"/>
      <c r="G138" s="43"/>
      <c r="H138" s="53"/>
      <c r="I138" s="43"/>
      <c r="J138" s="49" t="s">
        <v>389</v>
      </c>
      <c r="K138" s="52"/>
      <c r="L138" s="46"/>
      <c r="M138" s="46"/>
    </row>
    <row r="139" spans="1:255">
      <c r="A139" s="45" t="s">
        <v>482</v>
      </c>
      <c r="B139" s="43" t="s">
        <v>304</v>
      </c>
      <c r="C139" s="43" t="s">
        <v>304</v>
      </c>
      <c r="D139" s="43" t="s">
        <v>304</v>
      </c>
      <c r="E139" s="43" t="s">
        <v>304</v>
      </c>
      <c r="F139" s="43" t="s">
        <v>305</v>
      </c>
      <c r="G139" s="43" t="s">
        <v>305</v>
      </c>
      <c r="H139" s="53" t="s">
        <v>304</v>
      </c>
      <c r="I139" s="43" t="s">
        <v>305</v>
      </c>
      <c r="J139" s="44" t="s">
        <v>483</v>
      </c>
      <c r="K139" s="47">
        <v>30</v>
      </c>
    </row>
    <row r="140" spans="1:255">
      <c r="A140" s="45" t="s">
        <v>484</v>
      </c>
      <c r="B140" s="43" t="s">
        <v>305</v>
      </c>
      <c r="C140" s="53" t="s">
        <v>304</v>
      </c>
      <c r="D140" s="53" t="s">
        <v>304</v>
      </c>
      <c r="E140" s="53" t="s">
        <v>304</v>
      </c>
      <c r="F140" s="53" t="s">
        <v>304</v>
      </c>
      <c r="G140" s="43" t="s">
        <v>305</v>
      </c>
      <c r="H140" s="53" t="s">
        <v>304</v>
      </c>
      <c r="I140" s="43" t="s">
        <v>305</v>
      </c>
      <c r="J140" s="49"/>
    </row>
    <row r="141" spans="1:255">
      <c r="A141" s="98" t="s">
        <v>485</v>
      </c>
      <c r="B141" s="43" t="s">
        <v>305</v>
      </c>
      <c r="C141" s="43" t="s">
        <v>305</v>
      </c>
      <c r="D141" s="43" t="s">
        <v>305</v>
      </c>
      <c r="E141" s="43" t="s">
        <v>304</v>
      </c>
      <c r="F141" s="43" t="s">
        <v>304</v>
      </c>
      <c r="G141" s="43" t="s">
        <v>305</v>
      </c>
      <c r="H141" s="53" t="s">
        <v>304</v>
      </c>
      <c r="I141" s="43" t="s">
        <v>305</v>
      </c>
      <c r="J141" s="49"/>
    </row>
    <row r="142" spans="1:255">
      <c r="A142" s="45" t="s">
        <v>486</v>
      </c>
      <c r="B142" s="43" t="s">
        <v>304</v>
      </c>
      <c r="C142" s="43" t="s">
        <v>304</v>
      </c>
      <c r="D142" s="43" t="s">
        <v>304</v>
      </c>
      <c r="E142" s="43" t="s">
        <v>304</v>
      </c>
      <c r="F142" s="43" t="s">
        <v>305</v>
      </c>
      <c r="G142" s="43" t="s">
        <v>305</v>
      </c>
      <c r="H142" s="53" t="s">
        <v>304</v>
      </c>
      <c r="I142" s="43" t="s">
        <v>305</v>
      </c>
      <c r="J142" s="44" t="s">
        <v>394</v>
      </c>
      <c r="K142" s="47">
        <v>22</v>
      </c>
      <c r="L142" s="44" t="s">
        <v>487</v>
      </c>
    </row>
    <row r="143" spans="1:255">
      <c r="A143" s="45" t="s">
        <v>488</v>
      </c>
      <c r="B143" s="43" t="s">
        <v>304</v>
      </c>
      <c r="C143" s="43" t="s">
        <v>304</v>
      </c>
      <c r="D143" s="43" t="s">
        <v>304</v>
      </c>
      <c r="E143" s="43" t="s">
        <v>304</v>
      </c>
      <c r="F143" s="43" t="s">
        <v>305</v>
      </c>
      <c r="G143" s="43" t="s">
        <v>305</v>
      </c>
      <c r="H143" s="53" t="s">
        <v>304</v>
      </c>
      <c r="I143" s="43" t="s">
        <v>305</v>
      </c>
      <c r="J143" s="44" t="s">
        <v>483</v>
      </c>
      <c r="K143" s="47">
        <v>21</v>
      </c>
    </row>
    <row r="144" spans="1:255">
      <c r="A144" s="45" t="s">
        <v>489</v>
      </c>
      <c r="B144" s="43" t="s">
        <v>305</v>
      </c>
      <c r="C144" s="43" t="s">
        <v>305</v>
      </c>
      <c r="D144" s="43" t="s">
        <v>305</v>
      </c>
      <c r="E144" s="43" t="s">
        <v>305</v>
      </c>
      <c r="F144" s="43" t="s">
        <v>305</v>
      </c>
      <c r="G144" s="43" t="s">
        <v>305</v>
      </c>
      <c r="H144" s="43" t="s">
        <v>305</v>
      </c>
      <c r="I144" s="43" t="s">
        <v>305</v>
      </c>
      <c r="J144" s="49" t="s">
        <v>373</v>
      </c>
      <c r="K144" s="44" t="s">
        <v>688</v>
      </c>
      <c r="L144" s="44" t="s">
        <v>490</v>
      </c>
      <c r="M144" s="46"/>
    </row>
    <row r="145" spans="1:13">
      <c r="A145" s="98" t="s">
        <v>491</v>
      </c>
      <c r="B145" s="43" t="s">
        <v>304</v>
      </c>
      <c r="C145" s="43" t="s">
        <v>304</v>
      </c>
      <c r="D145" s="43" t="s">
        <v>304</v>
      </c>
      <c r="E145" s="43" t="s">
        <v>304</v>
      </c>
      <c r="F145" s="43" t="s">
        <v>304</v>
      </c>
      <c r="G145" s="43" t="s">
        <v>305</v>
      </c>
      <c r="H145" s="53" t="s">
        <v>304</v>
      </c>
      <c r="I145" s="43" t="s">
        <v>305</v>
      </c>
      <c r="J145" s="44" t="s">
        <v>306</v>
      </c>
      <c r="K145" s="44" t="s">
        <v>492</v>
      </c>
      <c r="L145" s="52"/>
    </row>
    <row r="146" spans="1:13">
      <c r="A146" s="45" t="s">
        <v>493</v>
      </c>
      <c r="J146" s="44" t="s">
        <v>419</v>
      </c>
      <c r="K146" s="47">
        <v>36</v>
      </c>
    </row>
    <row r="147" spans="1:13">
      <c r="A147" s="98" t="s">
        <v>494</v>
      </c>
      <c r="B147" s="43" t="s">
        <v>305</v>
      </c>
      <c r="C147" s="43" t="s">
        <v>305</v>
      </c>
      <c r="D147" s="43" t="s">
        <v>305</v>
      </c>
      <c r="E147" s="43" t="s">
        <v>305</v>
      </c>
      <c r="F147" s="43" t="s">
        <v>304</v>
      </c>
      <c r="G147" s="43" t="s">
        <v>305</v>
      </c>
      <c r="H147" s="43" t="s">
        <v>305</v>
      </c>
      <c r="I147" s="43" t="s">
        <v>305</v>
      </c>
      <c r="J147" s="49"/>
    </row>
    <row r="148" spans="1:13">
      <c r="A148" s="98" t="s">
        <v>496</v>
      </c>
      <c r="B148" s="43" t="s">
        <v>304</v>
      </c>
      <c r="C148" s="43" t="s">
        <v>304</v>
      </c>
      <c r="D148" s="43" t="s">
        <v>304</v>
      </c>
      <c r="E148" s="43" t="s">
        <v>304</v>
      </c>
      <c r="F148" s="43" t="s">
        <v>305</v>
      </c>
      <c r="G148" s="43" t="s">
        <v>305</v>
      </c>
      <c r="H148" s="53" t="s">
        <v>304</v>
      </c>
      <c r="I148" s="43" t="s">
        <v>305</v>
      </c>
      <c r="J148" s="44" t="s">
        <v>306</v>
      </c>
      <c r="K148" s="44" t="s">
        <v>497</v>
      </c>
    </row>
    <row r="149" spans="1:13">
      <c r="A149" s="98" t="s">
        <v>498</v>
      </c>
      <c r="B149" s="53" t="s">
        <v>304</v>
      </c>
      <c r="C149" s="53" t="s">
        <v>304</v>
      </c>
      <c r="D149" s="53" t="s">
        <v>304</v>
      </c>
      <c r="E149" s="53" t="s">
        <v>304</v>
      </c>
      <c r="F149" s="43" t="s">
        <v>305</v>
      </c>
      <c r="G149" s="43" t="s">
        <v>305</v>
      </c>
      <c r="H149" s="43" t="s">
        <v>305</v>
      </c>
      <c r="I149" s="43" t="s">
        <v>305</v>
      </c>
      <c r="J149" s="49" t="s">
        <v>386</v>
      </c>
      <c r="K149" s="47">
        <v>49</v>
      </c>
    </row>
    <row r="150" spans="1:13">
      <c r="A150" s="98" t="s">
        <v>499</v>
      </c>
      <c r="B150" s="53" t="s">
        <v>304</v>
      </c>
      <c r="C150" s="53" t="s">
        <v>304</v>
      </c>
      <c r="D150" s="53" t="s">
        <v>304</v>
      </c>
      <c r="E150" s="43" t="s">
        <v>305</v>
      </c>
      <c r="F150" s="43" t="s">
        <v>305</v>
      </c>
      <c r="G150" s="43" t="s">
        <v>305</v>
      </c>
      <c r="H150" s="43" t="s">
        <v>305</v>
      </c>
      <c r="I150" s="43" t="s">
        <v>305</v>
      </c>
      <c r="J150" s="49" t="s">
        <v>474</v>
      </c>
      <c r="K150" s="47">
        <v>48</v>
      </c>
    </row>
    <row r="151" spans="1:13">
      <c r="A151" s="98" t="s">
        <v>500</v>
      </c>
      <c r="B151" s="53" t="s">
        <v>304</v>
      </c>
      <c r="C151" s="53" t="s">
        <v>304</v>
      </c>
      <c r="D151" s="53" t="s">
        <v>304</v>
      </c>
      <c r="E151" s="43" t="s">
        <v>305</v>
      </c>
      <c r="F151" s="43" t="s">
        <v>305</v>
      </c>
      <c r="G151" s="43" t="s">
        <v>305</v>
      </c>
      <c r="H151" s="43" t="s">
        <v>305</v>
      </c>
      <c r="I151" s="43" t="s">
        <v>305</v>
      </c>
      <c r="J151" s="49" t="s">
        <v>330</v>
      </c>
      <c r="K151" s="47">
        <v>31</v>
      </c>
    </row>
    <row r="152" spans="1:13">
      <c r="A152" s="45" t="s">
        <v>501</v>
      </c>
      <c r="B152" s="43" t="s">
        <v>304</v>
      </c>
      <c r="C152" s="43" t="s">
        <v>304</v>
      </c>
      <c r="D152" s="43" t="s">
        <v>304</v>
      </c>
      <c r="E152" s="43" t="s">
        <v>304</v>
      </c>
      <c r="F152" s="43" t="s">
        <v>305</v>
      </c>
      <c r="G152" s="43" t="s">
        <v>305</v>
      </c>
      <c r="H152" s="43" t="s">
        <v>305</v>
      </c>
      <c r="I152" s="43" t="s">
        <v>305</v>
      </c>
      <c r="J152" s="49" t="s">
        <v>1341</v>
      </c>
      <c r="K152" s="44" t="s">
        <v>307</v>
      </c>
      <c r="L152" s="46"/>
      <c r="M152" s="46"/>
    </row>
    <row r="153" spans="1:13">
      <c r="A153" s="45" t="s">
        <v>502</v>
      </c>
      <c r="B153" s="43" t="s">
        <v>304</v>
      </c>
      <c r="C153" s="43" t="s">
        <v>304</v>
      </c>
      <c r="D153" s="43" t="s">
        <v>304</v>
      </c>
      <c r="E153" s="43" t="s">
        <v>304</v>
      </c>
      <c r="F153" s="43" t="s">
        <v>305</v>
      </c>
      <c r="G153" s="43" t="s">
        <v>305</v>
      </c>
      <c r="H153" s="43" t="s">
        <v>305</v>
      </c>
      <c r="I153" s="43" t="s">
        <v>305</v>
      </c>
      <c r="J153" s="49" t="s">
        <v>1341</v>
      </c>
      <c r="K153" s="47">
        <v>16</v>
      </c>
    </row>
    <row r="154" spans="1:13">
      <c r="A154" s="98" t="s">
        <v>503</v>
      </c>
      <c r="B154" s="43" t="s">
        <v>305</v>
      </c>
      <c r="C154" s="43" t="s">
        <v>305</v>
      </c>
      <c r="D154" s="43" t="s">
        <v>305</v>
      </c>
      <c r="E154" s="43" t="s">
        <v>305</v>
      </c>
      <c r="F154" s="43" t="s">
        <v>305</v>
      </c>
      <c r="G154" s="43" t="s">
        <v>305</v>
      </c>
      <c r="H154" s="53" t="s">
        <v>304</v>
      </c>
      <c r="I154" s="43" t="s">
        <v>305</v>
      </c>
      <c r="J154" s="44" t="s">
        <v>312</v>
      </c>
      <c r="K154" s="47">
        <v>74</v>
      </c>
    </row>
    <row r="155" spans="1:13">
      <c r="A155" s="98" t="s">
        <v>504</v>
      </c>
      <c r="B155" s="43" t="s">
        <v>305</v>
      </c>
      <c r="C155" s="43" t="s">
        <v>305</v>
      </c>
      <c r="D155" s="43" t="s">
        <v>305</v>
      </c>
      <c r="E155" s="43" t="s">
        <v>305</v>
      </c>
      <c r="F155" s="43" t="s">
        <v>305</v>
      </c>
      <c r="G155" s="43" t="s">
        <v>305</v>
      </c>
      <c r="H155" s="53" t="s">
        <v>304</v>
      </c>
      <c r="I155" s="43" t="s">
        <v>305</v>
      </c>
      <c r="J155" s="44" t="s">
        <v>312</v>
      </c>
      <c r="K155" s="47">
        <v>75</v>
      </c>
    </row>
    <row r="156" spans="1:13">
      <c r="A156" s="98" t="s">
        <v>505</v>
      </c>
      <c r="B156" s="43" t="s">
        <v>305</v>
      </c>
      <c r="C156" s="43" t="s">
        <v>305</v>
      </c>
      <c r="D156" s="43" t="s">
        <v>305</v>
      </c>
      <c r="E156" s="43" t="s">
        <v>305</v>
      </c>
      <c r="F156" s="43" t="s">
        <v>305</v>
      </c>
      <c r="G156" s="43" t="s">
        <v>305</v>
      </c>
      <c r="H156" s="53" t="s">
        <v>304</v>
      </c>
      <c r="I156" s="43" t="s">
        <v>305</v>
      </c>
      <c r="J156" s="44" t="s">
        <v>312</v>
      </c>
      <c r="K156" s="47">
        <v>76</v>
      </c>
    </row>
    <row r="157" spans="1:13">
      <c r="A157" s="98" t="s">
        <v>506</v>
      </c>
      <c r="B157" s="43" t="s">
        <v>305</v>
      </c>
      <c r="C157" s="43" t="s">
        <v>305</v>
      </c>
      <c r="D157" s="43" t="s">
        <v>305</v>
      </c>
      <c r="E157" s="43" t="s">
        <v>305</v>
      </c>
      <c r="F157" s="43" t="s">
        <v>305</v>
      </c>
      <c r="G157" s="43" t="s">
        <v>305</v>
      </c>
      <c r="H157" s="53" t="s">
        <v>304</v>
      </c>
      <c r="I157" s="43" t="s">
        <v>305</v>
      </c>
      <c r="J157" s="44" t="s">
        <v>312</v>
      </c>
      <c r="K157" s="47">
        <v>78</v>
      </c>
    </row>
    <row r="158" spans="1:13">
      <c r="A158" s="98" t="s">
        <v>507</v>
      </c>
      <c r="B158" s="43" t="s">
        <v>305</v>
      </c>
      <c r="C158" s="43" t="s">
        <v>305</v>
      </c>
      <c r="D158" s="43" t="s">
        <v>305</v>
      </c>
      <c r="E158" s="43" t="s">
        <v>305</v>
      </c>
      <c r="F158" s="43" t="s">
        <v>305</v>
      </c>
      <c r="G158" s="43" t="s">
        <v>305</v>
      </c>
      <c r="H158" s="53" t="s">
        <v>304</v>
      </c>
      <c r="I158" s="43" t="s">
        <v>305</v>
      </c>
      <c r="J158" s="44" t="s">
        <v>312</v>
      </c>
      <c r="K158" s="44" t="s">
        <v>1353</v>
      </c>
      <c r="L158" s="46"/>
      <c r="M158" s="46"/>
    </row>
    <row r="159" spans="1:13">
      <c r="A159" s="98" t="s">
        <v>508</v>
      </c>
      <c r="B159" s="43" t="s">
        <v>305</v>
      </c>
      <c r="C159" s="43" t="s">
        <v>305</v>
      </c>
      <c r="D159" s="43" t="s">
        <v>305</v>
      </c>
      <c r="E159" s="43" t="s">
        <v>305</v>
      </c>
      <c r="F159" s="43" t="s">
        <v>305</v>
      </c>
      <c r="G159" s="43" t="s">
        <v>305</v>
      </c>
      <c r="H159" s="53" t="s">
        <v>304</v>
      </c>
      <c r="I159" s="43" t="s">
        <v>305</v>
      </c>
      <c r="J159" s="44" t="s">
        <v>312</v>
      </c>
      <c r="K159" s="44" t="s">
        <v>1354</v>
      </c>
      <c r="L159" s="46"/>
      <c r="M159" s="46"/>
    </row>
    <row r="160" spans="1:13">
      <c r="A160" s="98" t="s">
        <v>509</v>
      </c>
      <c r="B160" s="43" t="s">
        <v>304</v>
      </c>
      <c r="C160" s="43" t="s">
        <v>304</v>
      </c>
      <c r="D160" s="43" t="s">
        <v>304</v>
      </c>
      <c r="E160" s="43" t="s">
        <v>304</v>
      </c>
      <c r="F160" s="43" t="s">
        <v>305</v>
      </c>
      <c r="G160" s="43" t="s">
        <v>305</v>
      </c>
      <c r="H160" s="43" t="s">
        <v>305</v>
      </c>
      <c r="I160" s="43" t="s">
        <v>305</v>
      </c>
      <c r="J160" s="49" t="s">
        <v>1341</v>
      </c>
      <c r="K160" s="44" t="s">
        <v>307</v>
      </c>
      <c r="L160" s="46"/>
      <c r="M160" s="46"/>
    </row>
    <row r="161" spans="1:13">
      <c r="A161" s="45" t="s">
        <v>510</v>
      </c>
      <c r="B161" s="43" t="s">
        <v>304</v>
      </c>
      <c r="C161" s="43" t="s">
        <v>304</v>
      </c>
      <c r="D161" s="43" t="s">
        <v>304</v>
      </c>
      <c r="E161" s="43" t="s">
        <v>304</v>
      </c>
      <c r="F161" s="43" t="s">
        <v>305</v>
      </c>
      <c r="G161" s="43" t="s">
        <v>305</v>
      </c>
      <c r="H161" s="53" t="s">
        <v>304</v>
      </c>
      <c r="I161" s="43" t="s">
        <v>347</v>
      </c>
      <c r="J161" s="49"/>
      <c r="K161" s="44"/>
      <c r="L161" s="46"/>
      <c r="M161" s="46"/>
    </row>
    <row r="162" spans="1:13">
      <c r="A162" s="98" t="s">
        <v>511</v>
      </c>
      <c r="B162" s="43" t="s">
        <v>304</v>
      </c>
      <c r="C162" s="43" t="s">
        <v>304</v>
      </c>
      <c r="D162" s="43" t="s">
        <v>304</v>
      </c>
      <c r="E162" s="43" t="s">
        <v>304</v>
      </c>
      <c r="F162" s="43" t="s">
        <v>305</v>
      </c>
      <c r="G162" s="43" t="s">
        <v>305</v>
      </c>
      <c r="H162" s="53" t="s">
        <v>304</v>
      </c>
      <c r="I162" s="43" t="s">
        <v>347</v>
      </c>
      <c r="J162" s="49"/>
    </row>
    <row r="163" spans="1:13">
      <c r="A163" s="98" t="s">
        <v>512</v>
      </c>
      <c r="B163" s="53" t="s">
        <v>304</v>
      </c>
      <c r="C163" s="53" t="s">
        <v>304</v>
      </c>
      <c r="D163" s="53" t="s">
        <v>304</v>
      </c>
      <c r="E163" s="53" t="s">
        <v>304</v>
      </c>
      <c r="F163" s="43" t="s">
        <v>305</v>
      </c>
      <c r="G163" s="43" t="s">
        <v>305</v>
      </c>
      <c r="H163" s="53" t="s">
        <v>304</v>
      </c>
      <c r="I163" s="43" t="s">
        <v>347</v>
      </c>
      <c r="J163" s="49"/>
    </row>
    <row r="164" spans="1:13">
      <c r="A164" s="45" t="s">
        <v>513</v>
      </c>
      <c r="B164" s="43" t="s">
        <v>304</v>
      </c>
      <c r="C164" s="43" t="s">
        <v>304</v>
      </c>
      <c r="D164" s="43" t="s">
        <v>304</v>
      </c>
      <c r="E164" s="43" t="s">
        <v>304</v>
      </c>
      <c r="F164" s="43" t="s">
        <v>305</v>
      </c>
      <c r="G164" s="43" t="s">
        <v>305</v>
      </c>
      <c r="H164" s="53" t="s">
        <v>304</v>
      </c>
      <c r="I164" s="43" t="s">
        <v>347</v>
      </c>
      <c r="J164" s="49"/>
    </row>
    <row r="165" spans="1:13">
      <c r="A165" s="98" t="s">
        <v>514</v>
      </c>
      <c r="B165" s="43" t="s">
        <v>305</v>
      </c>
      <c r="C165" s="43" t="s">
        <v>305</v>
      </c>
      <c r="D165" s="53" t="s">
        <v>304</v>
      </c>
      <c r="E165" s="53" t="s">
        <v>304</v>
      </c>
      <c r="F165" s="43" t="s">
        <v>305</v>
      </c>
      <c r="G165" s="43" t="s">
        <v>305</v>
      </c>
      <c r="H165" s="43" t="s">
        <v>305</v>
      </c>
      <c r="I165" s="43" t="s">
        <v>347</v>
      </c>
      <c r="J165" s="49"/>
    </row>
    <row r="166" spans="1:13">
      <c r="A166" s="98" t="s">
        <v>515</v>
      </c>
      <c r="B166" s="53" t="s">
        <v>304</v>
      </c>
      <c r="C166" s="53" t="s">
        <v>304</v>
      </c>
      <c r="D166" s="53" t="s">
        <v>304</v>
      </c>
      <c r="E166" s="53" t="s">
        <v>304</v>
      </c>
      <c r="F166" s="43" t="s">
        <v>305</v>
      </c>
      <c r="G166" s="43" t="s">
        <v>305</v>
      </c>
      <c r="H166" s="43" t="s">
        <v>305</v>
      </c>
      <c r="I166" s="43" t="s">
        <v>347</v>
      </c>
      <c r="J166" s="49"/>
    </row>
    <row r="167" spans="1:13">
      <c r="A167" s="98" t="s">
        <v>516</v>
      </c>
      <c r="B167" s="43" t="s">
        <v>304</v>
      </c>
      <c r="C167" s="43" t="s">
        <v>304</v>
      </c>
      <c r="D167" s="43" t="s">
        <v>304</v>
      </c>
      <c r="E167" s="43" t="s">
        <v>304</v>
      </c>
      <c r="F167" s="43" t="s">
        <v>305</v>
      </c>
      <c r="G167" s="43" t="s">
        <v>305</v>
      </c>
      <c r="H167" s="53" t="s">
        <v>304</v>
      </c>
      <c r="I167" s="43" t="s">
        <v>347</v>
      </c>
      <c r="J167" s="49"/>
    </row>
    <row r="168" spans="1:13">
      <c r="A168" s="98" t="s">
        <v>517</v>
      </c>
      <c r="B168" s="43" t="s">
        <v>304</v>
      </c>
      <c r="C168" s="43" t="s">
        <v>304</v>
      </c>
      <c r="D168" s="43" t="s">
        <v>304</v>
      </c>
      <c r="E168" s="43" t="s">
        <v>304</v>
      </c>
      <c r="F168" s="43" t="s">
        <v>305</v>
      </c>
      <c r="G168" s="43" t="s">
        <v>305</v>
      </c>
      <c r="H168" s="53" t="s">
        <v>304</v>
      </c>
      <c r="I168" s="43" t="s">
        <v>347</v>
      </c>
      <c r="J168" s="49"/>
      <c r="K168" s="44"/>
      <c r="L168" s="46"/>
      <c r="M168" s="46"/>
    </row>
    <row r="169" spans="1:13">
      <c r="A169" s="98" t="s">
        <v>518</v>
      </c>
      <c r="B169" s="43" t="s">
        <v>305</v>
      </c>
      <c r="C169" s="53" t="s">
        <v>304</v>
      </c>
      <c r="D169" s="43" t="s">
        <v>305</v>
      </c>
      <c r="E169" s="53" t="s">
        <v>304</v>
      </c>
      <c r="F169" s="43" t="s">
        <v>305</v>
      </c>
      <c r="G169" s="43" t="s">
        <v>305</v>
      </c>
      <c r="H169" s="53" t="s">
        <v>304</v>
      </c>
      <c r="I169" s="43" t="s">
        <v>347</v>
      </c>
      <c r="J169" s="49"/>
    </row>
    <row r="170" spans="1:13">
      <c r="A170" s="45" t="s">
        <v>519</v>
      </c>
      <c r="B170" s="43" t="s">
        <v>305</v>
      </c>
      <c r="C170" s="43" t="s">
        <v>305</v>
      </c>
      <c r="D170" s="43" t="s">
        <v>305</v>
      </c>
      <c r="E170" s="43" t="s">
        <v>305</v>
      </c>
      <c r="F170" s="43" t="s">
        <v>305</v>
      </c>
      <c r="G170" s="43" t="s">
        <v>304</v>
      </c>
      <c r="H170" s="43" t="s">
        <v>305</v>
      </c>
      <c r="I170" s="43" t="s">
        <v>305</v>
      </c>
      <c r="J170" s="49" t="s">
        <v>1340</v>
      </c>
      <c r="K170" s="47">
        <v>3</v>
      </c>
      <c r="L170" s="44" t="s">
        <v>1346</v>
      </c>
    </row>
    <row r="171" spans="1:13">
      <c r="A171" s="97" t="s">
        <v>520</v>
      </c>
      <c r="B171" s="46" t="s">
        <v>305</v>
      </c>
      <c r="C171" s="46" t="s">
        <v>305</v>
      </c>
      <c r="D171" s="46" t="s">
        <v>305</v>
      </c>
      <c r="E171" s="46" t="s">
        <v>305</v>
      </c>
      <c r="F171" s="46" t="s">
        <v>305</v>
      </c>
      <c r="G171" s="46" t="s">
        <v>305</v>
      </c>
      <c r="H171" s="46" t="s">
        <v>305</v>
      </c>
      <c r="I171" s="155" t="s">
        <v>854</v>
      </c>
      <c r="J171" s="49" t="s">
        <v>1355</v>
      </c>
      <c r="K171" s="47">
        <v>16</v>
      </c>
    </row>
    <row r="172" spans="1:13">
      <c r="A172" s="45" t="s">
        <v>521</v>
      </c>
      <c r="B172" s="43" t="s">
        <v>304</v>
      </c>
      <c r="C172" s="43" t="s">
        <v>304</v>
      </c>
      <c r="D172" s="43" t="s">
        <v>304</v>
      </c>
      <c r="E172" s="43" t="s">
        <v>304</v>
      </c>
      <c r="F172" s="43" t="s">
        <v>305</v>
      </c>
      <c r="G172" s="43" t="s">
        <v>305</v>
      </c>
      <c r="H172" s="43" t="s">
        <v>305</v>
      </c>
      <c r="I172" s="43" t="s">
        <v>305</v>
      </c>
      <c r="J172" s="49"/>
    </row>
    <row r="173" spans="1:13">
      <c r="A173" s="45" t="s">
        <v>522</v>
      </c>
      <c r="B173" s="43" t="s">
        <v>304</v>
      </c>
      <c r="C173" s="43" t="s">
        <v>305</v>
      </c>
      <c r="D173" s="43" t="s">
        <v>304</v>
      </c>
      <c r="E173" s="43" t="s">
        <v>304</v>
      </c>
      <c r="F173" s="43" t="s">
        <v>305</v>
      </c>
      <c r="G173" s="43" t="s">
        <v>305</v>
      </c>
      <c r="H173" s="53" t="s">
        <v>304</v>
      </c>
      <c r="I173" s="43" t="s">
        <v>305</v>
      </c>
      <c r="J173" s="44" t="s">
        <v>483</v>
      </c>
      <c r="K173" s="44" t="s">
        <v>523</v>
      </c>
    </row>
    <row r="174" spans="1:13">
      <c r="A174" s="98" t="s">
        <v>524</v>
      </c>
      <c r="B174" s="43" t="s">
        <v>305</v>
      </c>
      <c r="C174" s="53" t="s">
        <v>304</v>
      </c>
      <c r="D174" s="43" t="s">
        <v>305</v>
      </c>
      <c r="E174" s="53" t="s">
        <v>304</v>
      </c>
      <c r="F174" s="43" t="s">
        <v>305</v>
      </c>
      <c r="G174" s="43" t="s">
        <v>305</v>
      </c>
      <c r="H174" s="43" t="s">
        <v>305</v>
      </c>
      <c r="I174" s="43" t="s">
        <v>305</v>
      </c>
      <c r="J174" s="49"/>
    </row>
    <row r="175" spans="1:13">
      <c r="A175" s="45" t="s">
        <v>525</v>
      </c>
      <c r="B175" s="43" t="s">
        <v>304</v>
      </c>
      <c r="C175" s="53" t="s">
        <v>304</v>
      </c>
      <c r="D175" s="43" t="s">
        <v>304</v>
      </c>
      <c r="E175" s="43" t="s">
        <v>304</v>
      </c>
      <c r="F175" s="43" t="s">
        <v>305</v>
      </c>
      <c r="G175" s="43" t="s">
        <v>305</v>
      </c>
      <c r="H175" s="53" t="s">
        <v>304</v>
      </c>
      <c r="I175" s="43" t="s">
        <v>305</v>
      </c>
      <c r="J175" s="44" t="s">
        <v>483</v>
      </c>
      <c r="K175" s="47">
        <v>69</v>
      </c>
    </row>
    <row r="176" spans="1:13">
      <c r="A176" s="45" t="s">
        <v>526</v>
      </c>
      <c r="B176" s="43"/>
      <c r="C176" s="53"/>
      <c r="D176" s="43"/>
      <c r="E176" s="43"/>
      <c r="F176" s="43"/>
      <c r="G176" s="43"/>
      <c r="H176" s="53"/>
      <c r="I176" s="43" t="s">
        <v>527</v>
      </c>
      <c r="J176" s="49" t="s">
        <v>406</v>
      </c>
      <c r="K176" s="52"/>
      <c r="L176" s="46"/>
      <c r="M176" s="46"/>
    </row>
    <row r="177" spans="1:13">
      <c r="A177" s="45" t="s">
        <v>528</v>
      </c>
      <c r="B177" s="43" t="s">
        <v>304</v>
      </c>
      <c r="C177" s="53" t="s">
        <v>304</v>
      </c>
      <c r="D177" s="43" t="s">
        <v>304</v>
      </c>
      <c r="E177" s="43" t="s">
        <v>304</v>
      </c>
      <c r="F177" s="43" t="s">
        <v>305</v>
      </c>
      <c r="G177" s="43" t="s">
        <v>305</v>
      </c>
      <c r="H177" s="53" t="s">
        <v>304</v>
      </c>
      <c r="I177" s="43" t="s">
        <v>305</v>
      </c>
      <c r="J177" s="44" t="s">
        <v>483</v>
      </c>
      <c r="K177" s="47">
        <v>70</v>
      </c>
    </row>
    <row r="178" spans="1:13">
      <c r="A178" s="45" t="s">
        <v>529</v>
      </c>
      <c r="B178" s="43"/>
      <c r="C178" s="53"/>
      <c r="D178" s="43"/>
      <c r="E178" s="53"/>
      <c r="F178" s="43"/>
      <c r="G178" s="43"/>
      <c r="H178" s="53"/>
      <c r="I178" s="46" t="s">
        <v>399</v>
      </c>
      <c r="J178" s="49" t="s">
        <v>530</v>
      </c>
      <c r="K178" s="44" t="s">
        <v>689</v>
      </c>
      <c r="L178" s="46"/>
      <c r="M178" s="46"/>
    </row>
    <row r="179" spans="1:13">
      <c r="A179" s="100" t="s">
        <v>531</v>
      </c>
      <c r="B179" s="46" t="s">
        <v>532</v>
      </c>
      <c r="C179" s="46" t="s">
        <v>532</v>
      </c>
      <c r="D179" s="46" t="s">
        <v>305</v>
      </c>
      <c r="E179" s="46" t="s">
        <v>304</v>
      </c>
      <c r="F179" s="46" t="s">
        <v>305</v>
      </c>
      <c r="G179" s="46" t="s">
        <v>305</v>
      </c>
      <c r="H179" s="46" t="s">
        <v>532</v>
      </c>
      <c r="I179" s="46" t="s">
        <v>399</v>
      </c>
      <c r="J179" s="49" t="s">
        <v>400</v>
      </c>
    </row>
    <row r="180" spans="1:13">
      <c r="A180" s="100" t="s">
        <v>533</v>
      </c>
      <c r="B180" s="46" t="s">
        <v>532</v>
      </c>
      <c r="C180" s="46" t="s">
        <v>532</v>
      </c>
      <c r="D180" s="46" t="s">
        <v>305</v>
      </c>
      <c r="E180" s="46" t="s">
        <v>304</v>
      </c>
      <c r="F180" s="46" t="s">
        <v>305</v>
      </c>
      <c r="G180" s="46" t="s">
        <v>305</v>
      </c>
      <c r="H180" s="46" t="s">
        <v>532</v>
      </c>
      <c r="I180" s="46" t="s">
        <v>399</v>
      </c>
      <c r="J180" s="49" t="s">
        <v>400</v>
      </c>
    </row>
    <row r="181" spans="1:13">
      <c r="A181" s="100" t="s">
        <v>534</v>
      </c>
      <c r="B181" s="46" t="s">
        <v>532</v>
      </c>
      <c r="C181" s="46" t="s">
        <v>532</v>
      </c>
      <c r="D181" s="46" t="s">
        <v>305</v>
      </c>
      <c r="E181" s="46" t="s">
        <v>304</v>
      </c>
      <c r="F181" s="46" t="s">
        <v>305</v>
      </c>
      <c r="G181" s="46" t="s">
        <v>305</v>
      </c>
      <c r="H181" s="46" t="s">
        <v>532</v>
      </c>
      <c r="I181" s="46" t="s">
        <v>399</v>
      </c>
      <c r="J181" s="49" t="s">
        <v>400</v>
      </c>
    </row>
    <row r="182" spans="1:13">
      <c r="A182" s="100" t="s">
        <v>535</v>
      </c>
      <c r="B182" s="46" t="s">
        <v>532</v>
      </c>
      <c r="C182" s="46" t="s">
        <v>532</v>
      </c>
      <c r="D182" s="46" t="s">
        <v>305</v>
      </c>
      <c r="E182" s="46" t="s">
        <v>304</v>
      </c>
      <c r="F182" s="46" t="s">
        <v>305</v>
      </c>
      <c r="G182" s="46" t="s">
        <v>305</v>
      </c>
      <c r="H182" s="46" t="s">
        <v>532</v>
      </c>
      <c r="I182" s="46" t="s">
        <v>399</v>
      </c>
      <c r="J182" s="49" t="s">
        <v>400</v>
      </c>
    </row>
    <row r="183" spans="1:13">
      <c r="A183" s="100" t="s">
        <v>536</v>
      </c>
      <c r="B183" s="46" t="s">
        <v>532</v>
      </c>
      <c r="C183" s="46" t="s">
        <v>532</v>
      </c>
      <c r="D183" s="46" t="s">
        <v>305</v>
      </c>
      <c r="E183" s="46" t="s">
        <v>304</v>
      </c>
      <c r="F183" s="46" t="s">
        <v>305</v>
      </c>
      <c r="G183" s="46" t="s">
        <v>305</v>
      </c>
      <c r="H183" s="46" t="s">
        <v>532</v>
      </c>
      <c r="I183" s="46" t="s">
        <v>399</v>
      </c>
      <c r="J183" s="49" t="s">
        <v>400</v>
      </c>
    </row>
    <row r="184" spans="1:13">
      <c r="A184" s="45" t="s">
        <v>537</v>
      </c>
      <c r="I184" s="46" t="s">
        <v>399</v>
      </c>
      <c r="J184" s="49" t="s">
        <v>530</v>
      </c>
      <c r="K184" s="44" t="s">
        <v>689</v>
      </c>
      <c r="L184" s="46"/>
      <c r="M184" s="46"/>
    </row>
    <row r="185" spans="1:13">
      <c r="A185" s="100" t="s">
        <v>538</v>
      </c>
      <c r="B185" s="46" t="s">
        <v>532</v>
      </c>
      <c r="C185" s="46" t="s">
        <v>532</v>
      </c>
      <c r="D185" s="46" t="s">
        <v>305</v>
      </c>
      <c r="E185" s="46" t="s">
        <v>304</v>
      </c>
      <c r="F185" s="46" t="s">
        <v>305</v>
      </c>
      <c r="G185" s="46" t="s">
        <v>305</v>
      </c>
      <c r="H185" s="46" t="s">
        <v>532</v>
      </c>
      <c r="I185" s="46" t="s">
        <v>399</v>
      </c>
      <c r="J185" s="49" t="s">
        <v>400</v>
      </c>
      <c r="K185" s="44"/>
      <c r="L185" s="46"/>
      <c r="M185" s="46"/>
    </row>
    <row r="186" spans="1:13">
      <c r="A186" s="45" t="s">
        <v>539</v>
      </c>
      <c r="I186" s="46" t="s">
        <v>399</v>
      </c>
      <c r="J186" s="49" t="s">
        <v>530</v>
      </c>
      <c r="K186" s="44" t="s">
        <v>689</v>
      </c>
      <c r="L186" s="46"/>
      <c r="M186" s="46"/>
    </row>
    <row r="187" spans="1:13">
      <c r="A187" s="100" t="s">
        <v>540</v>
      </c>
      <c r="B187" s="46" t="s">
        <v>532</v>
      </c>
      <c r="C187" s="46" t="s">
        <v>532</v>
      </c>
      <c r="D187" s="46" t="s">
        <v>305</v>
      </c>
      <c r="E187" s="46" t="s">
        <v>304</v>
      </c>
      <c r="F187" s="46" t="s">
        <v>305</v>
      </c>
      <c r="G187" s="46" t="s">
        <v>305</v>
      </c>
      <c r="H187" s="46" t="s">
        <v>532</v>
      </c>
      <c r="I187" s="46" t="s">
        <v>399</v>
      </c>
      <c r="J187" s="49" t="s">
        <v>400</v>
      </c>
    </row>
    <row r="188" spans="1:13">
      <c r="A188" s="45" t="s">
        <v>541</v>
      </c>
      <c r="I188" s="46" t="s">
        <v>399</v>
      </c>
      <c r="J188" s="49" t="s">
        <v>530</v>
      </c>
      <c r="K188" s="44" t="s">
        <v>689</v>
      </c>
      <c r="L188" s="46"/>
      <c r="M188" s="46"/>
    </row>
    <row r="189" spans="1:13">
      <c r="A189" s="100" t="s">
        <v>542</v>
      </c>
      <c r="B189" s="46" t="s">
        <v>532</v>
      </c>
      <c r="C189" s="46" t="s">
        <v>532</v>
      </c>
      <c r="D189" s="46" t="s">
        <v>305</v>
      </c>
      <c r="E189" s="46" t="s">
        <v>304</v>
      </c>
      <c r="F189" s="46" t="s">
        <v>305</v>
      </c>
      <c r="G189" s="46" t="s">
        <v>305</v>
      </c>
      <c r="H189" s="46" t="s">
        <v>532</v>
      </c>
      <c r="I189" s="46" t="s">
        <v>399</v>
      </c>
      <c r="J189" s="49" t="s">
        <v>400</v>
      </c>
      <c r="K189" s="44"/>
      <c r="L189" s="46"/>
      <c r="M189" s="46"/>
    </row>
    <row r="190" spans="1:13">
      <c r="A190" s="45" t="s">
        <v>543</v>
      </c>
      <c r="I190" s="46" t="s">
        <v>399</v>
      </c>
      <c r="J190" s="49" t="s">
        <v>530</v>
      </c>
      <c r="K190" s="44" t="s">
        <v>689</v>
      </c>
      <c r="L190" s="46"/>
      <c r="M190" s="46"/>
    </row>
    <row r="191" spans="1:13">
      <c r="A191" s="45" t="s">
        <v>544</v>
      </c>
      <c r="I191" s="46" t="s">
        <v>399</v>
      </c>
      <c r="J191" s="49" t="s">
        <v>530</v>
      </c>
      <c r="K191" s="44" t="s">
        <v>689</v>
      </c>
      <c r="L191" s="46"/>
      <c r="M191" s="46"/>
    </row>
    <row r="192" spans="1:13">
      <c r="A192" s="100" t="s">
        <v>545</v>
      </c>
      <c r="B192" s="46" t="s">
        <v>532</v>
      </c>
      <c r="C192" s="46" t="s">
        <v>532</v>
      </c>
      <c r="D192" s="46" t="s">
        <v>305</v>
      </c>
      <c r="E192" s="46" t="s">
        <v>304</v>
      </c>
      <c r="F192" s="46" t="s">
        <v>305</v>
      </c>
      <c r="G192" s="46" t="s">
        <v>305</v>
      </c>
      <c r="H192" s="46" t="s">
        <v>532</v>
      </c>
      <c r="I192" s="46" t="s">
        <v>399</v>
      </c>
      <c r="J192" s="49" t="s">
        <v>400</v>
      </c>
      <c r="K192" s="44"/>
      <c r="L192" s="46"/>
      <c r="M192" s="46"/>
    </row>
    <row r="193" spans="1:13">
      <c r="A193" s="45" t="s">
        <v>546</v>
      </c>
      <c r="I193" s="46" t="s">
        <v>399</v>
      </c>
      <c r="J193" s="49" t="s">
        <v>530</v>
      </c>
      <c r="K193" s="44" t="s">
        <v>689</v>
      </c>
      <c r="L193" s="46"/>
      <c r="M193" s="46"/>
    </row>
    <row r="194" spans="1:13">
      <c r="A194" s="45" t="s">
        <v>547</v>
      </c>
      <c r="I194" s="46" t="s">
        <v>399</v>
      </c>
      <c r="J194" s="49" t="s">
        <v>530</v>
      </c>
      <c r="K194" s="44" t="s">
        <v>689</v>
      </c>
      <c r="L194" s="46"/>
      <c r="M194" s="46"/>
    </row>
    <row r="195" spans="1:13">
      <c r="A195" s="45" t="s">
        <v>548</v>
      </c>
      <c r="I195" s="46" t="s">
        <v>399</v>
      </c>
      <c r="J195" s="49" t="s">
        <v>530</v>
      </c>
      <c r="K195" s="44" t="s">
        <v>689</v>
      </c>
      <c r="L195" s="46"/>
      <c r="M195" s="46"/>
    </row>
    <row r="196" spans="1:13">
      <c r="A196" s="45" t="s">
        <v>549</v>
      </c>
      <c r="I196" s="46" t="s">
        <v>399</v>
      </c>
      <c r="J196" s="49" t="s">
        <v>530</v>
      </c>
      <c r="K196" s="44" t="s">
        <v>689</v>
      </c>
      <c r="L196" s="46"/>
      <c r="M196" s="46"/>
    </row>
    <row r="197" spans="1:13">
      <c r="A197" s="100" t="s">
        <v>550</v>
      </c>
      <c r="B197" s="46" t="s">
        <v>532</v>
      </c>
      <c r="C197" s="46" t="s">
        <v>532</v>
      </c>
      <c r="D197" s="46" t="s">
        <v>305</v>
      </c>
      <c r="E197" s="46" t="s">
        <v>304</v>
      </c>
      <c r="F197" s="46" t="s">
        <v>305</v>
      </c>
      <c r="G197" s="46" t="s">
        <v>305</v>
      </c>
      <c r="H197" s="46" t="s">
        <v>532</v>
      </c>
      <c r="I197" s="46" t="s">
        <v>399</v>
      </c>
      <c r="J197" s="49" t="s">
        <v>400</v>
      </c>
      <c r="K197" s="44"/>
      <c r="L197" s="46"/>
      <c r="M197" s="46"/>
    </row>
    <row r="198" spans="1:13">
      <c r="A198" s="100" t="s">
        <v>551</v>
      </c>
      <c r="B198" s="46" t="s">
        <v>532</v>
      </c>
      <c r="C198" s="46" t="s">
        <v>532</v>
      </c>
      <c r="D198" s="46" t="s">
        <v>305</v>
      </c>
      <c r="E198" s="46" t="s">
        <v>304</v>
      </c>
      <c r="F198" s="46" t="s">
        <v>305</v>
      </c>
      <c r="G198" s="46" t="s">
        <v>305</v>
      </c>
      <c r="H198" s="46" t="s">
        <v>532</v>
      </c>
      <c r="I198" s="46" t="s">
        <v>399</v>
      </c>
      <c r="J198" s="49" t="s">
        <v>400</v>
      </c>
      <c r="K198" s="44"/>
      <c r="L198" s="46"/>
      <c r="M198" s="46"/>
    </row>
    <row r="199" spans="1:13">
      <c r="A199" s="100" t="s">
        <v>552</v>
      </c>
      <c r="B199" s="46" t="s">
        <v>532</v>
      </c>
      <c r="C199" s="46" t="s">
        <v>532</v>
      </c>
      <c r="D199" s="46" t="s">
        <v>305</v>
      </c>
      <c r="E199" s="46" t="s">
        <v>304</v>
      </c>
      <c r="F199" s="46" t="s">
        <v>305</v>
      </c>
      <c r="G199" s="46" t="s">
        <v>305</v>
      </c>
      <c r="H199" s="46" t="s">
        <v>532</v>
      </c>
      <c r="I199" s="46" t="s">
        <v>399</v>
      </c>
      <c r="J199" s="49" t="s">
        <v>400</v>
      </c>
      <c r="K199" s="44"/>
      <c r="L199" s="46"/>
      <c r="M199" s="46"/>
    </row>
    <row r="200" spans="1:13">
      <c r="A200" s="45" t="s">
        <v>553</v>
      </c>
      <c r="I200" s="46" t="s">
        <v>399</v>
      </c>
      <c r="J200" s="49" t="s">
        <v>530</v>
      </c>
      <c r="K200" s="44" t="s">
        <v>689</v>
      </c>
      <c r="L200" s="46"/>
      <c r="M200" s="46"/>
    </row>
    <row r="201" spans="1:13">
      <c r="A201" s="45" t="s">
        <v>554</v>
      </c>
      <c r="I201" s="46" t="s">
        <v>399</v>
      </c>
      <c r="J201" s="49" t="s">
        <v>530</v>
      </c>
      <c r="K201" s="44" t="s">
        <v>689</v>
      </c>
      <c r="L201" s="46"/>
      <c r="M201" s="46"/>
    </row>
    <row r="202" spans="1:13">
      <c r="A202" s="98" t="s">
        <v>555</v>
      </c>
      <c r="B202" s="43" t="s">
        <v>304</v>
      </c>
      <c r="C202" s="43" t="s">
        <v>304</v>
      </c>
      <c r="D202" s="43" t="s">
        <v>304</v>
      </c>
      <c r="E202" s="43" t="s">
        <v>304</v>
      </c>
      <c r="F202" s="43" t="s">
        <v>304</v>
      </c>
      <c r="G202" s="43" t="s">
        <v>305</v>
      </c>
      <c r="H202" s="53" t="s">
        <v>304</v>
      </c>
      <c r="I202" s="43" t="s">
        <v>305</v>
      </c>
      <c r="J202" s="44" t="s">
        <v>306</v>
      </c>
      <c r="K202" s="44" t="s">
        <v>556</v>
      </c>
    </row>
    <row r="203" spans="1:13">
      <c r="A203" s="98" t="s">
        <v>557</v>
      </c>
      <c r="B203" s="53" t="s">
        <v>304</v>
      </c>
      <c r="C203" s="53" t="s">
        <v>304</v>
      </c>
      <c r="D203" s="53" t="s">
        <v>304</v>
      </c>
      <c r="E203" s="43" t="s">
        <v>305</v>
      </c>
      <c r="F203" s="43" t="s">
        <v>305</v>
      </c>
      <c r="G203" s="43" t="s">
        <v>305</v>
      </c>
      <c r="H203" s="43" t="s">
        <v>305</v>
      </c>
      <c r="I203" s="53" t="s">
        <v>339</v>
      </c>
      <c r="J203" s="49" t="s">
        <v>340</v>
      </c>
      <c r="K203" s="47">
        <v>29</v>
      </c>
    </row>
    <row r="204" spans="1:13">
      <c r="A204" s="97" t="s">
        <v>558</v>
      </c>
      <c r="B204" s="53"/>
      <c r="C204" s="53"/>
      <c r="D204" s="53"/>
      <c r="E204" s="43"/>
      <c r="F204" s="43"/>
      <c r="G204" s="43"/>
      <c r="H204" s="43"/>
      <c r="I204" s="53"/>
      <c r="J204" s="49" t="s">
        <v>1358</v>
      </c>
      <c r="K204" s="47">
        <v>21</v>
      </c>
    </row>
    <row r="205" spans="1:13">
      <c r="A205" s="100" t="s">
        <v>559</v>
      </c>
      <c r="B205" s="53"/>
      <c r="C205" s="53"/>
      <c r="D205" s="53"/>
      <c r="E205" s="43"/>
      <c r="F205" s="43"/>
      <c r="G205" s="43"/>
      <c r="H205" s="43"/>
      <c r="I205" s="53"/>
      <c r="J205" s="49" t="s">
        <v>1358</v>
      </c>
      <c r="K205" s="47">
        <v>22</v>
      </c>
    </row>
    <row r="206" spans="1:13">
      <c r="A206" s="100" t="s">
        <v>560</v>
      </c>
      <c r="B206" s="53"/>
      <c r="C206" s="53"/>
      <c r="D206" s="53"/>
      <c r="E206" s="43"/>
      <c r="F206" s="43"/>
      <c r="G206" s="43"/>
      <c r="H206" s="43"/>
      <c r="I206" s="53"/>
      <c r="J206" s="49" t="s">
        <v>1358</v>
      </c>
      <c r="K206" s="47">
        <v>22</v>
      </c>
    </row>
    <row r="207" spans="1:13">
      <c r="A207" s="100" t="s">
        <v>561</v>
      </c>
      <c r="B207" s="53"/>
      <c r="C207" s="53"/>
      <c r="D207" s="53"/>
      <c r="E207" s="43"/>
      <c r="F207" s="43"/>
      <c r="G207" s="43"/>
      <c r="H207" s="43"/>
      <c r="I207" s="53"/>
      <c r="J207" s="49" t="s">
        <v>1358</v>
      </c>
      <c r="K207" s="47">
        <v>22</v>
      </c>
    </row>
    <row r="208" spans="1:13">
      <c r="A208" s="45" t="s">
        <v>562</v>
      </c>
      <c r="B208" s="43" t="s">
        <v>305</v>
      </c>
      <c r="C208" s="43" t="s">
        <v>305</v>
      </c>
      <c r="D208" s="43" t="s">
        <v>305</v>
      </c>
      <c r="E208" s="43" t="s">
        <v>305</v>
      </c>
      <c r="F208" s="43" t="s">
        <v>305</v>
      </c>
      <c r="G208" s="43" t="s">
        <v>304</v>
      </c>
      <c r="H208" s="43" t="s">
        <v>305</v>
      </c>
      <c r="I208" s="43" t="s">
        <v>305</v>
      </c>
      <c r="J208" s="49"/>
    </row>
    <row r="209" spans="1:13">
      <c r="A209" s="100" t="s">
        <v>563</v>
      </c>
      <c r="J209" s="47" t="s">
        <v>564</v>
      </c>
    </row>
    <row r="210" spans="1:13">
      <c r="A210" s="97" t="s">
        <v>565</v>
      </c>
      <c r="B210" s="46" t="s">
        <v>305</v>
      </c>
      <c r="C210" s="46" t="s">
        <v>305</v>
      </c>
      <c r="D210" s="46" t="s">
        <v>305</v>
      </c>
      <c r="E210" s="46" t="s">
        <v>305</v>
      </c>
      <c r="F210" s="46" t="s">
        <v>305</v>
      </c>
      <c r="G210" s="46" t="s">
        <v>305</v>
      </c>
      <c r="H210" s="46" t="s">
        <v>305</v>
      </c>
      <c r="I210" s="155" t="s">
        <v>854</v>
      </c>
      <c r="J210" s="49" t="s">
        <v>1355</v>
      </c>
      <c r="K210" s="47">
        <v>12</v>
      </c>
    </row>
    <row r="211" spans="1:13">
      <c r="A211" s="97" t="s">
        <v>566</v>
      </c>
      <c r="B211" s="46" t="s">
        <v>305</v>
      </c>
      <c r="C211" s="46" t="s">
        <v>305</v>
      </c>
      <c r="D211" s="46" t="s">
        <v>305</v>
      </c>
      <c r="E211" s="46" t="s">
        <v>305</v>
      </c>
      <c r="F211" s="46" t="s">
        <v>305</v>
      </c>
      <c r="G211" s="46" t="s">
        <v>305</v>
      </c>
      <c r="H211" s="46" t="s">
        <v>305</v>
      </c>
      <c r="I211" s="155" t="s">
        <v>854</v>
      </c>
      <c r="J211" s="49" t="s">
        <v>1355</v>
      </c>
      <c r="K211" s="44" t="s">
        <v>1139</v>
      </c>
      <c r="L211" s="46"/>
      <c r="M211" s="46"/>
    </row>
    <row r="212" spans="1:13">
      <c r="A212" s="97" t="s">
        <v>567</v>
      </c>
      <c r="B212" s="46" t="s">
        <v>305</v>
      </c>
      <c r="C212" s="46" t="s">
        <v>305</v>
      </c>
      <c r="D212" s="46" t="s">
        <v>305</v>
      </c>
      <c r="E212" s="46" t="s">
        <v>305</v>
      </c>
      <c r="F212" s="46" t="s">
        <v>305</v>
      </c>
      <c r="G212" s="46" t="s">
        <v>305</v>
      </c>
      <c r="H212" s="46" t="s">
        <v>305</v>
      </c>
      <c r="I212" s="155" t="s">
        <v>854</v>
      </c>
      <c r="J212" s="49" t="s">
        <v>1355</v>
      </c>
      <c r="K212" s="44" t="s">
        <v>1356</v>
      </c>
      <c r="L212" s="46"/>
      <c r="M212" s="46"/>
    </row>
    <row r="213" spans="1:13">
      <c r="A213" s="97" t="s">
        <v>568</v>
      </c>
      <c r="B213" s="46" t="s">
        <v>305</v>
      </c>
      <c r="C213" s="46" t="s">
        <v>305</v>
      </c>
      <c r="D213" s="46" t="s">
        <v>305</v>
      </c>
      <c r="E213" s="46" t="s">
        <v>305</v>
      </c>
      <c r="F213" s="46" t="s">
        <v>305</v>
      </c>
      <c r="G213" s="46" t="s">
        <v>305</v>
      </c>
      <c r="H213" s="46" t="s">
        <v>305</v>
      </c>
      <c r="I213" s="155" t="s">
        <v>854</v>
      </c>
      <c r="J213" s="49" t="s">
        <v>1355</v>
      </c>
      <c r="K213" s="44" t="s">
        <v>1356</v>
      </c>
      <c r="L213" s="46"/>
      <c r="M213" s="46"/>
    </row>
    <row r="214" spans="1:13">
      <c r="A214" s="97" t="s">
        <v>569</v>
      </c>
      <c r="B214" s="46" t="s">
        <v>305</v>
      </c>
      <c r="C214" s="46" t="s">
        <v>305</v>
      </c>
      <c r="D214" s="46" t="s">
        <v>305</v>
      </c>
      <c r="E214" s="46" t="s">
        <v>305</v>
      </c>
      <c r="F214" s="46" t="s">
        <v>305</v>
      </c>
      <c r="G214" s="46" t="s">
        <v>305</v>
      </c>
      <c r="H214" s="46" t="s">
        <v>305</v>
      </c>
      <c r="I214" s="155" t="s">
        <v>854</v>
      </c>
      <c r="J214" s="49" t="s">
        <v>1355</v>
      </c>
      <c r="K214" s="47">
        <v>14</v>
      </c>
    </row>
    <row r="215" spans="1:13">
      <c r="A215" s="45" t="s">
        <v>570</v>
      </c>
      <c r="B215" s="43" t="s">
        <v>305</v>
      </c>
      <c r="C215" s="43" t="s">
        <v>304</v>
      </c>
      <c r="D215" s="43" t="s">
        <v>305</v>
      </c>
      <c r="E215" s="43" t="s">
        <v>305</v>
      </c>
      <c r="F215" s="43" t="s">
        <v>305</v>
      </c>
      <c r="G215" s="43" t="s">
        <v>305</v>
      </c>
      <c r="H215" s="53" t="s">
        <v>305</v>
      </c>
      <c r="I215" s="43" t="s">
        <v>527</v>
      </c>
      <c r="J215" s="49" t="s">
        <v>406</v>
      </c>
      <c r="K215" s="52"/>
      <c r="L215" s="46"/>
      <c r="M215" s="46"/>
    </row>
    <row r="216" spans="1:13">
      <c r="A216" s="100" t="s">
        <v>571</v>
      </c>
      <c r="J216" s="47" t="s">
        <v>564</v>
      </c>
    </row>
    <row r="217" spans="1:13">
      <c r="A217" s="45" t="s">
        <v>572</v>
      </c>
      <c r="B217" s="43" t="s">
        <v>305</v>
      </c>
      <c r="C217" s="43" t="s">
        <v>304</v>
      </c>
      <c r="D217" s="43" t="s">
        <v>305</v>
      </c>
      <c r="E217" s="43" t="s">
        <v>305</v>
      </c>
      <c r="F217" s="43" t="s">
        <v>305</v>
      </c>
      <c r="G217" s="43" t="s">
        <v>305</v>
      </c>
      <c r="H217" s="53" t="s">
        <v>305</v>
      </c>
      <c r="I217" s="43" t="s">
        <v>527</v>
      </c>
      <c r="J217" s="49" t="s">
        <v>406</v>
      </c>
      <c r="K217" s="52"/>
      <c r="L217" s="46"/>
      <c r="M217" s="46"/>
    </row>
    <row r="218" spans="1:13">
      <c r="A218" s="45" t="s">
        <v>573</v>
      </c>
      <c r="B218" s="43" t="s">
        <v>305</v>
      </c>
      <c r="C218" s="43" t="s">
        <v>304</v>
      </c>
      <c r="D218" s="43" t="s">
        <v>305</v>
      </c>
      <c r="E218" s="43" t="s">
        <v>305</v>
      </c>
      <c r="F218" s="43" t="s">
        <v>305</v>
      </c>
      <c r="G218" s="43" t="s">
        <v>305</v>
      </c>
      <c r="H218" s="53" t="s">
        <v>305</v>
      </c>
      <c r="I218" s="43" t="s">
        <v>527</v>
      </c>
      <c r="J218" s="49" t="s">
        <v>406</v>
      </c>
      <c r="K218" s="52"/>
      <c r="L218" s="46"/>
      <c r="M218" s="46"/>
    </row>
    <row r="219" spans="1:13">
      <c r="A219" s="100" t="s">
        <v>574</v>
      </c>
      <c r="J219" s="47" t="s">
        <v>564</v>
      </c>
    </row>
    <row r="220" spans="1:13">
      <c r="A220" s="45" t="s">
        <v>575</v>
      </c>
      <c r="B220" s="43" t="s">
        <v>305</v>
      </c>
      <c r="C220" s="43" t="s">
        <v>304</v>
      </c>
      <c r="D220" s="43" t="s">
        <v>305</v>
      </c>
      <c r="E220" s="43" t="s">
        <v>305</v>
      </c>
      <c r="F220" s="43" t="s">
        <v>305</v>
      </c>
      <c r="G220" s="43" t="s">
        <v>305</v>
      </c>
      <c r="H220" s="53" t="s">
        <v>305</v>
      </c>
      <c r="I220" s="43" t="s">
        <v>527</v>
      </c>
      <c r="J220" s="49" t="s">
        <v>406</v>
      </c>
      <c r="K220" s="52"/>
      <c r="L220" s="46"/>
      <c r="M220" s="46"/>
    </row>
    <row r="221" spans="1:13">
      <c r="A221" s="100" t="s">
        <v>576</v>
      </c>
      <c r="J221" s="47" t="s">
        <v>564</v>
      </c>
    </row>
    <row r="222" spans="1:13">
      <c r="A222" s="45" t="s">
        <v>577</v>
      </c>
      <c r="B222" s="43" t="s">
        <v>304</v>
      </c>
      <c r="C222" s="43" t="s">
        <v>304</v>
      </c>
      <c r="D222" s="43" t="s">
        <v>304</v>
      </c>
      <c r="E222" s="43" t="s">
        <v>304</v>
      </c>
      <c r="F222" s="43" t="s">
        <v>304</v>
      </c>
      <c r="G222" s="43" t="s">
        <v>305</v>
      </c>
      <c r="H222" s="53" t="s">
        <v>304</v>
      </c>
      <c r="I222" s="43" t="s">
        <v>305</v>
      </c>
      <c r="J222" s="49"/>
      <c r="K222" s="44"/>
      <c r="L222" s="46"/>
      <c r="M222" s="46"/>
    </row>
    <row r="223" spans="1:13">
      <c r="A223" s="100" t="s">
        <v>578</v>
      </c>
      <c r="J223" s="47" t="s">
        <v>564</v>
      </c>
    </row>
    <row r="224" spans="1:13">
      <c r="A224" s="45" t="s">
        <v>579</v>
      </c>
      <c r="B224" s="43" t="s">
        <v>305</v>
      </c>
      <c r="C224" s="43" t="s">
        <v>304</v>
      </c>
      <c r="D224" s="43" t="s">
        <v>305</v>
      </c>
      <c r="E224" s="43" t="s">
        <v>305</v>
      </c>
      <c r="F224" s="43" t="s">
        <v>305</v>
      </c>
      <c r="G224" s="43" t="s">
        <v>305</v>
      </c>
      <c r="H224" s="53" t="s">
        <v>305</v>
      </c>
      <c r="I224" s="43" t="s">
        <v>375</v>
      </c>
      <c r="J224" s="49" t="s">
        <v>580</v>
      </c>
    </row>
    <row r="225" spans="1:13">
      <c r="A225" s="97" t="s">
        <v>581</v>
      </c>
      <c r="J225" s="44" t="s">
        <v>582</v>
      </c>
      <c r="K225" s="44" t="s">
        <v>690</v>
      </c>
      <c r="L225" s="46"/>
      <c r="M225" s="46"/>
    </row>
    <row r="226" spans="1:13">
      <c r="A226" s="98" t="s">
        <v>583</v>
      </c>
      <c r="B226" s="43" t="s">
        <v>304</v>
      </c>
      <c r="C226" s="43" t="s">
        <v>304</v>
      </c>
      <c r="D226" s="43" t="s">
        <v>304</v>
      </c>
      <c r="E226" s="43" t="s">
        <v>304</v>
      </c>
      <c r="F226" s="43" t="s">
        <v>305</v>
      </c>
      <c r="G226" s="43" t="s">
        <v>305</v>
      </c>
      <c r="H226" s="53" t="s">
        <v>304</v>
      </c>
      <c r="I226" s="43" t="s">
        <v>305</v>
      </c>
      <c r="J226" s="49" t="s">
        <v>1341</v>
      </c>
    </row>
    <row r="227" spans="1:13">
      <c r="A227" s="98" t="s">
        <v>584</v>
      </c>
      <c r="B227" s="43" t="s">
        <v>305</v>
      </c>
      <c r="C227" s="43" t="s">
        <v>305</v>
      </c>
      <c r="D227" s="43" t="s">
        <v>305</v>
      </c>
      <c r="E227" s="43" t="s">
        <v>304</v>
      </c>
      <c r="F227" s="43" t="s">
        <v>304</v>
      </c>
      <c r="G227" s="43" t="s">
        <v>305</v>
      </c>
      <c r="H227" s="53" t="s">
        <v>304</v>
      </c>
      <c r="I227" s="43" t="s">
        <v>305</v>
      </c>
      <c r="J227" s="49" t="s">
        <v>373</v>
      </c>
    </row>
    <row r="228" spans="1:13">
      <c r="A228" s="98" t="s">
        <v>585</v>
      </c>
      <c r="B228" s="43" t="s">
        <v>305</v>
      </c>
      <c r="C228" s="43" t="s">
        <v>305</v>
      </c>
      <c r="D228" s="43" t="s">
        <v>305</v>
      </c>
      <c r="E228" s="43" t="s">
        <v>305</v>
      </c>
      <c r="F228" s="43" t="s">
        <v>304</v>
      </c>
      <c r="G228" s="43" t="s">
        <v>305</v>
      </c>
      <c r="H228" s="43" t="s">
        <v>305</v>
      </c>
      <c r="I228" s="43" t="s">
        <v>305</v>
      </c>
      <c r="J228" s="49"/>
      <c r="L228" s="49" t="s">
        <v>1351</v>
      </c>
    </row>
    <row r="229" spans="1:13">
      <c r="A229" s="98" t="s">
        <v>586</v>
      </c>
      <c r="B229" s="43"/>
      <c r="C229" s="43"/>
      <c r="D229" s="43"/>
      <c r="E229" s="43"/>
      <c r="F229" s="43"/>
      <c r="G229" s="43"/>
      <c r="H229" s="43"/>
      <c r="I229" s="43"/>
      <c r="J229" s="49"/>
      <c r="K229" s="44"/>
      <c r="L229" s="46"/>
      <c r="M229" s="46"/>
    </row>
    <row r="230" spans="1:13">
      <c r="A230" s="98" t="s">
        <v>587</v>
      </c>
      <c r="B230" s="43" t="s">
        <v>304</v>
      </c>
      <c r="C230" s="43" t="s">
        <v>304</v>
      </c>
      <c r="D230" s="43" t="s">
        <v>304</v>
      </c>
      <c r="E230" s="43" t="s">
        <v>304</v>
      </c>
      <c r="F230" s="43" t="s">
        <v>305</v>
      </c>
      <c r="G230" s="43" t="s">
        <v>305</v>
      </c>
      <c r="H230" s="53" t="s">
        <v>304</v>
      </c>
      <c r="I230" s="43" t="s">
        <v>305</v>
      </c>
      <c r="J230" s="44" t="s">
        <v>306</v>
      </c>
      <c r="K230" s="44" t="s">
        <v>588</v>
      </c>
    </row>
    <row r="231" spans="1:13">
      <c r="A231" s="100" t="s">
        <v>589</v>
      </c>
      <c r="B231" s="43"/>
      <c r="C231" s="43"/>
      <c r="D231" s="43"/>
      <c r="E231" s="43"/>
      <c r="F231" s="43"/>
      <c r="G231" s="43"/>
      <c r="H231" s="53"/>
      <c r="I231" s="43"/>
      <c r="J231" s="49"/>
      <c r="K231" s="44"/>
      <c r="L231" s="46"/>
      <c r="M231" s="46"/>
    </row>
    <row r="232" spans="1:13">
      <c r="A232" s="97" t="s">
        <v>590</v>
      </c>
      <c r="B232" s="43"/>
      <c r="C232" s="43"/>
      <c r="D232" s="43"/>
      <c r="E232" s="43"/>
      <c r="F232" s="43"/>
      <c r="G232" s="43"/>
      <c r="H232" s="53"/>
      <c r="I232" s="43"/>
      <c r="J232" s="49" t="s">
        <v>530</v>
      </c>
      <c r="K232" s="44" t="s">
        <v>492</v>
      </c>
      <c r="L232" s="46"/>
      <c r="M232" s="46"/>
    </row>
    <row r="233" spans="1:13">
      <c r="A233" s="45" t="s">
        <v>591</v>
      </c>
      <c r="J233" s="49" t="s">
        <v>386</v>
      </c>
      <c r="K233" s="47">
        <v>43</v>
      </c>
    </row>
    <row r="234" spans="1:13">
      <c r="A234" s="97" t="s">
        <v>592</v>
      </c>
      <c r="J234" s="44" t="s">
        <v>340</v>
      </c>
      <c r="K234" s="47">
        <v>35</v>
      </c>
    </row>
    <row r="235" spans="1:13">
      <c r="A235" s="100" t="s">
        <v>593</v>
      </c>
      <c r="B235" s="46" t="s">
        <v>305</v>
      </c>
      <c r="C235" s="46" t="s">
        <v>305</v>
      </c>
      <c r="D235" s="46" t="s">
        <v>305</v>
      </c>
      <c r="E235" s="46" t="s">
        <v>305</v>
      </c>
      <c r="F235" s="46" t="s">
        <v>305</v>
      </c>
      <c r="G235" s="46" t="s">
        <v>305</v>
      </c>
      <c r="H235" s="46" t="s">
        <v>305</v>
      </c>
      <c r="I235" s="46" t="s">
        <v>1527</v>
      </c>
      <c r="J235" s="47" t="s">
        <v>460</v>
      </c>
    </row>
    <row r="236" spans="1:13">
      <c r="A236" s="100" t="s">
        <v>594</v>
      </c>
      <c r="B236" s="46" t="s">
        <v>305</v>
      </c>
      <c r="C236" s="46" t="s">
        <v>305</v>
      </c>
      <c r="D236" s="46" t="s">
        <v>305</v>
      </c>
      <c r="E236" s="46" t="s">
        <v>305</v>
      </c>
      <c r="F236" s="46" t="s">
        <v>305</v>
      </c>
      <c r="G236" s="46" t="s">
        <v>305</v>
      </c>
      <c r="H236" s="46" t="s">
        <v>305</v>
      </c>
      <c r="I236" s="46" t="s">
        <v>1527</v>
      </c>
      <c r="J236" s="47" t="s">
        <v>460</v>
      </c>
      <c r="K236" s="44"/>
      <c r="L236" s="46"/>
      <c r="M236" s="46"/>
    </row>
    <row r="237" spans="1:13">
      <c r="A237" s="100" t="s">
        <v>595</v>
      </c>
      <c r="B237" s="46" t="s">
        <v>305</v>
      </c>
      <c r="C237" s="46" t="s">
        <v>305</v>
      </c>
      <c r="D237" s="46" t="s">
        <v>305</v>
      </c>
      <c r="E237" s="46" t="s">
        <v>305</v>
      </c>
      <c r="F237" s="46" t="s">
        <v>305</v>
      </c>
      <c r="G237" s="46" t="s">
        <v>305</v>
      </c>
      <c r="H237" s="46" t="s">
        <v>305</v>
      </c>
      <c r="I237" s="46" t="s">
        <v>1527</v>
      </c>
      <c r="J237" s="47" t="s">
        <v>460</v>
      </c>
      <c r="K237" s="44"/>
      <c r="L237" s="46"/>
      <c r="M237" s="46"/>
    </row>
    <row r="238" spans="1:13">
      <c r="A238" s="100" t="s">
        <v>596</v>
      </c>
      <c r="B238" s="46" t="s">
        <v>305</v>
      </c>
      <c r="C238" s="46" t="s">
        <v>305</v>
      </c>
      <c r="D238" s="46" t="s">
        <v>305</v>
      </c>
      <c r="E238" s="46" t="s">
        <v>305</v>
      </c>
      <c r="F238" s="46" t="s">
        <v>305</v>
      </c>
      <c r="G238" s="46" t="s">
        <v>305</v>
      </c>
      <c r="H238" s="46" t="s">
        <v>305</v>
      </c>
      <c r="I238" s="46" t="s">
        <v>1527</v>
      </c>
      <c r="J238" s="47" t="s">
        <v>460</v>
      </c>
    </row>
    <row r="239" spans="1:13">
      <c r="A239" s="98" t="s">
        <v>597</v>
      </c>
      <c r="B239" s="43" t="s">
        <v>304</v>
      </c>
      <c r="C239" s="43" t="s">
        <v>304</v>
      </c>
      <c r="D239" s="43" t="s">
        <v>304</v>
      </c>
      <c r="E239" s="43" t="s">
        <v>305</v>
      </c>
      <c r="F239" s="43" t="s">
        <v>305</v>
      </c>
      <c r="G239" s="43" t="s">
        <v>305</v>
      </c>
      <c r="H239" s="53" t="s">
        <v>304</v>
      </c>
      <c r="I239" s="43" t="s">
        <v>305</v>
      </c>
      <c r="J239" s="44" t="s">
        <v>306</v>
      </c>
      <c r="K239" s="44" t="s">
        <v>598</v>
      </c>
    </row>
    <row r="240" spans="1:13">
      <c r="A240" s="45" t="s">
        <v>599</v>
      </c>
      <c r="B240" s="43"/>
      <c r="C240" s="43"/>
      <c r="D240" s="43"/>
      <c r="E240" s="43"/>
      <c r="F240" s="43"/>
      <c r="G240" s="43"/>
      <c r="H240" s="53"/>
      <c r="I240" s="43"/>
      <c r="J240" s="49"/>
      <c r="K240" s="44"/>
      <c r="L240" s="46"/>
      <c r="M240" s="46"/>
    </row>
    <row r="241" spans="1:13">
      <c r="A241" s="98" t="s">
        <v>600</v>
      </c>
      <c r="B241" s="43" t="s">
        <v>305</v>
      </c>
      <c r="C241" s="43" t="s">
        <v>305</v>
      </c>
      <c r="D241" s="43" t="s">
        <v>305</v>
      </c>
      <c r="E241" s="43" t="s">
        <v>305</v>
      </c>
      <c r="F241" s="43" t="s">
        <v>304</v>
      </c>
      <c r="G241" s="43" t="s">
        <v>305</v>
      </c>
      <c r="H241" s="43" t="s">
        <v>305</v>
      </c>
      <c r="I241" s="43" t="s">
        <v>305</v>
      </c>
      <c r="J241" s="49" t="s">
        <v>380</v>
      </c>
    </row>
    <row r="242" spans="1:13">
      <c r="A242" s="45" t="s">
        <v>601</v>
      </c>
      <c r="B242" s="43"/>
      <c r="C242" s="43"/>
      <c r="D242" s="43"/>
      <c r="E242" s="43"/>
      <c r="F242" s="43"/>
      <c r="G242" s="43"/>
      <c r="H242" s="43"/>
      <c r="I242" s="43"/>
      <c r="J242" s="49"/>
      <c r="K242" s="44"/>
      <c r="L242" s="46"/>
      <c r="M242" s="46"/>
    </row>
    <row r="243" spans="1:13">
      <c r="A243" s="45" t="s">
        <v>602</v>
      </c>
      <c r="B243" s="43"/>
      <c r="C243" s="43"/>
      <c r="D243" s="43"/>
      <c r="E243" s="43"/>
      <c r="F243" s="43"/>
      <c r="G243" s="43"/>
      <c r="H243" s="43"/>
      <c r="I243" s="43"/>
      <c r="J243" s="49"/>
      <c r="K243" s="44"/>
      <c r="L243" s="46"/>
      <c r="M243" s="46"/>
    </row>
    <row r="244" spans="1:13">
      <c r="A244" s="45" t="s">
        <v>603</v>
      </c>
      <c r="B244" s="43"/>
      <c r="C244" s="43"/>
      <c r="D244" s="43"/>
      <c r="E244" s="43"/>
      <c r="F244" s="43"/>
      <c r="G244" s="43"/>
      <c r="H244" s="43"/>
      <c r="I244" s="43"/>
      <c r="J244" s="49"/>
    </row>
    <row r="245" spans="1:13">
      <c r="A245" s="97" t="s">
        <v>604</v>
      </c>
      <c r="B245" s="43"/>
      <c r="C245" s="43"/>
      <c r="D245" s="43"/>
      <c r="E245" s="43"/>
      <c r="F245" s="43"/>
      <c r="G245" s="43"/>
      <c r="H245" s="43"/>
      <c r="I245" s="43"/>
      <c r="J245" s="49"/>
      <c r="K245" s="44"/>
      <c r="L245" s="46"/>
      <c r="M245" s="46"/>
    </row>
    <row r="246" spans="1:13">
      <c r="A246" s="45" t="s">
        <v>605</v>
      </c>
      <c r="B246" s="43"/>
      <c r="C246" s="43"/>
      <c r="D246" s="43"/>
      <c r="E246" s="43"/>
      <c r="F246" s="43"/>
      <c r="G246" s="43"/>
      <c r="H246" s="43"/>
      <c r="I246" s="43"/>
      <c r="J246" s="49"/>
    </row>
    <row r="247" spans="1:13">
      <c r="A247" s="45" t="s">
        <v>606</v>
      </c>
      <c r="B247" s="43"/>
      <c r="C247" s="43"/>
      <c r="D247" s="43"/>
      <c r="E247" s="43"/>
      <c r="F247" s="43"/>
      <c r="G247" s="43"/>
      <c r="H247" s="43"/>
      <c r="I247" s="43"/>
      <c r="J247" s="49"/>
      <c r="K247" s="44"/>
      <c r="L247" s="46"/>
      <c r="M247" s="46"/>
    </row>
    <row r="248" spans="1:13">
      <c r="A248" s="45" t="s">
        <v>607</v>
      </c>
      <c r="B248" s="43"/>
      <c r="C248" s="43"/>
      <c r="D248" s="43"/>
      <c r="E248" s="43"/>
      <c r="F248" s="43"/>
      <c r="G248" s="43"/>
      <c r="H248" s="43"/>
      <c r="I248" s="43"/>
      <c r="J248" s="49"/>
    </row>
    <row r="249" spans="1:13">
      <c r="A249" s="98" t="s">
        <v>608</v>
      </c>
      <c r="B249" s="43" t="s">
        <v>304</v>
      </c>
      <c r="C249" s="43" t="s">
        <v>304</v>
      </c>
      <c r="D249" s="43" t="s">
        <v>304</v>
      </c>
      <c r="E249" s="43" t="s">
        <v>304</v>
      </c>
      <c r="F249" s="43" t="s">
        <v>305</v>
      </c>
      <c r="G249" s="43" t="s">
        <v>305</v>
      </c>
      <c r="H249" s="53" t="s">
        <v>304</v>
      </c>
      <c r="I249" s="43" t="s">
        <v>305</v>
      </c>
      <c r="J249" s="49" t="s">
        <v>1341</v>
      </c>
      <c r="K249" s="47">
        <v>16</v>
      </c>
    </row>
    <row r="250" spans="1:13">
      <c r="A250" s="98" t="s">
        <v>609</v>
      </c>
      <c r="B250" s="53" t="s">
        <v>304</v>
      </c>
      <c r="C250" s="43" t="s">
        <v>305</v>
      </c>
      <c r="D250" s="53" t="s">
        <v>304</v>
      </c>
      <c r="E250" s="43" t="s">
        <v>305</v>
      </c>
      <c r="F250" s="43" t="s">
        <v>305</v>
      </c>
      <c r="G250" s="43" t="s">
        <v>305</v>
      </c>
      <c r="H250" s="43" t="s">
        <v>305</v>
      </c>
      <c r="I250" s="53" t="s">
        <v>339</v>
      </c>
      <c r="J250" s="49" t="s">
        <v>340</v>
      </c>
      <c r="K250" s="47">
        <v>29</v>
      </c>
    </row>
    <row r="251" spans="1:13">
      <c r="A251" s="98" t="s">
        <v>610</v>
      </c>
      <c r="B251" s="43" t="s">
        <v>305</v>
      </c>
      <c r="C251" s="53" t="s">
        <v>304</v>
      </c>
      <c r="D251" s="43" t="s">
        <v>305</v>
      </c>
      <c r="E251" s="43" t="s">
        <v>305</v>
      </c>
      <c r="F251" s="43" t="s">
        <v>305</v>
      </c>
      <c r="G251" s="43" t="s">
        <v>305</v>
      </c>
      <c r="H251" s="43" t="s">
        <v>305</v>
      </c>
      <c r="I251" s="43" t="s">
        <v>305</v>
      </c>
      <c r="J251" s="49"/>
    </row>
    <row r="252" spans="1:13">
      <c r="A252" s="100" t="s">
        <v>611</v>
      </c>
      <c r="B252" s="46" t="s">
        <v>305</v>
      </c>
      <c r="C252" s="46" t="s">
        <v>305</v>
      </c>
      <c r="D252" s="46" t="s">
        <v>305</v>
      </c>
      <c r="E252" s="46" t="s">
        <v>305</v>
      </c>
      <c r="F252" s="46" t="s">
        <v>305</v>
      </c>
      <c r="G252" s="46" t="s">
        <v>305</v>
      </c>
      <c r="H252" s="46" t="s">
        <v>305</v>
      </c>
      <c r="I252" s="46" t="s">
        <v>1527</v>
      </c>
      <c r="J252" s="47" t="s">
        <v>316</v>
      </c>
    </row>
    <row r="253" spans="1:13">
      <c r="A253" s="98" t="s">
        <v>612</v>
      </c>
      <c r="B253" s="53" t="s">
        <v>304</v>
      </c>
      <c r="C253" s="53" t="s">
        <v>304</v>
      </c>
      <c r="D253" s="53" t="s">
        <v>304</v>
      </c>
      <c r="E253" s="43" t="s">
        <v>305</v>
      </c>
      <c r="F253" s="43" t="s">
        <v>305</v>
      </c>
      <c r="G253" s="43" t="s">
        <v>305</v>
      </c>
      <c r="H253" s="43" t="s">
        <v>305</v>
      </c>
      <c r="I253" s="53" t="s">
        <v>339</v>
      </c>
      <c r="J253" s="49" t="s">
        <v>340</v>
      </c>
      <c r="K253" s="47">
        <v>30</v>
      </c>
    </row>
    <row r="254" spans="1:13">
      <c r="A254" s="98" t="s">
        <v>613</v>
      </c>
      <c r="B254" s="53" t="s">
        <v>304</v>
      </c>
      <c r="C254" s="53" t="s">
        <v>304</v>
      </c>
      <c r="D254" s="53" t="s">
        <v>304</v>
      </c>
      <c r="E254" s="43" t="s">
        <v>305</v>
      </c>
      <c r="F254" s="43" t="s">
        <v>305</v>
      </c>
      <c r="G254" s="43" t="s">
        <v>305</v>
      </c>
      <c r="H254" s="43" t="s">
        <v>305</v>
      </c>
      <c r="I254" s="53" t="s">
        <v>339</v>
      </c>
      <c r="J254" s="49"/>
      <c r="K254" s="44"/>
      <c r="L254" s="46"/>
      <c r="M254" s="46"/>
    </row>
    <row r="255" spans="1:13">
      <c r="A255" s="100" t="s">
        <v>614</v>
      </c>
      <c r="B255" s="46" t="s">
        <v>305</v>
      </c>
      <c r="C255" s="46" t="s">
        <v>305</v>
      </c>
      <c r="D255" s="46" t="s">
        <v>305</v>
      </c>
      <c r="E255" s="46" t="s">
        <v>305</v>
      </c>
      <c r="F255" s="46" t="s">
        <v>305</v>
      </c>
      <c r="G255" s="46" t="s">
        <v>305</v>
      </c>
      <c r="H255" s="46" t="s">
        <v>305</v>
      </c>
      <c r="I255" s="46" t="s">
        <v>1527</v>
      </c>
      <c r="J255" s="47" t="s">
        <v>460</v>
      </c>
      <c r="K255" s="44"/>
      <c r="L255" s="46"/>
      <c r="M255" s="46"/>
    </row>
    <row r="256" spans="1:13">
      <c r="A256" s="45" t="s">
        <v>615</v>
      </c>
      <c r="J256" s="44" t="s">
        <v>323</v>
      </c>
      <c r="K256" s="47">
        <v>32</v>
      </c>
    </row>
    <row r="257" spans="1:13">
      <c r="A257" s="98" t="s">
        <v>616</v>
      </c>
      <c r="B257" s="53" t="s">
        <v>304</v>
      </c>
      <c r="C257" s="53" t="s">
        <v>304</v>
      </c>
      <c r="D257" s="53" t="s">
        <v>304</v>
      </c>
      <c r="E257" s="43" t="s">
        <v>305</v>
      </c>
      <c r="F257" s="43" t="s">
        <v>305</v>
      </c>
      <c r="G257" s="43" t="s">
        <v>305</v>
      </c>
      <c r="H257" s="53" t="s">
        <v>304</v>
      </c>
      <c r="I257" s="53" t="s">
        <v>339</v>
      </c>
      <c r="J257" s="49" t="s">
        <v>340</v>
      </c>
      <c r="K257" s="47">
        <v>32</v>
      </c>
    </row>
    <row r="258" spans="1:13">
      <c r="A258" s="100" t="s">
        <v>617</v>
      </c>
      <c r="B258" s="53"/>
      <c r="C258" s="53"/>
      <c r="D258" s="53"/>
      <c r="E258" s="43"/>
      <c r="F258" s="43"/>
      <c r="G258" s="43"/>
      <c r="H258" s="53"/>
      <c r="I258" s="53"/>
      <c r="J258" s="49"/>
    </row>
    <row r="259" spans="1:13">
      <c r="A259" s="98" t="s">
        <v>1316</v>
      </c>
      <c r="B259" s="43" t="s">
        <v>305</v>
      </c>
      <c r="C259" s="53" t="s">
        <v>304</v>
      </c>
      <c r="D259" s="43" t="s">
        <v>305</v>
      </c>
      <c r="E259" s="43" t="s">
        <v>305</v>
      </c>
      <c r="F259" s="43" t="s">
        <v>305</v>
      </c>
      <c r="G259" s="43" t="s">
        <v>305</v>
      </c>
      <c r="H259" s="43" t="s">
        <v>305</v>
      </c>
      <c r="I259" s="43" t="s">
        <v>305</v>
      </c>
      <c r="J259" s="49" t="s">
        <v>1317</v>
      </c>
    </row>
    <row r="260" spans="1:13">
      <c r="A260" s="98" t="s">
        <v>618</v>
      </c>
      <c r="B260" s="43" t="s">
        <v>304</v>
      </c>
      <c r="C260" s="43" t="s">
        <v>304</v>
      </c>
      <c r="D260" s="43" t="s">
        <v>304</v>
      </c>
      <c r="E260" s="43" t="s">
        <v>304</v>
      </c>
      <c r="F260" s="43" t="s">
        <v>305</v>
      </c>
      <c r="G260" s="43" t="s">
        <v>305</v>
      </c>
      <c r="H260" s="53" t="s">
        <v>304</v>
      </c>
      <c r="I260" s="43" t="s">
        <v>305</v>
      </c>
      <c r="J260" s="44" t="s">
        <v>306</v>
      </c>
      <c r="K260" s="44" t="s">
        <v>619</v>
      </c>
      <c r="L260" s="46"/>
      <c r="M260" s="46"/>
    </row>
    <row r="261" spans="1:13">
      <c r="A261" s="98" t="s">
        <v>620</v>
      </c>
      <c r="B261" s="43" t="s">
        <v>305</v>
      </c>
      <c r="C261" s="43" t="s">
        <v>305</v>
      </c>
      <c r="D261" s="43" t="s">
        <v>305</v>
      </c>
      <c r="E261" s="43" t="s">
        <v>304</v>
      </c>
      <c r="F261" s="43" t="s">
        <v>304</v>
      </c>
      <c r="G261" s="43" t="s">
        <v>305</v>
      </c>
      <c r="H261" s="43" t="s">
        <v>305</v>
      </c>
      <c r="I261" s="43" t="s">
        <v>305</v>
      </c>
      <c r="J261" s="49" t="s">
        <v>1351</v>
      </c>
    </row>
    <row r="262" spans="1:13">
      <c r="A262" s="100" t="s">
        <v>621</v>
      </c>
      <c r="B262" s="46" t="s">
        <v>305</v>
      </c>
      <c r="C262" s="46" t="s">
        <v>305</v>
      </c>
      <c r="D262" s="46" t="s">
        <v>305</v>
      </c>
      <c r="E262" s="46" t="s">
        <v>305</v>
      </c>
      <c r="F262" s="46" t="s">
        <v>305</v>
      </c>
      <c r="G262" s="46" t="s">
        <v>305</v>
      </c>
      <c r="H262" s="46" t="s">
        <v>305</v>
      </c>
      <c r="I262" s="46" t="s">
        <v>1527</v>
      </c>
      <c r="J262" s="47" t="s">
        <v>460</v>
      </c>
      <c r="K262" s="44"/>
      <c r="L262" s="46"/>
      <c r="M262" s="46"/>
    </row>
    <row r="263" spans="1:13">
      <c r="A263" s="45" t="s">
        <v>622</v>
      </c>
      <c r="B263" s="43"/>
      <c r="C263" s="43"/>
      <c r="D263" s="43"/>
      <c r="E263" s="43"/>
      <c r="F263" s="43"/>
      <c r="G263" s="43"/>
      <c r="H263" s="43"/>
      <c r="I263" s="43"/>
      <c r="J263" s="49"/>
    </row>
    <row r="264" spans="1:13">
      <c r="A264" s="98" t="s">
        <v>623</v>
      </c>
      <c r="B264" s="53" t="s">
        <v>304</v>
      </c>
      <c r="C264" s="53" t="s">
        <v>304</v>
      </c>
      <c r="D264" s="53" t="s">
        <v>304</v>
      </c>
      <c r="E264" s="53" t="s">
        <v>304</v>
      </c>
      <c r="F264" s="43" t="s">
        <v>305</v>
      </c>
      <c r="G264" s="43" t="s">
        <v>305</v>
      </c>
      <c r="H264" s="43" t="s">
        <v>305</v>
      </c>
      <c r="I264" s="43" t="s">
        <v>305</v>
      </c>
      <c r="J264" s="49" t="s">
        <v>474</v>
      </c>
      <c r="K264" s="47">
        <v>49</v>
      </c>
    </row>
    <row r="265" spans="1:13">
      <c r="A265" s="98" t="s">
        <v>624</v>
      </c>
      <c r="B265" s="43" t="s">
        <v>304</v>
      </c>
      <c r="C265" s="43" t="s">
        <v>304</v>
      </c>
      <c r="D265" s="43" t="s">
        <v>304</v>
      </c>
      <c r="E265" s="43" t="s">
        <v>304</v>
      </c>
      <c r="F265" s="43" t="s">
        <v>305</v>
      </c>
      <c r="G265" s="43" t="s">
        <v>305</v>
      </c>
      <c r="H265" s="43" t="s">
        <v>305</v>
      </c>
      <c r="I265" s="43" t="s">
        <v>305</v>
      </c>
      <c r="J265" s="44" t="s">
        <v>306</v>
      </c>
      <c r="K265" s="44" t="s">
        <v>625</v>
      </c>
      <c r="L265" s="46"/>
      <c r="M265" s="46"/>
    </row>
    <row r="266" spans="1:13">
      <c r="A266" s="98" t="s">
        <v>626</v>
      </c>
      <c r="B266" s="43" t="s">
        <v>305</v>
      </c>
      <c r="C266" s="43" t="s">
        <v>305</v>
      </c>
      <c r="D266" s="43" t="s">
        <v>305</v>
      </c>
      <c r="E266" s="43" t="s">
        <v>305</v>
      </c>
      <c r="F266" s="43" t="s">
        <v>305</v>
      </c>
      <c r="G266" s="43" t="s">
        <v>304</v>
      </c>
      <c r="H266" s="43" t="s">
        <v>305</v>
      </c>
      <c r="I266" s="43" t="s">
        <v>305</v>
      </c>
      <c r="J266" s="49" t="s">
        <v>1340</v>
      </c>
      <c r="K266" s="47">
        <v>3</v>
      </c>
      <c r="L266" s="49" t="s">
        <v>1347</v>
      </c>
    </row>
    <row r="267" spans="1:13">
      <c r="A267" s="100" t="s">
        <v>627</v>
      </c>
      <c r="B267" s="43"/>
      <c r="C267" s="43"/>
      <c r="D267" s="43"/>
      <c r="E267" s="43"/>
      <c r="F267" s="43"/>
      <c r="G267" s="43"/>
      <c r="H267" s="43"/>
      <c r="I267" s="43"/>
      <c r="J267" s="49"/>
    </row>
    <row r="268" spans="1:13">
      <c r="A268" s="98" t="s">
        <v>628</v>
      </c>
      <c r="B268" s="43" t="s">
        <v>304</v>
      </c>
      <c r="C268" s="43" t="s">
        <v>304</v>
      </c>
      <c r="D268" s="43" t="s">
        <v>304</v>
      </c>
      <c r="E268" s="43" t="s">
        <v>304</v>
      </c>
      <c r="F268" s="43" t="s">
        <v>304</v>
      </c>
      <c r="G268" s="43" t="s">
        <v>305</v>
      </c>
      <c r="H268" s="53" t="s">
        <v>304</v>
      </c>
      <c r="I268" s="43" t="s">
        <v>305</v>
      </c>
      <c r="J268" s="44" t="s">
        <v>306</v>
      </c>
      <c r="K268" s="44" t="s">
        <v>629</v>
      </c>
      <c r="L268" s="46"/>
      <c r="M268" s="46"/>
    </row>
    <row r="269" spans="1:13">
      <c r="A269" s="98" t="s">
        <v>630</v>
      </c>
      <c r="B269" s="43" t="s">
        <v>304</v>
      </c>
      <c r="C269" s="43" t="s">
        <v>304</v>
      </c>
      <c r="D269" s="43" t="s">
        <v>304</v>
      </c>
      <c r="E269" s="43" t="s">
        <v>304</v>
      </c>
      <c r="F269" s="43" t="s">
        <v>304</v>
      </c>
      <c r="G269" s="43" t="s">
        <v>305</v>
      </c>
      <c r="H269" s="53" t="s">
        <v>304</v>
      </c>
      <c r="I269" s="46" t="s">
        <v>399</v>
      </c>
      <c r="J269" s="44" t="s">
        <v>306</v>
      </c>
      <c r="K269" s="44" t="s">
        <v>631</v>
      </c>
    </row>
    <row r="270" spans="1:13">
      <c r="A270" s="98" t="s">
        <v>632</v>
      </c>
      <c r="B270" s="43" t="s">
        <v>304</v>
      </c>
      <c r="C270" s="43" t="s">
        <v>304</v>
      </c>
      <c r="D270" s="43" t="s">
        <v>304</v>
      </c>
      <c r="E270" s="43" t="s">
        <v>304</v>
      </c>
      <c r="F270" s="43" t="s">
        <v>304</v>
      </c>
      <c r="G270" s="43" t="s">
        <v>305</v>
      </c>
      <c r="H270" s="53" t="s">
        <v>304</v>
      </c>
      <c r="I270" s="43" t="s">
        <v>305</v>
      </c>
      <c r="J270" s="44" t="s">
        <v>306</v>
      </c>
      <c r="K270" s="44" t="s">
        <v>629</v>
      </c>
      <c r="L270" s="46"/>
      <c r="M270" s="46"/>
    </row>
    <row r="271" spans="1:13">
      <c r="A271" s="98" t="s">
        <v>633</v>
      </c>
      <c r="B271" s="43" t="s">
        <v>305</v>
      </c>
      <c r="C271" s="43" t="s">
        <v>305</v>
      </c>
      <c r="D271" s="43" t="s">
        <v>305</v>
      </c>
      <c r="E271" s="43" t="s">
        <v>304</v>
      </c>
      <c r="F271" s="43" t="s">
        <v>304</v>
      </c>
      <c r="G271" s="43" t="s">
        <v>305</v>
      </c>
      <c r="H271" s="53" t="s">
        <v>304</v>
      </c>
      <c r="I271" s="43" t="s">
        <v>305</v>
      </c>
      <c r="J271" s="49"/>
    </row>
    <row r="272" spans="1:13">
      <c r="A272" s="98" t="s">
        <v>634</v>
      </c>
      <c r="B272" s="43" t="s">
        <v>304</v>
      </c>
      <c r="C272" s="43" t="s">
        <v>304</v>
      </c>
      <c r="D272" s="43" t="s">
        <v>304</v>
      </c>
      <c r="E272" s="43" t="s">
        <v>304</v>
      </c>
      <c r="F272" s="43" t="s">
        <v>304</v>
      </c>
      <c r="G272" s="43" t="s">
        <v>305</v>
      </c>
      <c r="H272" s="53" t="s">
        <v>304</v>
      </c>
      <c r="I272" s="43" t="s">
        <v>305</v>
      </c>
    </row>
    <row r="273" spans="1:13">
      <c r="A273" s="98" t="s">
        <v>635</v>
      </c>
      <c r="B273" s="43" t="s">
        <v>305</v>
      </c>
      <c r="C273" s="43" t="s">
        <v>305</v>
      </c>
      <c r="D273" s="43" t="s">
        <v>305</v>
      </c>
      <c r="E273" s="43" t="s">
        <v>305</v>
      </c>
      <c r="F273" s="43" t="s">
        <v>304</v>
      </c>
      <c r="G273" s="43" t="s">
        <v>305</v>
      </c>
      <c r="H273" s="43" t="s">
        <v>305</v>
      </c>
      <c r="I273" s="43" t="s">
        <v>305</v>
      </c>
      <c r="J273" s="44" t="s">
        <v>636</v>
      </c>
    </row>
    <row r="274" spans="1:13">
      <c r="A274" s="98" t="s">
        <v>637</v>
      </c>
      <c r="B274" s="43" t="s">
        <v>305</v>
      </c>
      <c r="C274" s="43" t="s">
        <v>305</v>
      </c>
      <c r="D274" s="43" t="s">
        <v>305</v>
      </c>
      <c r="E274" s="43" t="s">
        <v>305</v>
      </c>
      <c r="F274" s="43" t="s">
        <v>304</v>
      </c>
      <c r="G274" s="43" t="s">
        <v>305</v>
      </c>
      <c r="H274" s="43" t="s">
        <v>305</v>
      </c>
      <c r="I274" s="43" t="s">
        <v>305</v>
      </c>
      <c r="J274" s="44" t="s">
        <v>636</v>
      </c>
    </row>
    <row r="275" spans="1:13">
      <c r="A275" s="98" t="s">
        <v>638</v>
      </c>
      <c r="B275" s="43" t="s">
        <v>305</v>
      </c>
      <c r="C275" s="43" t="s">
        <v>305</v>
      </c>
      <c r="D275" s="43" t="s">
        <v>305</v>
      </c>
      <c r="E275" s="43" t="s">
        <v>305</v>
      </c>
      <c r="F275" s="43" t="s">
        <v>304</v>
      </c>
      <c r="G275" s="43" t="s">
        <v>305</v>
      </c>
      <c r="H275" s="43" t="s">
        <v>305</v>
      </c>
      <c r="I275" s="43" t="s">
        <v>305</v>
      </c>
      <c r="J275" s="49"/>
    </row>
    <row r="276" spans="1:13">
      <c r="A276" s="98" t="s">
        <v>639</v>
      </c>
      <c r="B276" s="43" t="s">
        <v>304</v>
      </c>
      <c r="C276" s="43" t="s">
        <v>304</v>
      </c>
      <c r="D276" s="43" t="s">
        <v>304</v>
      </c>
      <c r="E276" s="43" t="s">
        <v>304</v>
      </c>
      <c r="F276" s="43" t="s">
        <v>305</v>
      </c>
      <c r="G276" s="43" t="s">
        <v>305</v>
      </c>
      <c r="H276" s="43" t="s">
        <v>304</v>
      </c>
      <c r="I276" s="43" t="s">
        <v>305</v>
      </c>
      <c r="J276" s="44" t="s">
        <v>306</v>
      </c>
      <c r="K276" s="44" t="s">
        <v>640</v>
      </c>
      <c r="L276" s="46"/>
      <c r="M276" s="46"/>
    </row>
    <row r="277" spans="1:13">
      <c r="A277" s="98" t="s">
        <v>641</v>
      </c>
      <c r="B277" s="43" t="s">
        <v>304</v>
      </c>
      <c r="C277" s="43" t="s">
        <v>304</v>
      </c>
      <c r="D277" s="43" t="s">
        <v>304</v>
      </c>
      <c r="E277" s="43" t="s">
        <v>304</v>
      </c>
      <c r="F277" s="43" t="s">
        <v>305</v>
      </c>
      <c r="G277" s="43" t="s">
        <v>305</v>
      </c>
      <c r="H277" s="43" t="s">
        <v>304</v>
      </c>
      <c r="I277" s="43" t="s">
        <v>305</v>
      </c>
      <c r="J277" s="44" t="s">
        <v>306</v>
      </c>
      <c r="K277" s="44" t="s">
        <v>640</v>
      </c>
    </row>
    <row r="278" spans="1:13">
      <c r="A278" s="98" t="s">
        <v>642</v>
      </c>
      <c r="B278" s="53" t="s">
        <v>304</v>
      </c>
      <c r="C278" s="53" t="s">
        <v>304</v>
      </c>
      <c r="D278" s="53" t="s">
        <v>304</v>
      </c>
      <c r="E278" s="43" t="s">
        <v>305</v>
      </c>
      <c r="F278" s="43" t="s">
        <v>305</v>
      </c>
      <c r="G278" s="43" t="s">
        <v>305</v>
      </c>
      <c r="H278" s="43" t="s">
        <v>305</v>
      </c>
      <c r="I278" s="53" t="s">
        <v>339</v>
      </c>
      <c r="J278" s="49" t="s">
        <v>340</v>
      </c>
      <c r="K278" s="47">
        <v>32</v>
      </c>
    </row>
    <row r="279" spans="1:13">
      <c r="A279" s="100" t="s">
        <v>643</v>
      </c>
      <c r="B279" s="46" t="s">
        <v>305</v>
      </c>
      <c r="C279" s="46" t="s">
        <v>305</v>
      </c>
      <c r="D279" s="46" t="s">
        <v>305</v>
      </c>
      <c r="E279" s="46" t="s">
        <v>305</v>
      </c>
      <c r="F279" s="46" t="s">
        <v>305</v>
      </c>
      <c r="G279" s="46" t="s">
        <v>305</v>
      </c>
      <c r="H279" s="46" t="s">
        <v>305</v>
      </c>
      <c r="I279" s="46" t="s">
        <v>1527</v>
      </c>
      <c r="J279" s="47" t="s">
        <v>460</v>
      </c>
    </row>
    <row r="280" spans="1:13">
      <c r="A280" s="98" t="s">
        <v>644</v>
      </c>
      <c r="B280" s="43" t="s">
        <v>304</v>
      </c>
      <c r="C280" s="43" t="s">
        <v>304</v>
      </c>
      <c r="D280" s="43" t="s">
        <v>304</v>
      </c>
      <c r="E280" s="43" t="s">
        <v>304</v>
      </c>
      <c r="F280" s="43" t="s">
        <v>305</v>
      </c>
      <c r="G280" s="43" t="s">
        <v>305</v>
      </c>
      <c r="H280" s="43" t="s">
        <v>304</v>
      </c>
      <c r="I280" s="43" t="s">
        <v>305</v>
      </c>
      <c r="J280" s="44" t="s">
        <v>306</v>
      </c>
      <c r="K280" s="44" t="s">
        <v>645</v>
      </c>
    </row>
    <row r="281" spans="1:13">
      <c r="A281" s="98" t="s">
        <v>646</v>
      </c>
      <c r="B281" s="43"/>
      <c r="C281" s="43"/>
      <c r="D281" s="43"/>
      <c r="E281" s="43"/>
      <c r="F281" s="43"/>
      <c r="G281" s="43"/>
      <c r="H281" s="43"/>
      <c r="I281" s="43"/>
      <c r="J281" s="49" t="s">
        <v>1345</v>
      </c>
      <c r="K281" s="47">
        <v>9</v>
      </c>
    </row>
    <row r="282" spans="1:13">
      <c r="A282" s="98" t="s">
        <v>647</v>
      </c>
      <c r="B282" s="53" t="s">
        <v>304</v>
      </c>
      <c r="C282" s="53" t="s">
        <v>304</v>
      </c>
      <c r="D282" s="53" t="s">
        <v>304</v>
      </c>
      <c r="E282" s="43" t="s">
        <v>305</v>
      </c>
      <c r="F282" s="43" t="s">
        <v>305</v>
      </c>
      <c r="G282" s="43" t="s">
        <v>305</v>
      </c>
      <c r="H282" s="43" t="s">
        <v>305</v>
      </c>
      <c r="I282" s="43" t="s">
        <v>305</v>
      </c>
      <c r="J282" s="49" t="s">
        <v>474</v>
      </c>
      <c r="K282" s="47">
        <v>51</v>
      </c>
    </row>
    <row r="283" spans="1:13">
      <c r="A283" s="100" t="s">
        <v>648</v>
      </c>
      <c r="B283" s="46" t="s">
        <v>305</v>
      </c>
      <c r="C283" s="46" t="s">
        <v>305</v>
      </c>
      <c r="D283" s="46" t="s">
        <v>305</v>
      </c>
      <c r="E283" s="46" t="s">
        <v>305</v>
      </c>
      <c r="F283" s="46" t="s">
        <v>305</v>
      </c>
      <c r="G283" s="46" t="s">
        <v>305</v>
      </c>
      <c r="H283" s="46" t="s">
        <v>305</v>
      </c>
      <c r="I283" s="46" t="s">
        <v>1527</v>
      </c>
      <c r="J283" s="47" t="s">
        <v>316</v>
      </c>
      <c r="K283" s="44"/>
      <c r="L283" s="46"/>
      <c r="M283" s="46"/>
    </row>
    <row r="284" spans="1:13">
      <c r="A284" s="98" t="s">
        <v>649</v>
      </c>
      <c r="B284" s="43" t="s">
        <v>304</v>
      </c>
      <c r="C284" s="43" t="s">
        <v>304</v>
      </c>
      <c r="D284" s="43" t="s">
        <v>304</v>
      </c>
      <c r="E284" s="43" t="s">
        <v>304</v>
      </c>
      <c r="F284" s="43" t="s">
        <v>305</v>
      </c>
      <c r="G284" s="43" t="s">
        <v>305</v>
      </c>
      <c r="H284" s="43" t="s">
        <v>304</v>
      </c>
      <c r="I284" s="43" t="s">
        <v>305</v>
      </c>
      <c r="J284" s="49" t="s">
        <v>1341</v>
      </c>
      <c r="K284" s="44" t="s">
        <v>307</v>
      </c>
      <c r="L284" s="46"/>
      <c r="M284" s="46"/>
    </row>
    <row r="285" spans="1:13">
      <c r="A285" s="98" t="s">
        <v>650</v>
      </c>
      <c r="B285" s="53" t="s">
        <v>304</v>
      </c>
      <c r="C285" s="53" t="s">
        <v>304</v>
      </c>
      <c r="D285" s="53" t="s">
        <v>304</v>
      </c>
      <c r="E285" s="53" t="s">
        <v>304</v>
      </c>
      <c r="F285" s="43" t="s">
        <v>305</v>
      </c>
      <c r="G285" s="43" t="s">
        <v>305</v>
      </c>
      <c r="H285" s="43" t="s">
        <v>305</v>
      </c>
      <c r="I285" s="43" t="s">
        <v>305</v>
      </c>
      <c r="J285" s="49" t="s">
        <v>330</v>
      </c>
      <c r="K285" s="47">
        <v>32</v>
      </c>
    </row>
    <row r="286" spans="1:13">
      <c r="A286" s="97" t="s">
        <v>1147</v>
      </c>
      <c r="B286" s="53"/>
      <c r="C286" s="53"/>
      <c r="D286" s="53"/>
      <c r="E286" s="53"/>
      <c r="F286" s="43"/>
      <c r="G286" s="43"/>
      <c r="H286" s="43"/>
      <c r="I286" s="43"/>
      <c r="J286" s="49" t="s">
        <v>530</v>
      </c>
      <c r="K286" s="44" t="s">
        <v>556</v>
      </c>
      <c r="L286" s="46"/>
      <c r="M286" s="46"/>
    </row>
    <row r="287" spans="1:13">
      <c r="A287" s="45" t="s">
        <v>651</v>
      </c>
      <c r="J287" s="47" t="s">
        <v>343</v>
      </c>
      <c r="K287" s="44" t="s">
        <v>691</v>
      </c>
      <c r="L287" s="46"/>
      <c r="M287" s="46"/>
    </row>
    <row r="288" spans="1:13">
      <c r="A288" s="98" t="s">
        <v>652</v>
      </c>
      <c r="B288" s="43" t="s">
        <v>304</v>
      </c>
      <c r="C288" s="43" t="s">
        <v>304</v>
      </c>
      <c r="D288" s="43" t="s">
        <v>304</v>
      </c>
      <c r="E288" s="43" t="s">
        <v>304</v>
      </c>
      <c r="F288" s="43" t="s">
        <v>305</v>
      </c>
      <c r="G288" s="43" t="s">
        <v>305</v>
      </c>
      <c r="H288" s="43" t="s">
        <v>304</v>
      </c>
      <c r="I288" s="43" t="s">
        <v>305</v>
      </c>
      <c r="J288" s="44" t="s">
        <v>306</v>
      </c>
      <c r="K288" s="44" t="s">
        <v>653</v>
      </c>
      <c r="L288" s="46"/>
      <c r="M288" s="46"/>
    </row>
    <row r="289" spans="1:13">
      <c r="A289" s="98" t="s">
        <v>654</v>
      </c>
      <c r="B289" s="43" t="s">
        <v>305</v>
      </c>
      <c r="C289" s="43" t="s">
        <v>304</v>
      </c>
      <c r="D289" s="43" t="s">
        <v>305</v>
      </c>
      <c r="E289" s="43" t="s">
        <v>304</v>
      </c>
      <c r="F289" s="43" t="s">
        <v>305</v>
      </c>
      <c r="G289" s="43" t="s">
        <v>305</v>
      </c>
      <c r="H289" s="43" t="s">
        <v>304</v>
      </c>
      <c r="I289" s="43"/>
      <c r="J289" s="44" t="s">
        <v>306</v>
      </c>
      <c r="K289" s="44" t="s">
        <v>655</v>
      </c>
      <c r="L289" s="46"/>
      <c r="M289" s="46"/>
    </row>
    <row r="290" spans="1:13">
      <c r="A290" s="98" t="s">
        <v>656</v>
      </c>
      <c r="B290" s="43" t="s">
        <v>305</v>
      </c>
      <c r="C290" s="43" t="s">
        <v>304</v>
      </c>
      <c r="D290" s="43" t="s">
        <v>305</v>
      </c>
      <c r="E290" s="43" t="s">
        <v>304</v>
      </c>
      <c r="F290" s="43" t="s">
        <v>305</v>
      </c>
      <c r="G290" s="43" t="s">
        <v>305</v>
      </c>
      <c r="H290" s="43" t="s">
        <v>304</v>
      </c>
      <c r="I290" s="43"/>
      <c r="J290" s="44" t="s">
        <v>306</v>
      </c>
      <c r="K290" s="44" t="s">
        <v>655</v>
      </c>
      <c r="L290" s="46"/>
      <c r="M290" s="46"/>
    </row>
    <row r="291" spans="1:13">
      <c r="A291" s="98" t="s">
        <v>657</v>
      </c>
      <c r="B291" s="43" t="s">
        <v>305</v>
      </c>
      <c r="C291" s="43" t="s">
        <v>304</v>
      </c>
      <c r="D291" s="43" t="s">
        <v>305</v>
      </c>
      <c r="E291" s="43" t="s">
        <v>304</v>
      </c>
      <c r="F291" s="43" t="s">
        <v>305</v>
      </c>
      <c r="G291" s="43" t="s">
        <v>305</v>
      </c>
      <c r="H291" s="43" t="s">
        <v>304</v>
      </c>
      <c r="I291" s="43"/>
      <c r="J291" s="44" t="s">
        <v>306</v>
      </c>
      <c r="K291" s="44" t="s">
        <v>655</v>
      </c>
      <c r="L291" s="46"/>
      <c r="M291" s="46"/>
    </row>
    <row r="292" spans="1:13">
      <c r="A292" s="98" t="s">
        <v>658</v>
      </c>
      <c r="B292" s="43" t="s">
        <v>305</v>
      </c>
      <c r="C292" s="43" t="s">
        <v>304</v>
      </c>
      <c r="D292" s="43" t="s">
        <v>305</v>
      </c>
      <c r="E292" s="43" t="s">
        <v>304</v>
      </c>
      <c r="F292" s="43" t="s">
        <v>305</v>
      </c>
      <c r="G292" s="43" t="s">
        <v>305</v>
      </c>
      <c r="H292" s="43" t="s">
        <v>304</v>
      </c>
      <c r="I292" s="43"/>
      <c r="J292" s="44" t="s">
        <v>306</v>
      </c>
      <c r="K292" s="44" t="s">
        <v>655</v>
      </c>
    </row>
    <row r="293" spans="1:13">
      <c r="A293" s="98" t="s">
        <v>659</v>
      </c>
      <c r="B293" s="43" t="s">
        <v>304</v>
      </c>
      <c r="C293" s="43" t="s">
        <v>304</v>
      </c>
      <c r="D293" s="43" t="s">
        <v>304</v>
      </c>
      <c r="E293" s="43" t="s">
        <v>304</v>
      </c>
      <c r="F293" s="43" t="s">
        <v>305</v>
      </c>
      <c r="G293" s="43" t="s">
        <v>305</v>
      </c>
      <c r="H293" s="43" t="s">
        <v>304</v>
      </c>
      <c r="I293" s="43" t="s">
        <v>305</v>
      </c>
      <c r="J293" s="49" t="s">
        <v>1341</v>
      </c>
      <c r="K293" s="47">
        <v>16</v>
      </c>
    </row>
    <row r="294" spans="1:13">
      <c r="A294" s="98" t="s">
        <v>660</v>
      </c>
      <c r="B294" s="53" t="s">
        <v>304</v>
      </c>
      <c r="C294" s="53" t="s">
        <v>304</v>
      </c>
      <c r="D294" s="53" t="s">
        <v>304</v>
      </c>
      <c r="E294" s="43" t="s">
        <v>305</v>
      </c>
      <c r="F294" s="43" t="s">
        <v>305</v>
      </c>
      <c r="G294" s="43" t="s">
        <v>305</v>
      </c>
      <c r="H294" s="43" t="s">
        <v>304</v>
      </c>
      <c r="I294" s="53" t="s">
        <v>339</v>
      </c>
      <c r="J294" s="49" t="s">
        <v>340</v>
      </c>
      <c r="K294" s="47">
        <v>33</v>
      </c>
    </row>
    <row r="295" spans="1:13">
      <c r="A295" s="45" t="s">
        <v>661</v>
      </c>
      <c r="J295" s="44" t="s">
        <v>371</v>
      </c>
      <c r="K295" s="47">
        <v>92</v>
      </c>
    </row>
    <row r="296" spans="1:13">
      <c r="A296" s="98" t="s">
        <v>662</v>
      </c>
      <c r="B296" s="43" t="s">
        <v>305</v>
      </c>
      <c r="C296" s="53" t="s">
        <v>304</v>
      </c>
      <c r="D296" s="43" t="s">
        <v>305</v>
      </c>
      <c r="E296" s="43" t="s">
        <v>305</v>
      </c>
      <c r="F296" s="43" t="s">
        <v>305</v>
      </c>
      <c r="G296" s="43" t="s">
        <v>305</v>
      </c>
      <c r="H296" s="43" t="s">
        <v>305</v>
      </c>
      <c r="I296" s="53" t="s">
        <v>339</v>
      </c>
      <c r="J296" s="49"/>
    </row>
    <row r="297" spans="1:13">
      <c r="A297" s="100" t="s">
        <v>663</v>
      </c>
      <c r="B297" s="43"/>
      <c r="C297" s="53"/>
      <c r="D297" s="43"/>
      <c r="E297" s="43"/>
      <c r="F297" s="43"/>
      <c r="G297" s="43"/>
      <c r="H297" s="43"/>
      <c r="I297" s="53"/>
      <c r="J297" s="49"/>
    </row>
    <row r="298" spans="1:13">
      <c r="A298" s="98" t="s">
        <v>664</v>
      </c>
      <c r="B298" s="53" t="s">
        <v>304</v>
      </c>
      <c r="C298" s="53" t="s">
        <v>304</v>
      </c>
      <c r="D298" s="53" t="s">
        <v>304</v>
      </c>
      <c r="E298" s="43" t="s">
        <v>305</v>
      </c>
      <c r="F298" s="43" t="s">
        <v>305</v>
      </c>
      <c r="G298" s="43" t="s">
        <v>305</v>
      </c>
      <c r="H298" s="43" t="s">
        <v>305</v>
      </c>
      <c r="I298" s="43" t="s">
        <v>305</v>
      </c>
      <c r="J298" s="49" t="s">
        <v>386</v>
      </c>
      <c r="K298" s="47">
        <v>47</v>
      </c>
    </row>
    <row r="299" spans="1:13">
      <c r="A299" s="45" t="s">
        <v>665</v>
      </c>
      <c r="J299" s="49" t="s">
        <v>386</v>
      </c>
      <c r="K299" s="47">
        <v>51</v>
      </c>
    </row>
    <row r="300" spans="1:13">
      <c r="A300" s="98" t="s">
        <v>666</v>
      </c>
      <c r="B300" s="53" t="s">
        <v>304</v>
      </c>
      <c r="C300" s="53" t="s">
        <v>304</v>
      </c>
      <c r="D300" s="53" t="s">
        <v>304</v>
      </c>
      <c r="E300" s="43" t="s">
        <v>305</v>
      </c>
      <c r="F300" s="43" t="s">
        <v>305</v>
      </c>
      <c r="G300" s="43" t="s">
        <v>305</v>
      </c>
      <c r="H300" s="43" t="s">
        <v>305</v>
      </c>
      <c r="I300" s="43" t="s">
        <v>305</v>
      </c>
      <c r="J300" s="49" t="s">
        <v>474</v>
      </c>
      <c r="K300" s="47">
        <v>52</v>
      </c>
    </row>
    <row r="301" spans="1:13">
      <c r="A301" s="97" t="s">
        <v>1342</v>
      </c>
      <c r="B301" s="43"/>
      <c r="C301" s="43"/>
      <c r="D301" s="43"/>
      <c r="E301" s="43"/>
      <c r="F301" s="43"/>
      <c r="G301" s="43"/>
      <c r="H301" s="43"/>
      <c r="I301" s="43"/>
      <c r="J301" s="49" t="s">
        <v>530</v>
      </c>
      <c r="K301" s="44" t="s">
        <v>492</v>
      </c>
      <c r="L301" s="46"/>
      <c r="M301" s="46"/>
    </row>
    <row r="302" spans="1:13">
      <c r="A302" s="45" t="s">
        <v>1149</v>
      </c>
      <c r="B302" s="43" t="s">
        <v>304</v>
      </c>
      <c r="C302" s="43" t="s">
        <v>304</v>
      </c>
      <c r="D302" s="43" t="s">
        <v>304</v>
      </c>
      <c r="E302" s="43" t="s">
        <v>304</v>
      </c>
      <c r="F302" s="43" t="s">
        <v>305</v>
      </c>
      <c r="G302" s="43" t="s">
        <v>305</v>
      </c>
      <c r="H302" s="43" t="s">
        <v>304</v>
      </c>
      <c r="I302" s="43" t="s">
        <v>305</v>
      </c>
      <c r="J302" s="44" t="s">
        <v>306</v>
      </c>
      <c r="K302" s="44" t="s">
        <v>667</v>
      </c>
      <c r="L302" s="46"/>
      <c r="M302" s="46"/>
    </row>
    <row r="303" spans="1:13">
      <c r="A303" s="98" t="s">
        <v>668</v>
      </c>
      <c r="B303" s="53" t="s">
        <v>304</v>
      </c>
      <c r="C303" s="53" t="s">
        <v>304</v>
      </c>
      <c r="D303" s="53" t="s">
        <v>304</v>
      </c>
      <c r="E303" s="53" t="s">
        <v>304</v>
      </c>
      <c r="F303" s="43" t="s">
        <v>305</v>
      </c>
      <c r="G303" s="43" t="s">
        <v>305</v>
      </c>
      <c r="H303" s="43" t="s">
        <v>305</v>
      </c>
      <c r="I303" s="43" t="s">
        <v>305</v>
      </c>
      <c r="J303" s="49" t="s">
        <v>330</v>
      </c>
      <c r="K303" s="47">
        <v>33</v>
      </c>
    </row>
    <row r="304" spans="1:13">
      <c r="A304" s="45" t="s">
        <v>669</v>
      </c>
      <c r="J304" s="44" t="s">
        <v>323</v>
      </c>
      <c r="K304" s="47">
        <v>28</v>
      </c>
    </row>
    <row r="305" spans="1:13">
      <c r="A305" s="45" t="s">
        <v>670</v>
      </c>
      <c r="J305" s="49" t="s">
        <v>530</v>
      </c>
      <c r="K305" s="44" t="s">
        <v>692</v>
      </c>
      <c r="L305" s="46"/>
      <c r="M305" s="46"/>
    </row>
    <row r="306" spans="1:13">
      <c r="A306" s="45" t="s">
        <v>671</v>
      </c>
      <c r="B306" s="43" t="s">
        <v>304</v>
      </c>
      <c r="C306" s="43" t="s">
        <v>304</v>
      </c>
      <c r="D306" s="43" t="s">
        <v>304</v>
      </c>
      <c r="E306" s="43" t="s">
        <v>304</v>
      </c>
      <c r="F306" s="43" t="s">
        <v>305</v>
      </c>
      <c r="G306" s="43" t="s">
        <v>305</v>
      </c>
      <c r="H306" s="43" t="s">
        <v>304</v>
      </c>
      <c r="I306" s="43" t="s">
        <v>305</v>
      </c>
      <c r="J306" s="49"/>
    </row>
    <row r="307" spans="1:13">
      <c r="A307" s="45" t="s">
        <v>672</v>
      </c>
      <c r="B307" s="43" t="s">
        <v>305</v>
      </c>
      <c r="C307" s="43" t="s">
        <v>305</v>
      </c>
      <c r="D307" s="43" t="s">
        <v>305</v>
      </c>
      <c r="E307" s="43" t="s">
        <v>305</v>
      </c>
      <c r="F307" s="43" t="s">
        <v>305</v>
      </c>
      <c r="G307" s="43" t="s">
        <v>304</v>
      </c>
      <c r="H307" s="43" t="s">
        <v>305</v>
      </c>
      <c r="I307" s="43" t="s">
        <v>305</v>
      </c>
      <c r="J307" s="49" t="s">
        <v>1340</v>
      </c>
      <c r="K307" s="47">
        <v>3</v>
      </c>
      <c r="L307" s="49" t="s">
        <v>1347</v>
      </c>
    </row>
    <row r="308" spans="1:13">
      <c r="A308" s="97" t="s">
        <v>673</v>
      </c>
      <c r="B308" s="53" t="s">
        <v>304</v>
      </c>
      <c r="C308" s="53" t="s">
        <v>304</v>
      </c>
      <c r="D308" s="53" t="s">
        <v>304</v>
      </c>
      <c r="E308" s="53" t="s">
        <v>304</v>
      </c>
      <c r="F308" s="43" t="s">
        <v>305</v>
      </c>
      <c r="G308" s="43" t="s">
        <v>305</v>
      </c>
      <c r="H308" s="53" t="s">
        <v>304</v>
      </c>
      <c r="I308" s="43" t="s">
        <v>305</v>
      </c>
      <c r="J308" s="49"/>
    </row>
    <row r="309" spans="1:13">
      <c r="A309" s="100" t="s">
        <v>674</v>
      </c>
      <c r="B309" s="46" t="s">
        <v>305</v>
      </c>
      <c r="C309" s="46" t="s">
        <v>305</v>
      </c>
      <c r="D309" s="46" t="s">
        <v>305</v>
      </c>
      <c r="E309" s="46" t="s">
        <v>305</v>
      </c>
      <c r="F309" s="46" t="s">
        <v>305</v>
      </c>
      <c r="G309" s="46" t="s">
        <v>305</v>
      </c>
      <c r="H309" s="46" t="s">
        <v>305</v>
      </c>
      <c r="I309" s="46" t="s">
        <v>1527</v>
      </c>
      <c r="J309" s="47" t="s">
        <v>316</v>
      </c>
      <c r="K309" s="44"/>
      <c r="L309" s="46"/>
      <c r="M309" s="46"/>
    </row>
    <row r="310" spans="1:13">
      <c r="A310" s="98" t="s">
        <v>675</v>
      </c>
      <c r="B310" s="53" t="s">
        <v>304</v>
      </c>
      <c r="C310" s="53" t="s">
        <v>304</v>
      </c>
      <c r="D310" s="53" t="s">
        <v>304</v>
      </c>
      <c r="E310" s="43" t="s">
        <v>305</v>
      </c>
      <c r="F310" s="43" t="s">
        <v>305</v>
      </c>
      <c r="G310" s="43" t="s">
        <v>305</v>
      </c>
      <c r="H310" s="43" t="s">
        <v>305</v>
      </c>
      <c r="I310" s="53" t="s">
        <v>339</v>
      </c>
      <c r="J310" s="49"/>
    </row>
    <row r="311" spans="1:13">
      <c r="A311" s="98" t="s">
        <v>676</v>
      </c>
      <c r="B311" s="53" t="s">
        <v>304</v>
      </c>
      <c r="C311" s="53" t="s">
        <v>304</v>
      </c>
      <c r="D311" s="53" t="s">
        <v>304</v>
      </c>
      <c r="E311" s="53" t="s">
        <v>304</v>
      </c>
      <c r="F311" s="43" t="s">
        <v>305</v>
      </c>
      <c r="G311" s="43" t="s">
        <v>305</v>
      </c>
      <c r="H311" s="43" t="s">
        <v>304</v>
      </c>
      <c r="I311" s="43" t="s">
        <v>305</v>
      </c>
      <c r="J311" s="49" t="s">
        <v>474</v>
      </c>
      <c r="K311" s="44" t="s">
        <v>653</v>
      </c>
      <c r="L311" s="46"/>
      <c r="M311" s="46"/>
    </row>
    <row r="312" spans="1:13">
      <c r="A312" s="45" t="s">
        <v>677</v>
      </c>
      <c r="J312" s="44" t="s">
        <v>419</v>
      </c>
      <c r="K312" s="47">
        <v>37</v>
      </c>
    </row>
    <row r="313" spans="1:13">
      <c r="A313" s="45" t="s">
        <v>678</v>
      </c>
      <c r="J313" s="44" t="s">
        <v>419</v>
      </c>
      <c r="K313" s="47">
        <v>82</v>
      </c>
    </row>
    <row r="314" spans="1:13">
      <c r="A314" s="98" t="s">
        <v>679</v>
      </c>
      <c r="B314" s="53" t="s">
        <v>304</v>
      </c>
      <c r="C314" s="53" t="s">
        <v>304</v>
      </c>
      <c r="D314" s="53" t="s">
        <v>304</v>
      </c>
      <c r="E314" s="43" t="s">
        <v>305</v>
      </c>
      <c r="F314" s="43" t="s">
        <v>305</v>
      </c>
      <c r="G314" s="43" t="s">
        <v>305</v>
      </c>
      <c r="H314" s="43" t="s">
        <v>305</v>
      </c>
      <c r="I314" s="53" t="s">
        <v>339</v>
      </c>
      <c r="J314" s="49" t="s">
        <v>340</v>
      </c>
      <c r="K314" s="47">
        <v>34</v>
      </c>
    </row>
    <row r="315" spans="1:13">
      <c r="A315" s="98" t="s">
        <v>680</v>
      </c>
      <c r="B315" s="43" t="s">
        <v>304</v>
      </c>
      <c r="C315" s="43" t="s">
        <v>304</v>
      </c>
      <c r="D315" s="43" t="s">
        <v>304</v>
      </c>
      <c r="E315" s="43" t="s">
        <v>304</v>
      </c>
      <c r="F315" s="43" t="s">
        <v>305</v>
      </c>
      <c r="G315" s="43" t="s">
        <v>305</v>
      </c>
      <c r="H315" s="43" t="s">
        <v>304</v>
      </c>
      <c r="I315" s="43" t="s">
        <v>305</v>
      </c>
      <c r="J315" s="44" t="s">
        <v>306</v>
      </c>
      <c r="K315" s="44" t="s">
        <v>681</v>
      </c>
    </row>
    <row r="316" spans="1:13">
      <c r="A316" s="98" t="s">
        <v>682</v>
      </c>
      <c r="B316" s="43" t="s">
        <v>304</v>
      </c>
      <c r="C316" s="43" t="s">
        <v>304</v>
      </c>
      <c r="D316" s="43" t="s">
        <v>304</v>
      </c>
      <c r="E316" s="43" t="s">
        <v>304</v>
      </c>
      <c r="F316" s="43" t="s">
        <v>305</v>
      </c>
      <c r="G316" s="43" t="s">
        <v>305</v>
      </c>
      <c r="H316" s="43" t="s">
        <v>304</v>
      </c>
      <c r="I316" s="43" t="s">
        <v>305</v>
      </c>
      <c r="J316" s="49" t="s">
        <v>1341</v>
      </c>
      <c r="K316" s="47">
        <v>16</v>
      </c>
    </row>
    <row r="317" spans="1:13">
      <c r="A317" s="98" t="s">
        <v>683</v>
      </c>
      <c r="B317" s="53" t="s">
        <v>304</v>
      </c>
      <c r="C317" s="53" t="s">
        <v>304</v>
      </c>
      <c r="D317" s="53" t="s">
        <v>304</v>
      </c>
      <c r="E317" s="43" t="s">
        <v>305</v>
      </c>
      <c r="F317" s="43" t="s">
        <v>305</v>
      </c>
      <c r="G317" s="43" t="s">
        <v>305</v>
      </c>
      <c r="H317" s="43" t="s">
        <v>305</v>
      </c>
      <c r="I317" s="43" t="s">
        <v>305</v>
      </c>
      <c r="J317" s="49" t="s">
        <v>474</v>
      </c>
      <c r="K317" s="44" t="s">
        <v>693</v>
      </c>
      <c r="L317" s="46"/>
      <c r="M317" s="46"/>
    </row>
    <row r="318" spans="1:13">
      <c r="A318" s="45" t="s">
        <v>684</v>
      </c>
      <c r="J318" s="47" t="s">
        <v>343</v>
      </c>
      <c r="K318" s="44" t="s">
        <v>629</v>
      </c>
      <c r="L318" s="46"/>
      <c r="M318" s="46"/>
    </row>
  </sheetData>
  <autoFilter ref="A1:M318"/>
  <conditionalFormatting sqref="B1:H1048576">
    <cfRule type="cellIs" dxfId="3" priority="53" stopIfTrue="1" operator="equal">
      <formula>"Yes"</formula>
    </cfRule>
  </conditionalFormatting>
  <conditionalFormatting sqref="B1:I1048576">
    <cfRule type="cellIs" dxfId="2" priority="58" stopIfTrue="1" operator="equal">
      <formula>"—"</formula>
    </cfRule>
  </conditionalFormatting>
  <conditionalFormatting sqref="I1:I1048576">
    <cfRule type="containsBlanks" dxfId="1" priority="3" stopIfTrue="1">
      <formula>LEN(TRIM(I1))=0</formula>
    </cfRule>
    <cfRule type="cellIs" dxfId="0" priority="56" stopIfTrue="1" operator="notEqual">
      <formula>"—"</formula>
    </cfRule>
  </conditionalFormatting>
  <conditionalFormatting sqref="I1">
    <cfRule type="cellIs" priority="1" stopIfTrue="1" operator="equal">
      <formula>"Other"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146</vt:i4>
      </vt:variant>
    </vt:vector>
  </HeadingPairs>
  <TitlesOfParts>
    <vt:vector size="156" baseType="lpstr">
      <vt:lpstr>Feuille 1</vt:lpstr>
      <vt:lpstr>Attributs</vt:lpstr>
      <vt:lpstr>Saving Throws</vt:lpstr>
      <vt:lpstr>Compétences</vt:lpstr>
      <vt:lpstr>Races</vt:lpstr>
      <vt:lpstr>Ethnie</vt:lpstr>
      <vt:lpstr>Sorts</vt:lpstr>
      <vt:lpstr>Autres</vt:lpstr>
      <vt:lpstr>Factions</vt:lpstr>
      <vt:lpstr>Races_Ref</vt:lpstr>
      <vt:lpstr>Base_TAC0</vt:lpstr>
      <vt:lpstr>Base_TAC02</vt:lpstr>
      <vt:lpstr>Campagne</vt:lpstr>
      <vt:lpstr>Campaign_money</vt:lpstr>
      <vt:lpstr>Campaign_settings</vt:lpstr>
      <vt:lpstr>CHA</vt:lpstr>
      <vt:lpstr>Class_mod</vt:lpstr>
      <vt:lpstr>Classe</vt:lpstr>
      <vt:lpstr>Classe2</vt:lpstr>
      <vt:lpstr>Classe3</vt:lpstr>
      <vt:lpstr>Classes_list</vt:lpstr>
      <vt:lpstr>classes_qty</vt:lpstr>
      <vt:lpstr>Combattant?</vt:lpstr>
      <vt:lpstr>Comp_diverses_Full</vt:lpstr>
      <vt:lpstr>Comp_diverses_list</vt:lpstr>
      <vt:lpstr>Comp_martiales</vt:lpstr>
      <vt:lpstr>Comp_martiales_cost</vt:lpstr>
      <vt:lpstr>Comp_martiales_list</vt:lpstr>
      <vt:lpstr>comp_vers</vt:lpstr>
      <vt:lpstr>CON</vt:lpstr>
      <vt:lpstr>DEX</vt:lpstr>
      <vt:lpstr>Ethnie</vt:lpstr>
      <vt:lpstr>Ethnies_total</vt:lpstr>
      <vt:lpstr>Faction</vt:lpstr>
      <vt:lpstr>Faction_list_complete</vt:lpstr>
      <vt:lpstr>FOR_balance</vt:lpstr>
      <vt:lpstr>FOR_bonus</vt:lpstr>
      <vt:lpstr>Force</vt:lpstr>
      <vt:lpstr>Genre</vt:lpstr>
      <vt:lpstr>INT</vt:lpstr>
      <vt:lpstr>La_cellule_vide</vt:lpstr>
      <vt:lpstr>level</vt:lpstr>
      <vt:lpstr>levelc2</vt:lpstr>
      <vt:lpstr>levelc3</vt:lpstr>
      <vt:lpstr>list_test</vt:lpstr>
      <vt:lpstr>liste_armures</vt:lpstr>
      <vt:lpstr>lvl_sr_bar</vt:lpstr>
      <vt:lpstr>lvl_sr_mag</vt:lpstr>
      <vt:lpstr>lvl_sr_pal</vt:lpstr>
      <vt:lpstr>lvl_sr_pr</vt:lpstr>
      <vt:lpstr>lvl_sr_rod</vt:lpstr>
      <vt:lpstr>Mage</vt:lpstr>
      <vt:lpstr>Money</vt:lpstr>
      <vt:lpstr>multi</vt:lpstr>
      <vt:lpstr>Niv_priere_bonus_sag</vt:lpstr>
      <vt:lpstr>Niv_prieres</vt:lpstr>
      <vt:lpstr>Niv_prieres_pal</vt:lpstr>
      <vt:lpstr>Niv_prieres_rod</vt:lpstr>
      <vt:lpstr>Niv_sorts</vt:lpstr>
      <vt:lpstr>Niv_sorts_barde</vt:lpstr>
      <vt:lpstr>NPC</vt:lpstr>
      <vt:lpstr>PFP</vt:lpstr>
      <vt:lpstr>PFP_Psioniste</vt:lpstr>
      <vt:lpstr>PFP_psioniste_talent</vt:lpstr>
      <vt:lpstr>PFP_talent_natif</vt:lpstr>
      <vt:lpstr>'Feuille 1'!Print_Area</vt:lpstr>
      <vt:lpstr>profil_list_comp</vt:lpstr>
      <vt:lpstr>psio_version</vt:lpstr>
      <vt:lpstr>Psionique?</vt:lpstr>
      <vt:lpstr>Race</vt:lpstr>
      <vt:lpstr>Race_list</vt:lpstr>
      <vt:lpstr>Race_stats</vt:lpstr>
      <vt:lpstr>Race_stats_Aarakocra</vt:lpstr>
      <vt:lpstr>Race_stats_Aasimar</vt:lpstr>
      <vt:lpstr>Race_stats_Archon</vt:lpstr>
      <vt:lpstr>Race_stats_Bariaure</vt:lpstr>
      <vt:lpstr>Race_stats_Dame_cygne</vt:lpstr>
      <vt:lpstr>Race_stats_dDragon</vt:lpstr>
      <vt:lpstr>Race_stats_demi_elfe</vt:lpstr>
      <vt:lpstr>Race_stats_Dragon</vt:lpstr>
      <vt:lpstr>Race_stats_Eladrin</vt:lpstr>
      <vt:lpstr>Race_stats_Elfe</vt:lpstr>
      <vt:lpstr>Race_stats_Genasis</vt:lpstr>
      <vt:lpstr>Race_stats_Gnoll</vt:lpstr>
      <vt:lpstr>Race_stats_Gnome</vt:lpstr>
      <vt:lpstr>Race_stats_Gobelin</vt:lpstr>
      <vt:lpstr>Race_stats_Gremlin</vt:lpstr>
      <vt:lpstr>Race_stats_Grommam</vt:lpstr>
      <vt:lpstr>Race_stats_Guardinal</vt:lpstr>
      <vt:lpstr>Race_stats_Hengeyokai</vt:lpstr>
      <vt:lpstr>Race_stats_hobbit</vt:lpstr>
      <vt:lpstr>Race_stats_Hobgobelin</vt:lpstr>
      <vt:lpstr>Race_stats_Humain</vt:lpstr>
      <vt:lpstr>Race_stats_Kender</vt:lpstr>
      <vt:lpstr>Race_stats_Lézard</vt:lpstr>
      <vt:lpstr>Race_stats_Locathah</vt:lpstr>
      <vt:lpstr>Race_stats_Malenti</vt:lpstr>
      <vt:lpstr>Race_stats_Merfolk</vt:lpstr>
      <vt:lpstr>Race_stats_Minotaure</vt:lpstr>
      <vt:lpstr>Race_stats_nain</vt:lpstr>
      <vt:lpstr>Race_stats_Ogre</vt:lpstr>
      <vt:lpstr>Race_stats_Saurial</vt:lpstr>
      <vt:lpstr>Race_stats_sGéant</vt:lpstr>
      <vt:lpstr>Race_stats_sLézard</vt:lpstr>
      <vt:lpstr>Race_stats_Thri_kreen</vt:lpstr>
      <vt:lpstr>Rang_Planescape</vt:lpstr>
      <vt:lpstr>SAG</vt:lpstr>
      <vt:lpstr>Score_CHA</vt:lpstr>
      <vt:lpstr>Score_CHAr</vt:lpstr>
      <vt:lpstr>Score_CON</vt:lpstr>
      <vt:lpstr>Score_DEX</vt:lpstr>
      <vt:lpstr>Score_END</vt:lpstr>
      <vt:lpstr>Score_END_bon</vt:lpstr>
      <vt:lpstr>Score_EQU</vt:lpstr>
      <vt:lpstr>Score_ERU</vt:lpstr>
      <vt:lpstr>Score_FOR</vt:lpstr>
      <vt:lpstr>Score_INT</vt:lpstr>
      <vt:lpstr>Score_INTct</vt:lpstr>
      <vt:lpstr>Score_INTtion</vt:lpstr>
      <vt:lpstr>Score_MAG</vt:lpstr>
      <vt:lpstr>Score_PRE</vt:lpstr>
      <vt:lpstr>Score_PUI</vt:lpstr>
      <vt:lpstr>Score_PUI_bon</vt:lpstr>
      <vt:lpstr>Score_RES</vt:lpstr>
      <vt:lpstr>Score_SAG</vt:lpstr>
      <vt:lpstr>Score_VIG</vt:lpstr>
      <vt:lpstr>Score_VOL</vt:lpstr>
      <vt:lpstr>Sigil_factions</vt:lpstr>
      <vt:lpstr>SR</vt:lpstr>
      <vt:lpstr>SR_list</vt:lpstr>
      <vt:lpstr>SR_mage_prêtre_list</vt:lpstr>
      <vt:lpstr>SR_mage_psionique</vt:lpstr>
      <vt:lpstr>SR_magicien</vt:lpstr>
      <vt:lpstr>SR_prêtres</vt:lpstr>
      <vt:lpstr>SR_psioniques</vt:lpstr>
      <vt:lpstr>ST_bon_nains</vt:lpstr>
      <vt:lpstr>ST_Mages</vt:lpstr>
      <vt:lpstr>ST_Pretres</vt:lpstr>
      <vt:lpstr>ST_Psi</vt:lpstr>
      <vt:lpstr>ST_Rien</vt:lpstr>
      <vt:lpstr>ST_Roub</vt:lpstr>
      <vt:lpstr>ST_War</vt:lpstr>
      <vt:lpstr>Syst_Mesure</vt:lpstr>
      <vt:lpstr>Tab_armures</vt:lpstr>
      <vt:lpstr>Tab_comp_ajust_2.5</vt:lpstr>
      <vt:lpstr>Tab_comp_groupe</vt:lpstr>
      <vt:lpstr>Tab_comp_mod_score</vt:lpstr>
      <vt:lpstr>Tab_comp_voleur</vt:lpstr>
      <vt:lpstr>Tab_comp_voleur_dex</vt:lpstr>
      <vt:lpstr>Tab_compétences</vt:lpstr>
      <vt:lpstr>Talent_psi_list</vt:lpstr>
      <vt:lpstr>test_SR</vt:lpstr>
      <vt:lpstr>Types_classes</vt:lpstr>
      <vt:lpstr>Vade_Niveau</vt:lpstr>
      <vt:lpstr>Vade_retro</vt:lpstr>
      <vt:lpstr>Voleur_armure_type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Mononke</dc:creator>
  <cp:lastModifiedBy>Mononke</cp:lastModifiedBy>
  <cp:lastPrinted>2016-04-20T01:40:27Z</cp:lastPrinted>
  <dcterms:created xsi:type="dcterms:W3CDTF">2011-08-15T13:36:12Z</dcterms:created>
  <dcterms:modified xsi:type="dcterms:W3CDTF">2016-04-28T00:19:09Z</dcterms:modified>
</cp:coreProperties>
</file>