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3.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https://d.docs.live.net/853cba57b2a55a1f/Documents/Donjon du Dragon/AD^0D/Fiche perso/Dev/"/>
    </mc:Choice>
  </mc:AlternateContent>
  <xr:revisionPtr revIDLastSave="409" documentId="8_{CFF7C72D-025F-4866-AA6F-23BF2BCBBE3F}" xr6:coauthVersionLast="47" xr6:coauthVersionMax="47" xr10:uidLastSave="{DFB3D35E-5943-4CC0-B9DF-EB9FB7BEBB60}"/>
  <bookViews>
    <workbookView xWindow="-120" yWindow="-120" windowWidth="29040" windowHeight="16440" tabRatio="639" activeTab="1" xr2:uid="{00000000-000D-0000-FFFF-FFFF00000000}"/>
  </bookViews>
  <sheets>
    <sheet name="EXPLICATIONS" sheetId="9" r:id="rId1"/>
    <sheet name="Joueur 1" sheetId="24" r:id="rId2"/>
    <sheet name="Race" sheetId="18" r:id="rId3"/>
    <sheet name="Classe" sheetId="21" r:id="rId4"/>
    <sheet name="Niveau" sheetId="22" r:id="rId5"/>
    <sheet name="Caractéristiques" sheetId="12" r:id="rId6"/>
    <sheet name="Armures-Armes" sheetId="20" r:id="rId7"/>
    <sheet name="Sorts" sheetId="14" r:id="rId8"/>
    <sheet name="Divers" sheetId="23" r:id="rId9"/>
  </sheets>
  <definedNames>
    <definedName name="_xlnm._FilterDatabase" localSheetId="3" hidden="1">Classe!$B$3:$AD$40</definedName>
    <definedName name="CB">#REF!</definedName>
    <definedName name="CHA">'Joueur 1'!$B$21</definedName>
    <definedName name="Classe1">'Joueur 1'!$AF$12</definedName>
    <definedName name="Classe2">'Joueur 1'!$AF$16</definedName>
    <definedName name="Classe3">'Joueur 1'!$AF$20</definedName>
    <definedName name="CM">#REF!</definedName>
    <definedName name="CN">#REF!</definedName>
    <definedName name="Code_Classe">'Joueur 1'!$AO$11</definedName>
    <definedName name="CON">'Joueur 1'!$B$19</definedName>
    <definedName name="DEX">'Joueur 1'!$B$17</definedName>
    <definedName name="FOR">'Joueur 1'!$B$11</definedName>
    <definedName name="INT">'Joueur 1'!$B$13</definedName>
    <definedName name="LB">#REF!</definedName>
    <definedName name="liste_CB">#REF!</definedName>
    <definedName name="liste_CM">#REF!</definedName>
    <definedName name="liste_CN">#REF!</definedName>
    <definedName name="liste_LB">#REF!</definedName>
    <definedName name="liste_LM">#REF!</definedName>
    <definedName name="liste_LN">#REF!</definedName>
    <definedName name="liste_N">#REF!</definedName>
    <definedName name="liste_NB">#REF!</definedName>
    <definedName name="liste_NM">#REF!</definedName>
    <definedName name="LM">#REF!</definedName>
    <definedName name="LN">#REF!</definedName>
    <definedName name="maggo1" localSheetId="0">#REF!</definedName>
    <definedName name="maggo1" localSheetId="1">#REF!</definedName>
    <definedName name="maggo1">#REF!</definedName>
    <definedName name="maggo2" localSheetId="0">#REF!</definedName>
    <definedName name="maggo2" localSheetId="1">#REF!</definedName>
    <definedName name="maggo2">#REF!</definedName>
    <definedName name="N">#REF!</definedName>
    <definedName name="NB">#REF!</definedName>
    <definedName name="NivC1">'Joueur 1'!$AN$14</definedName>
    <definedName name="NivC2">'Joueur 1'!$AN$18</definedName>
    <definedName name="NivC3">'Joueur 1'!$AN$22</definedName>
    <definedName name="NM">#REF!</definedName>
    <definedName name="RACE">'Joueur 1'!$D$6</definedName>
    <definedName name="SAG">'Joueur 1'!$B$15</definedName>
    <definedName name="Spec1">'Joueur 1'!$AL$44</definedName>
    <definedName name="Spec2">'Joueur 1'!$AL$45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62" i="18" l="1"/>
  <c r="S81" i="18" s="1"/>
  <c r="AI52" i="24"/>
  <c r="AI48" i="24"/>
  <c r="AI49" i="24"/>
  <c r="AE48" i="24" a="1"/>
  <c r="AE48" i="24" s="1"/>
  <c r="AE49" i="24" a="1"/>
  <c r="AE49" i="24" s="1"/>
  <c r="D100" i="18"/>
  <c r="E100" i="18"/>
  <c r="F100" i="18"/>
  <c r="G100" i="18"/>
  <c r="H100" i="18"/>
  <c r="I100" i="18"/>
  <c r="J100" i="18"/>
  <c r="K100" i="18"/>
  <c r="L100" i="18"/>
  <c r="M100" i="18"/>
  <c r="N100" i="18"/>
  <c r="O100" i="18"/>
  <c r="P100" i="18"/>
  <c r="Q100" i="18"/>
  <c r="C100" i="18"/>
  <c r="L30" i="24"/>
  <c r="AN28" i="24"/>
  <c r="AO30" i="24"/>
  <c r="AN30" i="24"/>
  <c r="Z145" i="20"/>
  <c r="Z144" i="20"/>
  <c r="Z143" i="20"/>
  <c r="Z150" i="20"/>
  <c r="Z130" i="20"/>
  <c r="Z126" i="20"/>
  <c r="Z115" i="20"/>
  <c r="Z125" i="20"/>
  <c r="Z124" i="20"/>
  <c r="Y150" i="20"/>
  <c r="Y130" i="20"/>
  <c r="Y126" i="20"/>
  <c r="Y125" i="20"/>
  <c r="Y124" i="20"/>
  <c r="Y115" i="20"/>
  <c r="AE51" i="24"/>
  <c r="AE52" i="24"/>
  <c r="AG46" i="24"/>
  <c r="AG47" i="24"/>
  <c r="AG48" i="24"/>
  <c r="AG49" i="24"/>
  <c r="AG45" i="24"/>
  <c r="Y145" i="20"/>
  <c r="Y144" i="20"/>
  <c r="Y143" i="20"/>
  <c r="Z52" i="24"/>
  <c r="Z51" i="24"/>
  <c r="X52" i="24"/>
  <c r="X51" i="24"/>
  <c r="Z46" i="24"/>
  <c r="Z47" i="24"/>
  <c r="Z48" i="24"/>
  <c r="Z49" i="24"/>
  <c r="X46" i="24"/>
  <c r="X47" i="24"/>
  <c r="X48" i="24"/>
  <c r="X49" i="24"/>
  <c r="C123" i="21"/>
  <c r="C65" i="21"/>
  <c r="C66" i="21"/>
  <c r="C67" i="21"/>
  <c r="C68" i="21"/>
  <c r="C69" i="21"/>
  <c r="C70" i="21"/>
  <c r="C71" i="21"/>
  <c r="C72" i="21"/>
  <c r="C73" i="21"/>
  <c r="C74" i="21"/>
  <c r="C75" i="21"/>
  <c r="C76" i="21"/>
  <c r="C77" i="21"/>
  <c r="C78" i="21"/>
  <c r="C79" i="21"/>
  <c r="C80" i="21"/>
  <c r="C81" i="21"/>
  <c r="C82" i="21"/>
  <c r="C83" i="21"/>
  <c r="C84" i="21"/>
  <c r="C85" i="21"/>
  <c r="C86" i="21"/>
  <c r="C87" i="21"/>
  <c r="C88" i="21"/>
  <c r="C89" i="21"/>
  <c r="C90" i="21"/>
  <c r="C91" i="21"/>
  <c r="C92" i="21"/>
  <c r="C93" i="21"/>
  <c r="C94" i="21"/>
  <c r="C95" i="21"/>
  <c r="C96" i="21"/>
  <c r="C97" i="21"/>
  <c r="C98" i="21"/>
  <c r="C99" i="21"/>
  <c r="C100" i="21"/>
  <c r="C101" i="21"/>
  <c r="C102" i="21"/>
  <c r="C103" i="21"/>
  <c r="C104" i="21"/>
  <c r="C105" i="21"/>
  <c r="C106" i="21"/>
  <c r="C107" i="21"/>
  <c r="C108" i="21"/>
  <c r="C109" i="21"/>
  <c r="C110" i="21"/>
  <c r="C111" i="21"/>
  <c r="C112" i="21"/>
  <c r="C113" i="21"/>
  <c r="C114" i="21"/>
  <c r="C115" i="21"/>
  <c r="C116" i="21"/>
  <c r="C117" i="21"/>
  <c r="C118" i="21"/>
  <c r="C119" i="21"/>
  <c r="C120" i="21"/>
  <c r="C121" i="21"/>
  <c r="C64" i="21"/>
  <c r="C164" i="20"/>
  <c r="C165" i="20" s="1"/>
  <c r="C166" i="20" s="1"/>
  <c r="C167" i="20" s="1"/>
  <c r="C168" i="20" s="1"/>
  <c r="C169" i="20" s="1"/>
  <c r="C170" i="20" s="1"/>
  <c r="C171" i="20" s="1"/>
  <c r="C172" i="20" s="1"/>
  <c r="C173" i="20" s="1"/>
  <c r="C174" i="20" s="1"/>
  <c r="C175" i="20" s="1"/>
  <c r="C176" i="20" s="1"/>
  <c r="C177" i="20" s="1"/>
  <c r="C178" i="20" s="1"/>
  <c r="C179" i="20" s="1"/>
  <c r="C180" i="20" s="1"/>
  <c r="C181" i="20" s="1"/>
  <c r="C182" i="20" s="1"/>
  <c r="C183" i="20" s="1"/>
  <c r="C184" i="20" s="1"/>
  <c r="C185" i="20" s="1"/>
  <c r="C186" i="20" s="1"/>
  <c r="C163" i="20"/>
  <c r="C162" i="20"/>
  <c r="C140" i="20"/>
  <c r="C141" i="20" s="1"/>
  <c r="C142" i="20" s="1"/>
  <c r="C143" i="20" s="1"/>
  <c r="C144" i="20" s="1"/>
  <c r="C145" i="20" s="1"/>
  <c r="C146" i="20" s="1"/>
  <c r="C147" i="20" s="1"/>
  <c r="C148" i="20" s="1"/>
  <c r="C149" i="20" s="1"/>
  <c r="C150" i="20" s="1"/>
  <c r="C151" i="20" s="1"/>
  <c r="C152" i="20" s="1"/>
  <c r="C153" i="20" s="1"/>
  <c r="C154" i="20" s="1"/>
  <c r="C155" i="20" s="1"/>
  <c r="C156" i="20" s="1"/>
  <c r="C157" i="20" s="1"/>
  <c r="C158" i="20" s="1"/>
  <c r="C159" i="20" s="1"/>
  <c r="C160" i="20" s="1"/>
  <c r="C121" i="20"/>
  <c r="C122" i="20" s="1"/>
  <c r="C123" i="20" s="1"/>
  <c r="C124" i="20" s="1"/>
  <c r="C125" i="20" s="1"/>
  <c r="C126" i="20" s="1"/>
  <c r="C127" i="20" s="1"/>
  <c r="C128" i="20" s="1"/>
  <c r="C129" i="20" s="1"/>
  <c r="C130" i="20" s="1"/>
  <c r="C131" i="20" s="1"/>
  <c r="C132" i="20" s="1"/>
  <c r="C133" i="20" s="1"/>
  <c r="C134" i="20" s="1"/>
  <c r="C135" i="20" s="1"/>
  <c r="C136" i="20" s="1"/>
  <c r="C137" i="20" s="1"/>
  <c r="C138" i="20" s="1"/>
  <c r="C139" i="20" s="1"/>
  <c r="C104" i="20"/>
  <c r="C105" i="20"/>
  <c r="C106" i="20"/>
  <c r="C107" i="20"/>
  <c r="C108" i="20" s="1"/>
  <c r="C109" i="20" s="1"/>
  <c r="C110" i="20" s="1"/>
  <c r="C111" i="20" s="1"/>
  <c r="C112" i="20" s="1"/>
  <c r="C113" i="20" s="1"/>
  <c r="C114" i="20" s="1"/>
  <c r="C115" i="20" s="1"/>
  <c r="C116" i="20" s="1"/>
  <c r="C117" i="20" s="1"/>
  <c r="C118" i="20" s="1"/>
  <c r="C119" i="20" s="1"/>
  <c r="C120" i="20" s="1"/>
  <c r="C103" i="20"/>
  <c r="Q142" i="20"/>
  <c r="R52" i="24"/>
  <c r="R51" i="24"/>
  <c r="R47" i="24"/>
  <c r="R48" i="24"/>
  <c r="R49" i="24"/>
  <c r="AB22" i="24"/>
  <c r="C196" i="22"/>
  <c r="E196" i="22"/>
  <c r="G196" i="22"/>
  <c r="H196" i="22"/>
  <c r="J196" i="22"/>
  <c r="N196" i="22"/>
  <c r="O196" i="22"/>
  <c r="P196" i="22"/>
  <c r="C235" i="22"/>
  <c r="E235" i="22"/>
  <c r="G235" i="22"/>
  <c r="H235" i="22"/>
  <c r="J235" i="22"/>
  <c r="N235" i="22"/>
  <c r="O235" i="22"/>
  <c r="P235" i="22"/>
  <c r="C274" i="22"/>
  <c r="E274" i="22"/>
  <c r="G274" i="22"/>
  <c r="H274" i="22"/>
  <c r="J274" i="22"/>
  <c r="N274" i="22"/>
  <c r="O274" i="22"/>
  <c r="P274" i="22"/>
  <c r="AL51" i="24"/>
  <c r="Z18" i="21"/>
  <c r="N313" i="22"/>
  <c r="O313" i="22"/>
  <c r="P313" i="22"/>
  <c r="N352" i="22"/>
  <c r="O352" i="22"/>
  <c r="P352" i="22"/>
  <c r="J352" i="22"/>
  <c r="H352" i="22"/>
  <c r="E352" i="22"/>
  <c r="C352" i="22"/>
  <c r="J313" i="22"/>
  <c r="H313" i="22"/>
  <c r="E313" i="22"/>
  <c r="C313" i="22"/>
  <c r="Q19" i="24"/>
  <c r="M19" i="24"/>
  <c r="U17" i="24"/>
  <c r="D39" i="24" s="1"/>
  <c r="AI51" i="24" s="1"/>
  <c r="Q17" i="24"/>
  <c r="M17" i="24"/>
  <c r="T52" i="24" s="1"/>
  <c r="I17" i="24"/>
  <c r="I15" i="24"/>
  <c r="U13" i="24"/>
  <c r="Q13" i="24"/>
  <c r="M13" i="24"/>
  <c r="I13" i="24"/>
  <c r="EI41" i="24"/>
  <c r="EI3" i="24" s="1"/>
  <c r="DS41" i="24"/>
  <c r="DG41" i="24"/>
  <c r="GK37" i="24"/>
  <c r="GK3" i="24" s="1"/>
  <c r="FU37" i="24"/>
  <c r="FI37" i="24"/>
  <c r="FI3" i="24" s="1"/>
  <c r="KO35" i="24"/>
  <c r="KO3" i="24" s="1"/>
  <c r="JY35" i="24"/>
  <c r="IM35" i="24"/>
  <c r="IM3" i="24" s="1"/>
  <c r="HW35" i="24"/>
  <c r="HK35" i="24"/>
  <c r="L28" i="24"/>
  <c r="AO11" i="24"/>
  <c r="AF20" i="24" s="1"/>
  <c r="AH22" i="24" s="1"/>
  <c r="Q21" i="24"/>
  <c r="M21" i="24"/>
  <c r="I21" i="24"/>
  <c r="N16" i="24"/>
  <c r="M16" i="24"/>
  <c r="N15" i="24"/>
  <c r="CG9" i="24"/>
  <c r="BQ9" i="24"/>
  <c r="BE9" i="24"/>
  <c r="BD6" i="24"/>
  <c r="JY3" i="24"/>
  <c r="HW3" i="24"/>
  <c r="HK3" i="24"/>
  <c r="FU3" i="24"/>
  <c r="DS3" i="24"/>
  <c r="DG3" i="24"/>
  <c r="AB12" i="24" l="1"/>
  <c r="S76" i="18"/>
  <c r="S80" i="18"/>
  <c r="S90" i="18"/>
  <c r="S82" i="18"/>
  <c r="S83" i="18"/>
  <c r="S84" i="18"/>
  <c r="S85" i="18"/>
  <c r="S63" i="18"/>
  <c r="S64" i="18"/>
  <c r="S68" i="18"/>
  <c r="S70" i="18"/>
  <c r="S73" i="18"/>
  <c r="S71" i="18"/>
  <c r="S74" i="18"/>
  <c r="S69" i="18"/>
  <c r="S77" i="18"/>
  <c r="S78" i="18"/>
  <c r="S79" i="18"/>
  <c r="S75" i="18"/>
  <c r="S65" i="18"/>
  <c r="S87" i="18"/>
  <c r="S66" i="18"/>
  <c r="S88" i="18"/>
  <c r="S67" i="18"/>
  <c r="S89" i="18"/>
  <c r="S72" i="18"/>
  <c r="S86" i="18"/>
  <c r="L26" i="24"/>
  <c r="T51" i="24"/>
  <c r="Z45" i="24"/>
  <c r="S49" i="24"/>
  <c r="R45" i="24"/>
  <c r="S45" i="24" s="1"/>
  <c r="X45" i="24"/>
  <c r="S46" i="24"/>
  <c r="S51" i="24"/>
  <c r="S48" i="24"/>
  <c r="S52" i="24"/>
  <c r="S47" i="24"/>
  <c r="I44" i="24"/>
  <c r="J44" i="24"/>
  <c r="C124" i="21"/>
  <c r="C125" i="21" s="1"/>
  <c r="C126" i="21" s="1"/>
  <c r="C127" i="21" s="1"/>
  <c r="C128" i="21" s="1"/>
  <c r="C129" i="21" s="1"/>
  <c r="C130" i="21" s="1"/>
  <c r="C131" i="21" s="1"/>
  <c r="C132" i="21" s="1"/>
  <c r="C133" i="21" s="1"/>
  <c r="C134" i="21" s="1"/>
  <c r="C135" i="21" s="1"/>
  <c r="C136" i="21" s="1"/>
  <c r="C137" i="21" s="1"/>
  <c r="C138" i="21" s="1"/>
  <c r="C139" i="21" s="1"/>
  <c r="C140" i="21" s="1"/>
  <c r="C141" i="21" s="1"/>
  <c r="C142" i="21" s="1"/>
  <c r="C143" i="21" s="1"/>
  <c r="C144" i="21" s="1"/>
  <c r="C145" i="21" s="1"/>
  <c r="C146" i="21" s="1"/>
  <c r="AB17" i="24" a="1"/>
  <c r="AB17" i="24" s="1"/>
  <c r="C45" i="24" a="1"/>
  <c r="C45" i="24" s="1"/>
  <c r="E49" i="24"/>
  <c r="BB6" i="24"/>
  <c r="AV6" i="24"/>
  <c r="AV4" i="24"/>
  <c r="BB4" i="24"/>
  <c r="AF12" i="24"/>
  <c r="AK18" i="24"/>
  <c r="AK22" i="24" s="1"/>
  <c r="AH23" i="24" s="1"/>
  <c r="E50" i="24"/>
  <c r="E52" i="24"/>
  <c r="AL12" i="24" a="1"/>
  <c r="AL12" i="24" s="1"/>
  <c r="AH21" i="24"/>
  <c r="AF16" i="24"/>
  <c r="AN32" i="24"/>
  <c r="AE47" i="24" l="1" a="1"/>
  <c r="AE47" i="24" s="1"/>
  <c r="AI47" i="24" s="1"/>
  <c r="AE46" i="24" a="1"/>
  <c r="AE46" i="24" s="1"/>
  <c r="AI46" i="24" s="1"/>
  <c r="M39" i="24"/>
  <c r="I39" i="24"/>
  <c r="AE45" i="24" a="1"/>
  <c r="AE45" i="24" s="1"/>
  <c r="AI45" i="24" s="1"/>
  <c r="AK27" i="24" a="1"/>
  <c r="AK27" i="24" s="1"/>
  <c r="V51" i="24"/>
  <c r="AK31" i="24" a="1"/>
  <c r="AK31" i="24" s="1"/>
  <c r="AK33" i="24" a="1"/>
  <c r="AK33" i="24" s="1"/>
  <c r="AK29" i="24" a="1"/>
  <c r="AK29" i="24" s="1"/>
  <c r="AB15" i="24" a="1"/>
  <c r="AB15" i="24" s="1"/>
  <c r="AB16" i="24" a="1"/>
  <c r="AB16" i="24" s="1"/>
  <c r="U16" i="24"/>
  <c r="AU5" i="24" s="1" a="1"/>
  <c r="AU5" i="24" s="1"/>
  <c r="KX37" i="24"/>
  <c r="KW37" i="24"/>
  <c r="KV37" i="24"/>
  <c r="KS37" i="24"/>
  <c r="KQ37" i="24"/>
  <c r="KB37" i="24"/>
  <c r="KX5" i="24"/>
  <c r="KX21" i="24"/>
  <c r="KW17" i="24"/>
  <c r="KV13" i="24"/>
  <c r="KS9" i="24"/>
  <c r="KQ5" i="24"/>
  <c r="KQ21" i="24"/>
  <c r="KB17" i="24"/>
  <c r="IV45" i="24"/>
  <c r="IU37" i="24"/>
  <c r="IU54" i="24"/>
  <c r="IT45" i="24"/>
  <c r="IQ37" i="24"/>
  <c r="IQ54" i="24"/>
  <c r="IO45" i="24"/>
  <c r="HZ37" i="24"/>
  <c r="HZ54" i="24"/>
  <c r="IV13" i="24"/>
  <c r="IV29" i="24"/>
  <c r="IU15" i="24"/>
  <c r="IU31" i="24"/>
  <c r="IT17" i="24"/>
  <c r="IT33" i="24"/>
  <c r="IQ19" i="24"/>
  <c r="IO5" i="24"/>
  <c r="IO21" i="24"/>
  <c r="HZ8" i="24"/>
  <c r="HZ24" i="24"/>
  <c r="GT44" i="24"/>
  <c r="GT61" i="24"/>
  <c r="GS46" i="24"/>
  <c r="GS63" i="24"/>
  <c r="GR48" i="24"/>
  <c r="GR65" i="24"/>
  <c r="GO50" i="24"/>
  <c r="GM53" i="24"/>
  <c r="FX55" i="24"/>
  <c r="IO50" i="24"/>
  <c r="GS51" i="24"/>
  <c r="KX38" i="24"/>
  <c r="KW38" i="24"/>
  <c r="KV38" i="24"/>
  <c r="KS38" i="24"/>
  <c r="KQ38" i="24"/>
  <c r="KB38" i="24"/>
  <c r="KX6" i="24"/>
  <c r="KX22" i="24"/>
  <c r="KW18" i="24"/>
  <c r="KV14" i="24"/>
  <c r="KS10" i="24"/>
  <c r="KQ6" i="24"/>
  <c r="KQ22" i="24"/>
  <c r="KB18" i="24"/>
  <c r="IV46" i="24"/>
  <c r="IU38" i="24"/>
  <c r="IU55" i="24"/>
  <c r="IT46" i="24"/>
  <c r="IQ38" i="24"/>
  <c r="IQ55" i="24"/>
  <c r="IO46" i="24"/>
  <c r="HZ38" i="24"/>
  <c r="HZ55" i="24"/>
  <c r="IV14" i="24"/>
  <c r="IV30" i="24"/>
  <c r="IU16" i="24"/>
  <c r="IU32" i="24"/>
  <c r="IT18" i="24"/>
  <c r="IT4" i="24"/>
  <c r="IQ20" i="24"/>
  <c r="IO6" i="24"/>
  <c r="IO22" i="24"/>
  <c r="HZ9" i="24"/>
  <c r="HZ25" i="24"/>
  <c r="GT45" i="24"/>
  <c r="GT62" i="24"/>
  <c r="GS47" i="24"/>
  <c r="GS64" i="24"/>
  <c r="GR49" i="24"/>
  <c r="GR66" i="24"/>
  <c r="GO51" i="24"/>
  <c r="GO68" i="24"/>
  <c r="GM54" i="24"/>
  <c r="FX39" i="24"/>
  <c r="FX56" i="24"/>
  <c r="GT66" i="24"/>
  <c r="FX43" i="24"/>
  <c r="KX39" i="24"/>
  <c r="KW39" i="24"/>
  <c r="KV39" i="24"/>
  <c r="KS39" i="24"/>
  <c r="KQ39" i="24"/>
  <c r="KB39" i="24"/>
  <c r="KX7" i="24"/>
  <c r="KX23" i="24"/>
  <c r="KW19" i="24"/>
  <c r="KV15" i="24"/>
  <c r="KS11" i="24"/>
  <c r="KQ7" i="24"/>
  <c r="KQ23" i="24"/>
  <c r="KB19" i="24"/>
  <c r="IV47" i="24"/>
  <c r="IU39" i="24"/>
  <c r="IU56" i="24"/>
  <c r="IT47" i="24"/>
  <c r="IQ39" i="24"/>
  <c r="IQ56" i="24"/>
  <c r="IO47" i="24"/>
  <c r="HZ39" i="24"/>
  <c r="HZ56" i="24"/>
  <c r="IV15" i="24"/>
  <c r="IV31" i="24"/>
  <c r="IU17" i="24"/>
  <c r="IU33" i="24"/>
  <c r="IT19" i="24"/>
  <c r="IQ5" i="24"/>
  <c r="IQ21" i="24"/>
  <c r="IO7" i="24"/>
  <c r="IO23" i="24"/>
  <c r="HZ10" i="24"/>
  <c r="HZ26" i="24"/>
  <c r="GT46" i="24"/>
  <c r="GT63" i="24"/>
  <c r="GS48" i="24"/>
  <c r="GS65" i="24"/>
  <c r="GR50" i="24"/>
  <c r="GR67" i="24"/>
  <c r="GO53" i="24"/>
  <c r="GO38" i="24"/>
  <c r="GM55" i="24"/>
  <c r="FX40" i="24"/>
  <c r="FX57" i="24"/>
  <c r="IQ58" i="24"/>
  <c r="IQ23" i="24"/>
  <c r="HZ28" i="24"/>
  <c r="GS50" i="24"/>
  <c r="GR53" i="24"/>
  <c r="GM40" i="24"/>
  <c r="FX59" i="24"/>
  <c r="IQ59" i="24"/>
  <c r="IV4" i="24"/>
  <c r="IT22" i="24"/>
  <c r="IQ24" i="24"/>
  <c r="HZ29" i="24"/>
  <c r="GS68" i="24"/>
  <c r="GM41" i="24"/>
  <c r="KX40" i="24"/>
  <c r="KW40" i="24"/>
  <c r="KV40" i="24"/>
  <c r="KS40" i="24"/>
  <c r="KQ40" i="24"/>
  <c r="KB40" i="24"/>
  <c r="KX8" i="24"/>
  <c r="KX4" i="24"/>
  <c r="KW20" i="24"/>
  <c r="KV16" i="24"/>
  <c r="KS12" i="24"/>
  <c r="KQ8" i="24"/>
  <c r="KQ4" i="24"/>
  <c r="KB20" i="24"/>
  <c r="IV48" i="24"/>
  <c r="IU40" i="24"/>
  <c r="IU57" i="24"/>
  <c r="IT48" i="24"/>
  <c r="IQ40" i="24"/>
  <c r="IQ57" i="24"/>
  <c r="IO48" i="24"/>
  <c r="HZ40" i="24"/>
  <c r="HZ57" i="24"/>
  <c r="IV16" i="24"/>
  <c r="IV32" i="24"/>
  <c r="IU18" i="24"/>
  <c r="IU4" i="24"/>
  <c r="IT20" i="24"/>
  <c r="IQ6" i="24"/>
  <c r="IQ22" i="24"/>
  <c r="IO8" i="24"/>
  <c r="IO24" i="24"/>
  <c r="HZ11" i="24"/>
  <c r="HZ27" i="24"/>
  <c r="GT47" i="24"/>
  <c r="GT64" i="24"/>
  <c r="GS49" i="24"/>
  <c r="GS66" i="24"/>
  <c r="GR51" i="24"/>
  <c r="GR68" i="24"/>
  <c r="GO54" i="24"/>
  <c r="GM39" i="24"/>
  <c r="GM56" i="24"/>
  <c r="FX41" i="24"/>
  <c r="FX58" i="24"/>
  <c r="KQ41" i="24"/>
  <c r="KX9" i="24"/>
  <c r="KW21" i="24"/>
  <c r="KV17" i="24"/>
  <c r="KS13" i="24"/>
  <c r="KQ9" i="24"/>
  <c r="KB21" i="24"/>
  <c r="IV49" i="24"/>
  <c r="IU41" i="24"/>
  <c r="IU58" i="24"/>
  <c r="IT49" i="24"/>
  <c r="IQ41" i="24"/>
  <c r="IO49" i="24"/>
  <c r="HZ41" i="24"/>
  <c r="HZ58" i="24"/>
  <c r="IV17" i="24"/>
  <c r="IU19" i="24"/>
  <c r="IT5" i="24"/>
  <c r="IT21" i="24"/>
  <c r="IQ7" i="24"/>
  <c r="IO9" i="24"/>
  <c r="IO25" i="24"/>
  <c r="HZ12" i="24"/>
  <c r="GT48" i="24"/>
  <c r="GT65" i="24"/>
  <c r="GS67" i="24"/>
  <c r="GR38" i="24"/>
  <c r="GO55" i="24"/>
  <c r="GM57" i="24"/>
  <c r="FX42" i="24"/>
  <c r="IT50" i="24"/>
  <c r="HZ59" i="24"/>
  <c r="IV18" i="24"/>
  <c r="IT6" i="24"/>
  <c r="IQ8" i="24"/>
  <c r="IO10" i="24"/>
  <c r="GT49" i="24"/>
  <c r="GR54" i="24"/>
  <c r="GO56" i="24"/>
  <c r="GM58" i="24"/>
  <c r="KX41" i="24"/>
  <c r="KW41" i="24"/>
  <c r="KV41" i="24"/>
  <c r="KS41" i="24"/>
  <c r="KB41" i="24"/>
  <c r="KW5" i="24"/>
  <c r="KB5" i="24"/>
  <c r="IV33" i="24"/>
  <c r="KX42" i="24"/>
  <c r="KW42" i="24"/>
  <c r="KV42" i="24"/>
  <c r="KS42" i="24"/>
  <c r="KQ42" i="24"/>
  <c r="KB42" i="24"/>
  <c r="KX10" i="24"/>
  <c r="KW6" i="24"/>
  <c r="KW22" i="24"/>
  <c r="KV18" i="24"/>
  <c r="KS14" i="24"/>
  <c r="KQ10" i="24"/>
  <c r="KB6" i="24"/>
  <c r="KB22" i="24"/>
  <c r="IV50" i="24"/>
  <c r="IU42" i="24"/>
  <c r="IU59" i="24"/>
  <c r="IQ42" i="24"/>
  <c r="HZ42" i="24"/>
  <c r="IU20" i="24"/>
  <c r="IO26" i="24"/>
  <c r="KX43" i="24"/>
  <c r="KW43" i="24"/>
  <c r="KV43" i="24"/>
  <c r="KS43" i="24"/>
  <c r="KQ43" i="24"/>
  <c r="KB43" i="24"/>
  <c r="KX11" i="24"/>
  <c r="KW7" i="24"/>
  <c r="KW23" i="24"/>
  <c r="KV19" i="24"/>
  <c r="KS15" i="24"/>
  <c r="KQ11" i="24"/>
  <c r="KB7" i="24"/>
  <c r="KB23" i="24"/>
  <c r="IV51" i="24"/>
  <c r="IU43" i="24"/>
  <c r="IU60" i="24"/>
  <c r="IT51" i="24"/>
  <c r="IQ43" i="24"/>
  <c r="IQ60" i="24"/>
  <c r="IO51" i="24"/>
  <c r="HZ43" i="24"/>
  <c r="HZ60" i="24"/>
  <c r="IV19" i="24"/>
  <c r="IU5" i="24"/>
  <c r="IU21" i="24"/>
  <c r="IT7" i="24"/>
  <c r="IT23" i="24"/>
  <c r="IQ9" i="24"/>
  <c r="IQ25" i="24"/>
  <c r="IO11" i="24"/>
  <c r="IO27" i="24"/>
  <c r="HZ14" i="24"/>
  <c r="HZ30" i="24"/>
  <c r="GT50" i="24"/>
  <c r="GT67" i="24"/>
  <c r="GS53" i="24"/>
  <c r="GS38" i="24"/>
  <c r="GR55" i="24"/>
  <c r="GO40" i="24"/>
  <c r="GO57" i="24"/>
  <c r="GM42" i="24"/>
  <c r="GM59" i="24"/>
  <c r="FX44" i="24"/>
  <c r="FX61" i="24"/>
  <c r="KX44" i="24"/>
  <c r="KW44" i="24"/>
  <c r="KV44" i="24"/>
  <c r="KS44" i="24"/>
  <c r="KQ44" i="24"/>
  <c r="KB44" i="24"/>
  <c r="KX12" i="24"/>
  <c r="KW8" i="24"/>
  <c r="KW4" i="24"/>
  <c r="KV20" i="24"/>
  <c r="KS16" i="24"/>
  <c r="KQ12" i="24"/>
  <c r="KB8" i="24"/>
  <c r="KB4" i="24"/>
  <c r="IV53" i="24"/>
  <c r="IU44" i="24"/>
  <c r="IU36" i="24"/>
  <c r="IT53" i="24"/>
  <c r="IQ44" i="24"/>
  <c r="IQ36" i="24"/>
  <c r="IO53" i="24"/>
  <c r="HZ44" i="24"/>
  <c r="HZ36" i="24"/>
  <c r="IV20" i="24"/>
  <c r="IU6" i="24"/>
  <c r="IU22" i="24"/>
  <c r="IT8" i="24"/>
  <c r="IT24" i="24"/>
  <c r="IQ10" i="24"/>
  <c r="IQ26" i="24"/>
  <c r="IO12" i="24"/>
  <c r="IO28" i="24"/>
  <c r="HZ15" i="24"/>
  <c r="HZ31" i="24"/>
  <c r="GT51" i="24"/>
  <c r="GT68" i="24"/>
  <c r="GS54" i="24"/>
  <c r="GR39" i="24"/>
  <c r="GR56" i="24"/>
  <c r="GO41" i="24"/>
  <c r="GO58" i="24"/>
  <c r="GM43" i="24"/>
  <c r="GM60" i="24"/>
  <c r="FX45" i="24"/>
  <c r="FX62" i="24"/>
  <c r="IT25" i="24"/>
  <c r="IO29" i="24"/>
  <c r="HZ32" i="24"/>
  <c r="GT38" i="24"/>
  <c r="GS55" i="24"/>
  <c r="GR57" i="24"/>
  <c r="GO42" i="24"/>
  <c r="GO59" i="24"/>
  <c r="GM61" i="24"/>
  <c r="FX46" i="24"/>
  <c r="IT13" i="24"/>
  <c r="KX45" i="24"/>
  <c r="KW45" i="24"/>
  <c r="KV45" i="24"/>
  <c r="KS45" i="24"/>
  <c r="KQ45" i="24"/>
  <c r="KB45" i="24"/>
  <c r="KX13" i="24"/>
  <c r="KW9" i="24"/>
  <c r="KV5" i="24"/>
  <c r="KV21" i="24"/>
  <c r="KS17" i="24"/>
  <c r="KQ13" i="24"/>
  <c r="KB9" i="24"/>
  <c r="IV37" i="24"/>
  <c r="IV54" i="24"/>
  <c r="IU45" i="24"/>
  <c r="IT37" i="24"/>
  <c r="IT54" i="24"/>
  <c r="IQ45" i="24"/>
  <c r="IO37" i="24"/>
  <c r="IO54" i="24"/>
  <c r="HZ45" i="24"/>
  <c r="IV5" i="24"/>
  <c r="IV21" i="24"/>
  <c r="IU7" i="24"/>
  <c r="IU23" i="24"/>
  <c r="IT9" i="24"/>
  <c r="IQ11" i="24"/>
  <c r="IQ27" i="24"/>
  <c r="IO13" i="24"/>
  <c r="HZ16" i="24"/>
  <c r="GT53" i="24"/>
  <c r="GR40" i="24"/>
  <c r="GM44" i="24"/>
  <c r="FX63" i="24"/>
  <c r="KX46" i="24"/>
  <c r="KW46" i="24"/>
  <c r="KV46" i="24"/>
  <c r="KS46" i="24"/>
  <c r="KQ46" i="24"/>
  <c r="KB46" i="24"/>
  <c r="KX14" i="24"/>
  <c r="KW10" i="24"/>
  <c r="KV6" i="24"/>
  <c r="KV22" i="24"/>
  <c r="KS18" i="24"/>
  <c r="KQ14" i="24"/>
  <c r="KB10" i="24"/>
  <c r="IV38" i="24"/>
  <c r="IV55" i="24"/>
  <c r="IU46" i="24"/>
  <c r="IT38" i="24"/>
  <c r="IT55" i="24"/>
  <c r="IQ46" i="24"/>
  <c r="IO38" i="24"/>
  <c r="IO55" i="24"/>
  <c r="HZ46" i="24"/>
  <c r="IV6" i="24"/>
  <c r="IV22" i="24"/>
  <c r="IU8" i="24"/>
  <c r="IU24" i="24"/>
  <c r="IT10" i="24"/>
  <c r="IT26" i="24"/>
  <c r="IQ12" i="24"/>
  <c r="IQ28" i="24"/>
  <c r="IO14" i="24"/>
  <c r="IO30" i="24"/>
  <c r="HZ17" i="24"/>
  <c r="HZ33" i="24"/>
  <c r="GT54" i="24"/>
  <c r="GS39" i="24"/>
  <c r="GS56" i="24"/>
  <c r="GR41" i="24"/>
  <c r="GR58" i="24"/>
  <c r="GO43" i="24"/>
  <c r="GO60" i="24"/>
  <c r="GM45" i="24"/>
  <c r="GM62" i="24"/>
  <c r="FX47" i="24"/>
  <c r="FX64" i="24"/>
  <c r="IO15" i="24"/>
  <c r="HZ4" i="24"/>
  <c r="GS40" i="24"/>
  <c r="GR42" i="24"/>
  <c r="GO44" i="24"/>
  <c r="GM46" i="24"/>
  <c r="GM63" i="24"/>
  <c r="FX65" i="24"/>
  <c r="KX48" i="24"/>
  <c r="KS48" i="24"/>
  <c r="KB48" i="24"/>
  <c r="KW12" i="24"/>
  <c r="KV4" i="24"/>
  <c r="KX47" i="24"/>
  <c r="KW47" i="24"/>
  <c r="KV47" i="24"/>
  <c r="KS47" i="24"/>
  <c r="KQ47" i="24"/>
  <c r="KB47" i="24"/>
  <c r="KX15" i="24"/>
  <c r="KW11" i="24"/>
  <c r="KV7" i="24"/>
  <c r="KV23" i="24"/>
  <c r="KS19" i="24"/>
  <c r="KQ15" i="24"/>
  <c r="KB11" i="24"/>
  <c r="IV39" i="24"/>
  <c r="IV56" i="24"/>
  <c r="IU47" i="24"/>
  <c r="IT39" i="24"/>
  <c r="IT56" i="24"/>
  <c r="IQ47" i="24"/>
  <c r="IO39" i="24"/>
  <c r="IO56" i="24"/>
  <c r="HZ47" i="24"/>
  <c r="IV7" i="24"/>
  <c r="IV23" i="24"/>
  <c r="IU9" i="24"/>
  <c r="IU25" i="24"/>
  <c r="IT11" i="24"/>
  <c r="IT27" i="24"/>
  <c r="IQ13" i="24"/>
  <c r="IQ29" i="24"/>
  <c r="IO31" i="24"/>
  <c r="HZ18" i="24"/>
  <c r="GT55" i="24"/>
  <c r="GS57" i="24"/>
  <c r="GR59" i="24"/>
  <c r="GO61" i="24"/>
  <c r="FX48" i="24"/>
  <c r="KV48" i="24"/>
  <c r="KQ48" i="24"/>
  <c r="KX16" i="24"/>
  <c r="KV8" i="24"/>
  <c r="KS20" i="24"/>
  <c r="KQ16" i="24"/>
  <c r="KB12" i="24"/>
  <c r="IV40" i="24"/>
  <c r="IV57" i="24"/>
  <c r="IU48" i="24"/>
  <c r="IT40" i="24"/>
  <c r="IQ48" i="24"/>
  <c r="IO40" i="24"/>
  <c r="IO57" i="24"/>
  <c r="HZ48" i="24"/>
  <c r="IV8" i="24"/>
  <c r="IV24" i="24"/>
  <c r="IU10" i="24"/>
  <c r="IU26" i="24"/>
  <c r="IT12" i="24"/>
  <c r="IT28" i="24"/>
  <c r="IQ14" i="24"/>
  <c r="IQ30" i="24"/>
  <c r="IO16" i="24"/>
  <c r="IO32" i="24"/>
  <c r="HZ19" i="24"/>
  <c r="GT39" i="24"/>
  <c r="GT56" i="24"/>
  <c r="GS58" i="24"/>
  <c r="GR43" i="24"/>
  <c r="GR60" i="24"/>
  <c r="GO45" i="24"/>
  <c r="GO62" i="24"/>
  <c r="GM47" i="24"/>
  <c r="GM64" i="24"/>
  <c r="FX49" i="24"/>
  <c r="FX66" i="24"/>
  <c r="IU11" i="24"/>
  <c r="IQ15" i="24"/>
  <c r="IQ31" i="24"/>
  <c r="IO4" i="24"/>
  <c r="KW48" i="24"/>
  <c r="IT57" i="24"/>
  <c r="GS41" i="24"/>
  <c r="KX49" i="24"/>
  <c r="KW49" i="24"/>
  <c r="KV49" i="24"/>
  <c r="KS49" i="24"/>
  <c r="KQ49" i="24"/>
  <c r="KB49" i="24"/>
  <c r="KX17" i="24"/>
  <c r="KW13" i="24"/>
  <c r="KV9" i="24"/>
  <c r="KS5" i="24"/>
  <c r="KS21" i="24"/>
  <c r="KQ17" i="24"/>
  <c r="KB13" i="24"/>
  <c r="IV41" i="24"/>
  <c r="IV58" i="24"/>
  <c r="IU49" i="24"/>
  <c r="IT41" i="24"/>
  <c r="IT58" i="24"/>
  <c r="IQ49" i="24"/>
  <c r="IO41" i="24"/>
  <c r="IO58" i="24"/>
  <c r="HZ49" i="24"/>
  <c r="IV9" i="24"/>
  <c r="IV25" i="24"/>
  <c r="IU27" i="24"/>
  <c r="IT29" i="24"/>
  <c r="IO17" i="24"/>
  <c r="KX50" i="24"/>
  <c r="KX36" i="24"/>
  <c r="KW36" i="24"/>
  <c r="KV36" i="24"/>
  <c r="KS36" i="24"/>
  <c r="KQ36" i="24"/>
  <c r="KB36" i="24"/>
  <c r="KX20" i="24"/>
  <c r="KW16" i="24"/>
  <c r="KV12" i="24"/>
  <c r="KS8" i="24"/>
  <c r="KS4" i="24"/>
  <c r="KQ20" i="24"/>
  <c r="KB16" i="24"/>
  <c r="IV44" i="24"/>
  <c r="IV36" i="24"/>
  <c r="IU53" i="24"/>
  <c r="IT44" i="24"/>
  <c r="IT36" i="24"/>
  <c r="IQ53" i="24"/>
  <c r="IO44" i="24"/>
  <c r="IO36" i="24"/>
  <c r="HZ53" i="24"/>
  <c r="IV12" i="24"/>
  <c r="IV28" i="24"/>
  <c r="IU14" i="24"/>
  <c r="IU30" i="24"/>
  <c r="IT16" i="24"/>
  <c r="IT32" i="24"/>
  <c r="IQ18" i="24"/>
  <c r="IQ4" i="24"/>
  <c r="IO20" i="24"/>
  <c r="HZ7" i="24"/>
  <c r="HZ23" i="24"/>
  <c r="GT43" i="24"/>
  <c r="GT60" i="24"/>
  <c r="GS45" i="24"/>
  <c r="GS62" i="24"/>
  <c r="GR47" i="24"/>
  <c r="GR64" i="24"/>
  <c r="GO49" i="24"/>
  <c r="GO66" i="24"/>
  <c r="GM51" i="24"/>
  <c r="GM68" i="24"/>
  <c r="FX54" i="24"/>
  <c r="GO67" i="24"/>
  <c r="GM38" i="24"/>
  <c r="HZ13" i="24"/>
  <c r="GO39" i="24"/>
  <c r="FX60" i="24"/>
  <c r="KX51" i="24"/>
  <c r="KV11" i="24"/>
  <c r="IT43" i="24"/>
  <c r="IU13" i="24"/>
  <c r="HZ21" i="24"/>
  <c r="GR46" i="24"/>
  <c r="FX50" i="24"/>
  <c r="KW50" i="24"/>
  <c r="KS6" i="24"/>
  <c r="IT59" i="24"/>
  <c r="IU28" i="24"/>
  <c r="HZ22" i="24"/>
  <c r="GR61" i="24"/>
  <c r="FX51" i="24"/>
  <c r="KV50" i="24"/>
  <c r="IQ50" i="24"/>
  <c r="GT41" i="24"/>
  <c r="FX67" i="24"/>
  <c r="KW51" i="24"/>
  <c r="KS7" i="24"/>
  <c r="IT60" i="24"/>
  <c r="IU29" i="24"/>
  <c r="GT40" i="24"/>
  <c r="GR62" i="24"/>
  <c r="FX53" i="24"/>
  <c r="KS22" i="24"/>
  <c r="IT14" i="24"/>
  <c r="GR63" i="24"/>
  <c r="KS50" i="24"/>
  <c r="KQ18" i="24"/>
  <c r="IO42" i="24"/>
  <c r="IT30" i="24"/>
  <c r="GT57" i="24"/>
  <c r="GO47" i="24"/>
  <c r="KS51" i="24"/>
  <c r="KQ19" i="24"/>
  <c r="IO43" i="24"/>
  <c r="IT31" i="24"/>
  <c r="GT58" i="24"/>
  <c r="GO48" i="24"/>
  <c r="KQ50" i="24"/>
  <c r="KB14" i="24"/>
  <c r="IO59" i="24"/>
  <c r="IQ16" i="24"/>
  <c r="GT59" i="24"/>
  <c r="GO63" i="24"/>
  <c r="GM49" i="24"/>
  <c r="IV11" i="24"/>
  <c r="GM50" i="24"/>
  <c r="IV26" i="24"/>
  <c r="GS61" i="24"/>
  <c r="IV27" i="24"/>
  <c r="GR44" i="24"/>
  <c r="KV51" i="24"/>
  <c r="IT15" i="24"/>
  <c r="FX68" i="24"/>
  <c r="KQ51" i="24"/>
  <c r="KB15" i="24"/>
  <c r="IO60" i="24"/>
  <c r="IQ17" i="24"/>
  <c r="GS42" i="24"/>
  <c r="GO64" i="24"/>
  <c r="IV60" i="24"/>
  <c r="GS60" i="24"/>
  <c r="IU50" i="24"/>
  <c r="GM65" i="24"/>
  <c r="IU51" i="24"/>
  <c r="GM66" i="24"/>
  <c r="KB50" i="24"/>
  <c r="IV42" i="24"/>
  <c r="HZ50" i="24"/>
  <c r="IQ32" i="24"/>
  <c r="GS43" i="24"/>
  <c r="GO65" i="24"/>
  <c r="KB51" i="24"/>
  <c r="IV43" i="24"/>
  <c r="HZ51" i="24"/>
  <c r="IQ33" i="24"/>
  <c r="GS44" i="24"/>
  <c r="GM48" i="24"/>
  <c r="KX18" i="24"/>
  <c r="IV59" i="24"/>
  <c r="IV10" i="24"/>
  <c r="IO18" i="24"/>
  <c r="GS59" i="24"/>
  <c r="KX19" i="24"/>
  <c r="IO19" i="24"/>
  <c r="KW14" i="24"/>
  <c r="HZ5" i="24"/>
  <c r="KW15" i="24"/>
  <c r="HZ6" i="24"/>
  <c r="GM67" i="24"/>
  <c r="KS23" i="24"/>
  <c r="GO46" i="24"/>
  <c r="KV10" i="24"/>
  <c r="IT42" i="24"/>
  <c r="IU12" i="24"/>
  <c r="HZ20" i="24"/>
  <c r="GR45" i="24"/>
  <c r="IQ51" i="24"/>
  <c r="GT42" i="24"/>
  <c r="FX38" i="24"/>
  <c r="GT5" i="24"/>
  <c r="GT21" i="24"/>
  <c r="GS5" i="24"/>
  <c r="GS21" i="24"/>
  <c r="GR5" i="24"/>
  <c r="GR21" i="24"/>
  <c r="GO5" i="24"/>
  <c r="GO21" i="24"/>
  <c r="GM5" i="24"/>
  <c r="GM21" i="24"/>
  <c r="FX5" i="24"/>
  <c r="FX21" i="24"/>
  <c r="GM29" i="24"/>
  <c r="GT30" i="24"/>
  <c r="GR30" i="24"/>
  <c r="GT6" i="24"/>
  <c r="GT22" i="24"/>
  <c r="GS6" i="24"/>
  <c r="GS22" i="24"/>
  <c r="GR6" i="24"/>
  <c r="GR22" i="24"/>
  <c r="GO6" i="24"/>
  <c r="GO22" i="24"/>
  <c r="GM6" i="24"/>
  <c r="GM22" i="24"/>
  <c r="FX6" i="24"/>
  <c r="FX22" i="24"/>
  <c r="GT7" i="24"/>
  <c r="GT23" i="24"/>
  <c r="GS7" i="24"/>
  <c r="GS23" i="24"/>
  <c r="GR7" i="24"/>
  <c r="GR23" i="24"/>
  <c r="GO7" i="24"/>
  <c r="GO23" i="24"/>
  <c r="GM7" i="24"/>
  <c r="GM23" i="24"/>
  <c r="FX7" i="24"/>
  <c r="FX23" i="24"/>
  <c r="GT8" i="24"/>
  <c r="GT24" i="24"/>
  <c r="GS8" i="24"/>
  <c r="GS24" i="24"/>
  <c r="GR8" i="24"/>
  <c r="GR24" i="24"/>
  <c r="GO8" i="24"/>
  <c r="GO24" i="24"/>
  <c r="GM8" i="24"/>
  <c r="GM24" i="24"/>
  <c r="FX8" i="24"/>
  <c r="FX24" i="24"/>
  <c r="GR29" i="24"/>
  <c r="GS30" i="24"/>
  <c r="GO14" i="24"/>
  <c r="GR31" i="24"/>
  <c r="GS32" i="24"/>
  <c r="GM16" i="24"/>
  <c r="GS33" i="24"/>
  <c r="FX17" i="24"/>
  <c r="GR34" i="24"/>
  <c r="GS19" i="24"/>
  <c r="GM19" i="24"/>
  <c r="GT9" i="24"/>
  <c r="GT25" i="24"/>
  <c r="GS9" i="24"/>
  <c r="GS25" i="24"/>
  <c r="GR9" i="24"/>
  <c r="GR25" i="24"/>
  <c r="GO9" i="24"/>
  <c r="GO25" i="24"/>
  <c r="GM9" i="24"/>
  <c r="GM25" i="24"/>
  <c r="FX9" i="24"/>
  <c r="FX25" i="24"/>
  <c r="GS18" i="24"/>
  <c r="GO19" i="24"/>
  <c r="GM35" i="24"/>
  <c r="GT4" i="24"/>
  <c r="GO20" i="24"/>
  <c r="GM4" i="24"/>
  <c r="GT10" i="24"/>
  <c r="GT26" i="24"/>
  <c r="GS10" i="24"/>
  <c r="GS26" i="24"/>
  <c r="GR10" i="24"/>
  <c r="GR26" i="24"/>
  <c r="GO10" i="24"/>
  <c r="GO26" i="24"/>
  <c r="GM10" i="24"/>
  <c r="GM26" i="24"/>
  <c r="FX10" i="24"/>
  <c r="FX26" i="24"/>
  <c r="GO13" i="24"/>
  <c r="FX29" i="24"/>
  <c r="GT14" i="24"/>
  <c r="GR14" i="24"/>
  <c r="GO30" i="24"/>
  <c r="FX14" i="24"/>
  <c r="GR15" i="24"/>
  <c r="FX15" i="24"/>
  <c r="GS16" i="24"/>
  <c r="GO16" i="24"/>
  <c r="FX16" i="24"/>
  <c r="GS17" i="24"/>
  <c r="GO33" i="24"/>
  <c r="GT34" i="24"/>
  <c r="GM18" i="24"/>
  <c r="GT35" i="24"/>
  <c r="GR35" i="24"/>
  <c r="FX35" i="24"/>
  <c r="GT20" i="24"/>
  <c r="GS4" i="24"/>
  <c r="GR4" i="24"/>
  <c r="GM20" i="24"/>
  <c r="FX4" i="24"/>
  <c r="GT11" i="24"/>
  <c r="GT27" i="24"/>
  <c r="GS11" i="24"/>
  <c r="GS27" i="24"/>
  <c r="GR11" i="24"/>
  <c r="GR27" i="24"/>
  <c r="GO11" i="24"/>
  <c r="GO27" i="24"/>
  <c r="GM11" i="24"/>
  <c r="GM27" i="24"/>
  <c r="FX11" i="24"/>
  <c r="FX27" i="24"/>
  <c r="GO29" i="24"/>
  <c r="GS14" i="24"/>
  <c r="GM14" i="24"/>
  <c r="GO15" i="24"/>
  <c r="FX31" i="24"/>
  <c r="GR32" i="24"/>
  <c r="FX32" i="24"/>
  <c r="GO17" i="24"/>
  <c r="FX33" i="24"/>
  <c r="GO18" i="24"/>
  <c r="FX34" i="24"/>
  <c r="GS35" i="24"/>
  <c r="GO35" i="24"/>
  <c r="GT12" i="24"/>
  <c r="GT28" i="24"/>
  <c r="GS12" i="24"/>
  <c r="GS28" i="24"/>
  <c r="GR12" i="24"/>
  <c r="GR28" i="24"/>
  <c r="GO12" i="24"/>
  <c r="GO28" i="24"/>
  <c r="GM12" i="24"/>
  <c r="GM28" i="24"/>
  <c r="FX12" i="24"/>
  <c r="FX28" i="24"/>
  <c r="GT13" i="24"/>
  <c r="GT29" i="24"/>
  <c r="GS13" i="24"/>
  <c r="GS29" i="24"/>
  <c r="GR13" i="24"/>
  <c r="GM13" i="24"/>
  <c r="FX13" i="24"/>
  <c r="GM30" i="24"/>
  <c r="FX30" i="24"/>
  <c r="GS31" i="24"/>
  <c r="GM15" i="24"/>
  <c r="GT32" i="24"/>
  <c r="GR16" i="24"/>
  <c r="GM32" i="24"/>
  <c r="GT33" i="24"/>
  <c r="GR17" i="24"/>
  <c r="GM17" i="24"/>
  <c r="GR18" i="24"/>
  <c r="GM34" i="24"/>
  <c r="GT15" i="24"/>
  <c r="GT31" i="24"/>
  <c r="GS15" i="24"/>
  <c r="GO31" i="24"/>
  <c r="GM31" i="24"/>
  <c r="GT17" i="24"/>
  <c r="GR33" i="24"/>
  <c r="GM33" i="24"/>
  <c r="GS34" i="24"/>
  <c r="FX18" i="24"/>
  <c r="GT19" i="24"/>
  <c r="GR19" i="24"/>
  <c r="FX19" i="24"/>
  <c r="GS20" i="24"/>
  <c r="GR20" i="24"/>
  <c r="GO4" i="24"/>
  <c r="FX20" i="24"/>
  <c r="GT16" i="24"/>
  <c r="GO32" i="24"/>
  <c r="GT18" i="24"/>
  <c r="GO34" i="24"/>
  <c r="ER43" i="24"/>
  <c r="ER60" i="24"/>
  <c r="EQ43" i="24"/>
  <c r="EQ60" i="24"/>
  <c r="EP43" i="24"/>
  <c r="EP60" i="24"/>
  <c r="EM43" i="24"/>
  <c r="EM60" i="24"/>
  <c r="EK43" i="24"/>
  <c r="EK60" i="24"/>
  <c r="DV43" i="24"/>
  <c r="DV60" i="24"/>
  <c r="ER5" i="24"/>
  <c r="ER21" i="24"/>
  <c r="ER37" i="24"/>
  <c r="EQ17" i="24"/>
  <c r="EQ33" i="24"/>
  <c r="EP13" i="24"/>
  <c r="EP29" i="24"/>
  <c r="EM9" i="24"/>
  <c r="EM25" i="24"/>
  <c r="EK5" i="24"/>
  <c r="EK21" i="24"/>
  <c r="EK37" i="24"/>
  <c r="DV17" i="24"/>
  <c r="DV33" i="24"/>
  <c r="ER44" i="24"/>
  <c r="ER61" i="24"/>
  <c r="EQ44" i="24"/>
  <c r="EQ61" i="24"/>
  <c r="EP44" i="24"/>
  <c r="EP61" i="24"/>
  <c r="EM44" i="24"/>
  <c r="EM61" i="24"/>
  <c r="EK44" i="24"/>
  <c r="EK61" i="24"/>
  <c r="DV44" i="24"/>
  <c r="DV61" i="24"/>
  <c r="ER6" i="24"/>
  <c r="ER22" i="24"/>
  <c r="ER38" i="24"/>
  <c r="EQ18" i="24"/>
  <c r="EQ34" i="24"/>
  <c r="EP14" i="24"/>
  <c r="EP30" i="24"/>
  <c r="EM10" i="24"/>
  <c r="EM26" i="24"/>
  <c r="EK6" i="24"/>
  <c r="EK22" i="24"/>
  <c r="EK38" i="24"/>
  <c r="DV18" i="24"/>
  <c r="DV34" i="24"/>
  <c r="ER45" i="24"/>
  <c r="ER62" i="24"/>
  <c r="EQ45" i="24"/>
  <c r="EQ62" i="24"/>
  <c r="EP45" i="24"/>
  <c r="EP62" i="24"/>
  <c r="EM45" i="24"/>
  <c r="EM62" i="24"/>
  <c r="EK45" i="24"/>
  <c r="EK62" i="24"/>
  <c r="DV45" i="24"/>
  <c r="DV62" i="24"/>
  <c r="ER7" i="24"/>
  <c r="ER23" i="24"/>
  <c r="ER39" i="24"/>
  <c r="EQ19" i="24"/>
  <c r="EQ35" i="24"/>
  <c r="EP15" i="24"/>
  <c r="EP31" i="24"/>
  <c r="EM11" i="24"/>
  <c r="EM27" i="24"/>
  <c r="EK7" i="24"/>
  <c r="EK23" i="24"/>
  <c r="EK39" i="24"/>
  <c r="DV19" i="24"/>
  <c r="DV35" i="24"/>
  <c r="EK34" i="24"/>
  <c r="EP74" i="24"/>
  <c r="EK35" i="24"/>
  <c r="ER46" i="24"/>
  <c r="ER63" i="24"/>
  <c r="EQ46" i="24"/>
  <c r="EQ63" i="24"/>
  <c r="EP46" i="24"/>
  <c r="EP63" i="24"/>
  <c r="EM46" i="24"/>
  <c r="EM63" i="24"/>
  <c r="EK46" i="24"/>
  <c r="EK63" i="24"/>
  <c r="DV46" i="24"/>
  <c r="DV63" i="24"/>
  <c r="ER8" i="24"/>
  <c r="ER24" i="24"/>
  <c r="ER4" i="24"/>
  <c r="EQ20" i="24"/>
  <c r="EQ36" i="24"/>
  <c r="EP16" i="24"/>
  <c r="EP32" i="24"/>
  <c r="EM12" i="24"/>
  <c r="EM28" i="24"/>
  <c r="EK8" i="24"/>
  <c r="EK24" i="24"/>
  <c r="EK4" i="24"/>
  <c r="DV20" i="24"/>
  <c r="DV36" i="24"/>
  <c r="EP38" i="24"/>
  <c r="EM34" i="24"/>
  <c r="DV10" i="24"/>
  <c r="ER47" i="24"/>
  <c r="ER64" i="24"/>
  <c r="EQ47" i="24"/>
  <c r="EQ64" i="24"/>
  <c r="EP47" i="24"/>
  <c r="EP64" i="24"/>
  <c r="EM47" i="24"/>
  <c r="EM64" i="24"/>
  <c r="EK47" i="24"/>
  <c r="EK64" i="24"/>
  <c r="DV47" i="24"/>
  <c r="DV64" i="24"/>
  <c r="ER9" i="24"/>
  <c r="ER25" i="24"/>
  <c r="EQ5" i="24"/>
  <c r="EQ21" i="24"/>
  <c r="EQ37" i="24"/>
  <c r="EP17" i="24"/>
  <c r="EP33" i="24"/>
  <c r="EM13" i="24"/>
  <c r="EM29" i="24"/>
  <c r="EK9" i="24"/>
  <c r="EK25" i="24"/>
  <c r="DV5" i="24"/>
  <c r="DV21" i="24"/>
  <c r="DV37" i="24"/>
  <c r="EQ30" i="24"/>
  <c r="EQ74" i="24"/>
  <c r="EQ31" i="24"/>
  <c r="EK19" i="24"/>
  <c r="ER48" i="24"/>
  <c r="ER65" i="24"/>
  <c r="EQ48" i="24"/>
  <c r="EQ65" i="24"/>
  <c r="EP48" i="24"/>
  <c r="EP65" i="24"/>
  <c r="EM48" i="24"/>
  <c r="EM65" i="24"/>
  <c r="EK48" i="24"/>
  <c r="EK65" i="24"/>
  <c r="DV48" i="24"/>
  <c r="DV65" i="24"/>
  <c r="ER10" i="24"/>
  <c r="ER26" i="24"/>
  <c r="EQ6" i="24"/>
  <c r="EQ22" i="24"/>
  <c r="EQ38" i="24"/>
  <c r="EP18" i="24"/>
  <c r="EP34" i="24"/>
  <c r="EM14" i="24"/>
  <c r="EM30" i="24"/>
  <c r="EK10" i="24"/>
  <c r="EK26" i="24"/>
  <c r="DV6" i="24"/>
  <c r="DV22" i="24"/>
  <c r="DV38" i="24"/>
  <c r="DV58" i="24"/>
  <c r="ER49" i="24"/>
  <c r="ER66" i="24"/>
  <c r="EQ49" i="24"/>
  <c r="EQ66" i="24"/>
  <c r="EP49" i="24"/>
  <c r="EP66" i="24"/>
  <c r="EM49" i="24"/>
  <c r="EM66" i="24"/>
  <c r="EK49" i="24"/>
  <c r="EK66" i="24"/>
  <c r="DV49" i="24"/>
  <c r="DV66" i="24"/>
  <c r="ER11" i="24"/>
  <c r="ER27" i="24"/>
  <c r="EQ7" i="24"/>
  <c r="EQ23" i="24"/>
  <c r="EQ39" i="24"/>
  <c r="EP19" i="24"/>
  <c r="EP35" i="24"/>
  <c r="EM15" i="24"/>
  <c r="EM31" i="24"/>
  <c r="EK11" i="24"/>
  <c r="EK27" i="24"/>
  <c r="DV7" i="24"/>
  <c r="DV23" i="24"/>
  <c r="DV39" i="24"/>
  <c r="ER50" i="24"/>
  <c r="ER67" i="24"/>
  <c r="EQ50" i="24"/>
  <c r="EQ67" i="24"/>
  <c r="EP50" i="24"/>
  <c r="EP67" i="24"/>
  <c r="EM50" i="24"/>
  <c r="EM67" i="24"/>
  <c r="EK50" i="24"/>
  <c r="EK67" i="24"/>
  <c r="DV50" i="24"/>
  <c r="DV67" i="24"/>
  <c r="ER12" i="24"/>
  <c r="ER28" i="24"/>
  <c r="EQ8" i="24"/>
  <c r="EQ24" i="24"/>
  <c r="EQ4" i="24"/>
  <c r="EP20" i="24"/>
  <c r="EP36" i="24"/>
  <c r="EM16" i="24"/>
  <c r="EM32" i="24"/>
  <c r="EK12" i="24"/>
  <c r="EK28" i="24"/>
  <c r="DV8" i="24"/>
  <c r="DV24" i="24"/>
  <c r="DV4" i="24"/>
  <c r="EP10" i="24"/>
  <c r="EQ58" i="24"/>
  <c r="EP27" i="24"/>
  <c r="DV31" i="24"/>
  <c r="ER51" i="24"/>
  <c r="ER68" i="24"/>
  <c r="EQ51" i="24"/>
  <c r="EQ68" i="24"/>
  <c r="EP51" i="24"/>
  <c r="EP68" i="24"/>
  <c r="EM51" i="24"/>
  <c r="EM68" i="24"/>
  <c r="EK51" i="24"/>
  <c r="EK68" i="24"/>
  <c r="DV51" i="24"/>
  <c r="DV68" i="24"/>
  <c r="ER13" i="24"/>
  <c r="ER29" i="24"/>
  <c r="EQ9" i="24"/>
  <c r="EQ25" i="24"/>
  <c r="EP5" i="24"/>
  <c r="EP21" i="24"/>
  <c r="EP37" i="24"/>
  <c r="EM17" i="24"/>
  <c r="EM33" i="24"/>
  <c r="EK13" i="24"/>
  <c r="EK29" i="24"/>
  <c r="DV9" i="24"/>
  <c r="DV25" i="24"/>
  <c r="EP6" i="24"/>
  <c r="EK30" i="24"/>
  <c r="ER53" i="24"/>
  <c r="ER69" i="24"/>
  <c r="EQ53" i="24"/>
  <c r="EQ69" i="24"/>
  <c r="EP53" i="24"/>
  <c r="EP69" i="24"/>
  <c r="EM53" i="24"/>
  <c r="EM69" i="24"/>
  <c r="EK53" i="24"/>
  <c r="EK69" i="24"/>
  <c r="DV53" i="24"/>
  <c r="DV69" i="24"/>
  <c r="ER14" i="24"/>
  <c r="ER30" i="24"/>
  <c r="EQ10" i="24"/>
  <c r="EQ26" i="24"/>
  <c r="EP22" i="24"/>
  <c r="EM18" i="24"/>
  <c r="EK14" i="24"/>
  <c r="DV26" i="24"/>
  <c r="EQ57" i="24"/>
  <c r="ER18" i="24"/>
  <c r="EM38" i="24"/>
  <c r="EM58" i="24"/>
  <c r="DV74" i="24"/>
  <c r="EP11" i="24"/>
  <c r="DV15" i="24"/>
  <c r="ER54" i="24"/>
  <c r="ER70" i="24"/>
  <c r="EQ54" i="24"/>
  <c r="EQ70" i="24"/>
  <c r="EP54" i="24"/>
  <c r="EP70" i="24"/>
  <c r="EM54" i="24"/>
  <c r="EM70" i="24"/>
  <c r="EK54" i="24"/>
  <c r="EK70" i="24"/>
  <c r="DV54" i="24"/>
  <c r="DV70" i="24"/>
  <c r="ER15" i="24"/>
  <c r="ER31" i="24"/>
  <c r="EQ11" i="24"/>
  <c r="EQ27" i="24"/>
  <c r="EP7" i="24"/>
  <c r="EP23" i="24"/>
  <c r="EP39" i="24"/>
  <c r="EM19" i="24"/>
  <c r="EM35" i="24"/>
  <c r="EK15" i="24"/>
  <c r="EK31" i="24"/>
  <c r="DV11" i="24"/>
  <c r="DV27" i="24"/>
  <c r="ER73" i="24"/>
  <c r="EK57" i="24"/>
  <c r="DV57" i="24"/>
  <c r="EQ14" i="24"/>
  <c r="EM6" i="24"/>
  <c r="DV30" i="24"/>
  <c r="EP58" i="24"/>
  <c r="ER35" i="24"/>
  <c r="EM39" i="24"/>
  <c r="ER55" i="24"/>
  <c r="ER71" i="24"/>
  <c r="EQ55" i="24"/>
  <c r="EQ71" i="24"/>
  <c r="EP55" i="24"/>
  <c r="EP71" i="24"/>
  <c r="EM55" i="24"/>
  <c r="EM71" i="24"/>
  <c r="EK55" i="24"/>
  <c r="EK71" i="24"/>
  <c r="DV55" i="24"/>
  <c r="DV71" i="24"/>
  <c r="ER16" i="24"/>
  <c r="ER32" i="24"/>
  <c r="EQ12" i="24"/>
  <c r="EQ28" i="24"/>
  <c r="EP8" i="24"/>
  <c r="EP24" i="24"/>
  <c r="EP4" i="24"/>
  <c r="EM20" i="24"/>
  <c r="EM36" i="24"/>
  <c r="EK16" i="24"/>
  <c r="EK32" i="24"/>
  <c r="DV12" i="24"/>
  <c r="DV28" i="24"/>
  <c r="EQ29" i="24"/>
  <c r="EM21" i="24"/>
  <c r="EK17" i="24"/>
  <c r="DV13" i="24"/>
  <c r="DV29" i="24"/>
  <c r="EK18" i="24"/>
  <c r="ER74" i="24"/>
  <c r="EM7" i="24"/>
  <c r="ER56" i="24"/>
  <c r="ER72" i="24"/>
  <c r="EQ56" i="24"/>
  <c r="EQ72" i="24"/>
  <c r="EP56" i="24"/>
  <c r="EP72" i="24"/>
  <c r="EM56" i="24"/>
  <c r="EM72" i="24"/>
  <c r="EK56" i="24"/>
  <c r="EK72" i="24"/>
  <c r="DV56" i="24"/>
  <c r="DV72" i="24"/>
  <c r="ER17" i="24"/>
  <c r="ER33" i="24"/>
  <c r="EQ13" i="24"/>
  <c r="EP9" i="24"/>
  <c r="EP25" i="24"/>
  <c r="EM5" i="24"/>
  <c r="EM37" i="24"/>
  <c r="EK33" i="24"/>
  <c r="ER57" i="24"/>
  <c r="EQ73" i="24"/>
  <c r="EP57" i="24"/>
  <c r="EP73" i="24"/>
  <c r="EM57" i="24"/>
  <c r="EM73" i="24"/>
  <c r="EK73" i="24"/>
  <c r="DV73" i="24"/>
  <c r="ER34" i="24"/>
  <c r="EP26" i="24"/>
  <c r="EM22" i="24"/>
  <c r="DV14" i="24"/>
  <c r="ER58" i="24"/>
  <c r="EM74" i="24"/>
  <c r="EK58" i="24"/>
  <c r="EK74" i="24"/>
  <c r="ER19" i="24"/>
  <c r="EQ15" i="24"/>
  <c r="EM23" i="24"/>
  <c r="ER59" i="24"/>
  <c r="ER42" i="24"/>
  <c r="EQ59" i="24"/>
  <c r="EQ42" i="24"/>
  <c r="EP59" i="24"/>
  <c r="EP42" i="24"/>
  <c r="EM59" i="24"/>
  <c r="EM42" i="24"/>
  <c r="EK59" i="24"/>
  <c r="EK42" i="24"/>
  <c r="DV59" i="24"/>
  <c r="DV42" i="24"/>
  <c r="ER20" i="24"/>
  <c r="ER36" i="24"/>
  <c r="EQ16" i="24"/>
  <c r="EQ32" i="24"/>
  <c r="EP12" i="24"/>
  <c r="EP28" i="24"/>
  <c r="EM8" i="24"/>
  <c r="EM24" i="24"/>
  <c r="EM4" i="24"/>
  <c r="EK20" i="24"/>
  <c r="EK36" i="24"/>
  <c r="DV16" i="24"/>
  <c r="DV32" i="24"/>
  <c r="CO11" i="24"/>
  <c r="CO27" i="24"/>
  <c r="CO43" i="24"/>
  <c r="CP20" i="24"/>
  <c r="CP36" i="24"/>
  <c r="CN11" i="24"/>
  <c r="CN27" i="24"/>
  <c r="CN43" i="24"/>
  <c r="CK19" i="24"/>
  <c r="CK35" i="24"/>
  <c r="CI11" i="24"/>
  <c r="CI27" i="24"/>
  <c r="CI43" i="24"/>
  <c r="CO12" i="24"/>
  <c r="CO28" i="24"/>
  <c r="CO44" i="24"/>
  <c r="CP21" i="24"/>
  <c r="CP37" i="24"/>
  <c r="CN12" i="24"/>
  <c r="CN28" i="24"/>
  <c r="CN44" i="24"/>
  <c r="CK20" i="24"/>
  <c r="CK36" i="24"/>
  <c r="CI12" i="24"/>
  <c r="CI28" i="24"/>
  <c r="CI44" i="24"/>
  <c r="CP17" i="24"/>
  <c r="CI40" i="24"/>
  <c r="CN41" i="24"/>
  <c r="CO13" i="24"/>
  <c r="CO29" i="24"/>
  <c r="CO45" i="24"/>
  <c r="CP22" i="24"/>
  <c r="CP38" i="24"/>
  <c r="CN13" i="24"/>
  <c r="CN29" i="24"/>
  <c r="CN45" i="24"/>
  <c r="CK21" i="24"/>
  <c r="CK37" i="24"/>
  <c r="CI13" i="24"/>
  <c r="CI29" i="24"/>
  <c r="CI45" i="24"/>
  <c r="CP24" i="24"/>
  <c r="CK23" i="24"/>
  <c r="CI47" i="24"/>
  <c r="CO41" i="24"/>
  <c r="CO14" i="24"/>
  <c r="CO30" i="24"/>
  <c r="CO46" i="24"/>
  <c r="CP23" i="24"/>
  <c r="CP39" i="24"/>
  <c r="CN14" i="24"/>
  <c r="CN30" i="24"/>
  <c r="CN46" i="24"/>
  <c r="CK22" i="24"/>
  <c r="CK38" i="24"/>
  <c r="CI14" i="24"/>
  <c r="CI30" i="24"/>
  <c r="CI46" i="24"/>
  <c r="CO31" i="24"/>
  <c r="CN15" i="24"/>
  <c r="CN47" i="24"/>
  <c r="CK39" i="24"/>
  <c r="CI31" i="24"/>
  <c r="CN40" i="24"/>
  <c r="CI41" i="24"/>
  <c r="CO15" i="24"/>
  <c r="CO47" i="24"/>
  <c r="CP40" i="24"/>
  <c r="CN31" i="24"/>
  <c r="CI15" i="24"/>
  <c r="CP15" i="24"/>
  <c r="CI22" i="24"/>
  <c r="CK32" i="24"/>
  <c r="CK49" i="24"/>
  <c r="CO16" i="24"/>
  <c r="CO32" i="24"/>
  <c r="CO48" i="24"/>
  <c r="CP25" i="24"/>
  <c r="CP41" i="24"/>
  <c r="CN16" i="24"/>
  <c r="CN32" i="24"/>
  <c r="CN48" i="24"/>
  <c r="CK24" i="24"/>
  <c r="CK40" i="24"/>
  <c r="CI16" i="24"/>
  <c r="CI32" i="24"/>
  <c r="CI48" i="24"/>
  <c r="CN24" i="24"/>
  <c r="CK33" i="24"/>
  <c r="CO17" i="24"/>
  <c r="CO33" i="24"/>
  <c r="CO49" i="24"/>
  <c r="CP26" i="24"/>
  <c r="CP42" i="24"/>
  <c r="CN17" i="24"/>
  <c r="CN33" i="24"/>
  <c r="CN49" i="24"/>
  <c r="CK25" i="24"/>
  <c r="CK41" i="24"/>
  <c r="CI17" i="24"/>
  <c r="CI33" i="24"/>
  <c r="CI49" i="24"/>
  <c r="CO18" i="24"/>
  <c r="CO34" i="24"/>
  <c r="CP11" i="24"/>
  <c r="CP27" i="24"/>
  <c r="CP43" i="24"/>
  <c r="CN18" i="24"/>
  <c r="CN34" i="24"/>
  <c r="CN10" i="24"/>
  <c r="CK26" i="24"/>
  <c r="CK42" i="24"/>
  <c r="CI18" i="24"/>
  <c r="CI34" i="24"/>
  <c r="CI10" i="24"/>
  <c r="CP49" i="24"/>
  <c r="CO19" i="24"/>
  <c r="CO35" i="24"/>
  <c r="CP12" i="24"/>
  <c r="CP28" i="24"/>
  <c r="CP44" i="24"/>
  <c r="CN19" i="24"/>
  <c r="CN35" i="24"/>
  <c r="CK11" i="24"/>
  <c r="CK27" i="24"/>
  <c r="CK43" i="24"/>
  <c r="CI19" i="24"/>
  <c r="CI35" i="24"/>
  <c r="CO36" i="24"/>
  <c r="CP13" i="24"/>
  <c r="CP29" i="24"/>
  <c r="CP45" i="24"/>
  <c r="CN20" i="24"/>
  <c r="CN36" i="24"/>
  <c r="CK12" i="24"/>
  <c r="CK28" i="24"/>
  <c r="CK44" i="24"/>
  <c r="CI20" i="24"/>
  <c r="CI36" i="24"/>
  <c r="CO40" i="24"/>
  <c r="CK48" i="24"/>
  <c r="CN25" i="24"/>
  <c r="CI25" i="24"/>
  <c r="CO20" i="24"/>
  <c r="CO38" i="24"/>
  <c r="CP31" i="24"/>
  <c r="CN22" i="24"/>
  <c r="CK14" i="24"/>
  <c r="CK30" i="24"/>
  <c r="CI38" i="24"/>
  <c r="CK16" i="24"/>
  <c r="CK17" i="24"/>
  <c r="CO21" i="24"/>
  <c r="CO37" i="24"/>
  <c r="CP14" i="24"/>
  <c r="CP30" i="24"/>
  <c r="CP46" i="24"/>
  <c r="CN21" i="24"/>
  <c r="CN37" i="24"/>
  <c r="CK13" i="24"/>
  <c r="CK29" i="24"/>
  <c r="CK45" i="24"/>
  <c r="CI21" i="24"/>
  <c r="CI37" i="24"/>
  <c r="CP33" i="24"/>
  <c r="CP34" i="24"/>
  <c r="CO22" i="24"/>
  <c r="CP47" i="24"/>
  <c r="CN38" i="24"/>
  <c r="CK46" i="24"/>
  <c r="CP18" i="24"/>
  <c r="CO23" i="24"/>
  <c r="CO39" i="24"/>
  <c r="CP16" i="24"/>
  <c r="CP32" i="24"/>
  <c r="CP48" i="24"/>
  <c r="CN23" i="24"/>
  <c r="CN39" i="24"/>
  <c r="CK15" i="24"/>
  <c r="CK31" i="24"/>
  <c r="CK47" i="24"/>
  <c r="CI23" i="24"/>
  <c r="CI39" i="24"/>
  <c r="CO25" i="24"/>
  <c r="CO26" i="24"/>
  <c r="CO42" i="24"/>
  <c r="CP19" i="24"/>
  <c r="CP35" i="24"/>
  <c r="CO10" i="24"/>
  <c r="CN26" i="24"/>
  <c r="CN42" i="24"/>
  <c r="CK18" i="24"/>
  <c r="CK34" i="24"/>
  <c r="CK10" i="24"/>
  <c r="CI26" i="24"/>
  <c r="CI42" i="24"/>
  <c r="CO24" i="24"/>
  <c r="CI24" i="24"/>
  <c r="CP10" i="24"/>
  <c r="BT11" i="24"/>
  <c r="BT27" i="24"/>
  <c r="BT43" i="24"/>
  <c r="BT12" i="24"/>
  <c r="BT28" i="24"/>
  <c r="BT44" i="24"/>
  <c r="BT24" i="24"/>
  <c r="BT13" i="24"/>
  <c r="BT29" i="24"/>
  <c r="BT45" i="24"/>
  <c r="BT14" i="24"/>
  <c r="BT30" i="24"/>
  <c r="BT46" i="24"/>
  <c r="BT31" i="24"/>
  <c r="BT47" i="24"/>
  <c r="BT16" i="24"/>
  <c r="BT32" i="24"/>
  <c r="BT48" i="24"/>
  <c r="BT23" i="24"/>
  <c r="BT40" i="24"/>
  <c r="BT41" i="24"/>
  <c r="BT10" i="24"/>
  <c r="BT37" i="24"/>
  <c r="BT38" i="24"/>
  <c r="BT15" i="24"/>
  <c r="BT34" i="24"/>
  <c r="BT21" i="24"/>
  <c r="BT22" i="24"/>
  <c r="BT17" i="24"/>
  <c r="BT33" i="24"/>
  <c r="BT49" i="24"/>
  <c r="BT25" i="24"/>
  <c r="BT42" i="24"/>
  <c r="BT18" i="24"/>
  <c r="BT19" i="24"/>
  <c r="BT35" i="24"/>
  <c r="BT20" i="24"/>
  <c r="BT36" i="24"/>
  <c r="BT39" i="24"/>
  <c r="BT26" i="24"/>
  <c r="CD7" i="24" a="1"/>
  <c r="CD7" i="24" s="1"/>
  <c r="CI7" i="24" a="1"/>
  <c r="CI7" i="24" s="1"/>
  <c r="BY7" i="24" a="1"/>
  <c r="BY7" i="24" s="1"/>
  <c r="BT7" i="24" a="1"/>
  <c r="BT7" i="24" s="1"/>
  <c r="BJ7" i="24" a="1"/>
  <c r="BJ7" i="24" s="1"/>
  <c r="BO7" i="24" a="1"/>
  <c r="BO7" i="24" s="1"/>
  <c r="AU7" i="24" a="1"/>
  <c r="AU7" i="24" s="1"/>
  <c r="BE7" i="24" a="1"/>
  <c r="BE7" i="24" s="1"/>
  <c r="AZ7" i="24" a="1"/>
  <c r="AZ7" i="24" s="1"/>
  <c r="DQ45" i="24"/>
  <c r="DI61" i="24"/>
  <c r="DO58" i="24"/>
  <c r="DQ55" i="24"/>
  <c r="DI54" i="24"/>
  <c r="FQ51" i="24"/>
  <c r="DQ50" i="24"/>
  <c r="DI49" i="24"/>
  <c r="HS47" i="24"/>
  <c r="HU46" i="24"/>
  <c r="DI46" i="24"/>
  <c r="HS44" i="24"/>
  <c r="HU43" i="24"/>
  <c r="DI43" i="24"/>
  <c r="DO42" i="24"/>
  <c r="HU40" i="24"/>
  <c r="HM39" i="24"/>
  <c r="FQ38" i="24"/>
  <c r="BO29" i="24"/>
  <c r="BG27" i="24"/>
  <c r="BM24" i="24"/>
  <c r="DQ22" i="24"/>
  <c r="DI21" i="24"/>
  <c r="BM20" i="24"/>
  <c r="BO19" i="24"/>
  <c r="DI18" i="24"/>
  <c r="DO17" i="24"/>
  <c r="DQ16" i="24"/>
  <c r="HM15" i="24"/>
  <c r="BM15" i="24"/>
  <c r="DQ14" i="24"/>
  <c r="HM13" i="24"/>
  <c r="BM13" i="24"/>
  <c r="DQ12" i="24"/>
  <c r="HM11" i="24"/>
  <c r="BM11" i="24"/>
  <c r="DQ10" i="24"/>
  <c r="GX9" i="24"/>
  <c r="HP8" i="24"/>
  <c r="HT7" i="24"/>
  <c r="CT7" i="24"/>
  <c r="DL6" i="24"/>
  <c r="DP5" i="24"/>
  <c r="EV4" i="24"/>
  <c r="DI42" i="24"/>
  <c r="BO26" i="24"/>
  <c r="DO22" i="24"/>
  <c r="BM19" i="24"/>
  <c r="DI17" i="24"/>
  <c r="FS15" i="24"/>
  <c r="DO14" i="24"/>
  <c r="DO12" i="24"/>
  <c r="BG11" i="24"/>
  <c r="GX8" i="24"/>
  <c r="HT6" i="24"/>
  <c r="DL5" i="24"/>
  <c r="DP60" i="24"/>
  <c r="DL55" i="24"/>
  <c r="FR53" i="24"/>
  <c r="EV51" i="24"/>
  <c r="DL50" i="24"/>
  <c r="FR48" i="24"/>
  <c r="HP46" i="24"/>
  <c r="HP43" i="24"/>
  <c r="CT42" i="24"/>
  <c r="DP45" i="24"/>
  <c r="CT61" i="24"/>
  <c r="DL58" i="24"/>
  <c r="DP55" i="24"/>
  <c r="CT54" i="24"/>
  <c r="FN51" i="24"/>
  <c r="DP50" i="24"/>
  <c r="CT49" i="24"/>
  <c r="HP47" i="24"/>
  <c r="HT46" i="24"/>
  <c r="CT46" i="24"/>
  <c r="HP44" i="24"/>
  <c r="HT43" i="24"/>
  <c r="CT43" i="24"/>
  <c r="DL42" i="24"/>
  <c r="HT40" i="24"/>
  <c r="GX39" i="24"/>
  <c r="FN38" i="24"/>
  <c r="BN29" i="24"/>
  <c r="AR27" i="24"/>
  <c r="BJ24" i="24"/>
  <c r="DP22" i="24"/>
  <c r="CT21" i="24"/>
  <c r="BJ20" i="24"/>
  <c r="BN19" i="24"/>
  <c r="CT18" i="24"/>
  <c r="DL17" i="24"/>
  <c r="DP16" i="24"/>
  <c r="GX15" i="24"/>
  <c r="BJ15" i="24"/>
  <c r="DP14" i="24"/>
  <c r="GX13" i="24"/>
  <c r="BJ13" i="24"/>
  <c r="DP12" i="24"/>
  <c r="GX11" i="24"/>
  <c r="BJ11" i="24"/>
  <c r="DP10" i="24"/>
  <c r="FS9" i="24"/>
  <c r="HM8" i="24"/>
  <c r="HS7" i="24"/>
  <c r="HU6" i="24"/>
  <c r="DI6" i="24"/>
  <c r="DO5" i="24"/>
  <c r="DQ4" i="24"/>
  <c r="DQ60" i="24"/>
  <c r="DI58" i="24"/>
  <c r="DO55" i="24"/>
  <c r="FS53" i="24"/>
  <c r="FK51" i="24"/>
  <c r="DO50" i="24"/>
  <c r="FS48" i="24"/>
  <c r="HM47" i="24"/>
  <c r="HS46" i="24"/>
  <c r="HU45" i="24"/>
  <c r="HM44" i="24"/>
  <c r="HS43" i="24"/>
  <c r="HU42" i="24"/>
  <c r="HS40" i="24"/>
  <c r="FS39" i="24"/>
  <c r="FK38" i="24"/>
  <c r="BM29" i="24"/>
  <c r="BG24" i="24"/>
  <c r="BO21" i="24"/>
  <c r="BG20" i="24"/>
  <c r="BO18" i="24"/>
  <c r="DO16" i="24"/>
  <c r="BG15" i="24"/>
  <c r="FS13" i="24"/>
  <c r="BG13" i="24"/>
  <c r="FS11" i="24"/>
  <c r="DO10" i="24"/>
  <c r="FR9" i="24"/>
  <c r="HP7" i="24"/>
  <c r="CT6" i="24"/>
  <c r="DP4" i="24"/>
  <c r="CT58" i="24"/>
  <c r="GX47" i="24"/>
  <c r="HT45" i="24"/>
  <c r="GX44" i="24"/>
  <c r="HT42" i="24"/>
  <c r="DO45" i="24"/>
  <c r="DL45" i="24"/>
  <c r="DI45" i="24"/>
  <c r="CT45" i="24"/>
  <c r="DL60" i="24"/>
  <c r="DP57" i="24"/>
  <c r="CT55" i="24"/>
  <c r="FN53" i="24"/>
  <c r="DP51" i="24"/>
  <c r="CT50" i="24"/>
  <c r="FN48" i="24"/>
  <c r="FR47" i="24"/>
  <c r="GX46" i="24"/>
  <c r="HP45" i="24"/>
  <c r="FR44" i="24"/>
  <c r="GX43" i="24"/>
  <c r="HP42" i="24"/>
  <c r="HT41" i="24"/>
  <c r="GX40" i="24"/>
  <c r="FN39" i="24"/>
  <c r="HT37" i="24"/>
  <c r="AR29" i="24"/>
  <c r="BJ26" i="24"/>
  <c r="DP23" i="24"/>
  <c r="CT22" i="24"/>
  <c r="BJ21" i="24"/>
  <c r="FR19" i="24"/>
  <c r="AR19" i="24"/>
  <c r="BJ18" i="24"/>
  <c r="BN17" i="24"/>
  <c r="CT16" i="24"/>
  <c r="FN15" i="24"/>
  <c r="HT14" i="24"/>
  <c r="CT14" i="24"/>
  <c r="FN13" i="24"/>
  <c r="HT12" i="24"/>
  <c r="CT12" i="24"/>
  <c r="FN11" i="24"/>
  <c r="HT10" i="24"/>
  <c r="CT10" i="24"/>
  <c r="FK9" i="24"/>
  <c r="FQ8" i="24"/>
  <c r="FS7" i="24"/>
  <c r="HM6" i="24"/>
  <c r="HS5" i="24"/>
  <c r="HU4" i="24"/>
  <c r="DI4" i="24"/>
  <c r="FS54" i="24"/>
  <c r="FK53" i="24"/>
  <c r="DO51" i="24"/>
  <c r="FS49" i="24"/>
  <c r="FK48" i="24"/>
  <c r="FQ47" i="24"/>
  <c r="FS46" i="24"/>
  <c r="HM45" i="24"/>
  <c r="FQ44" i="24"/>
  <c r="FS43" i="24"/>
  <c r="HM42" i="24"/>
  <c r="HS41" i="24"/>
  <c r="FS40" i="24"/>
  <c r="FK39" i="24"/>
  <c r="HS37" i="24"/>
  <c r="BO28" i="24"/>
  <c r="BG26" i="24"/>
  <c r="DO23" i="24"/>
  <c r="BO22" i="24"/>
  <c r="BG21" i="24"/>
  <c r="FQ19" i="24"/>
  <c r="FS18" i="24"/>
  <c r="BG18" i="24"/>
  <c r="BM17" i="24"/>
  <c r="BO16" i="24"/>
  <c r="FK15" i="24"/>
  <c r="HS14" i="24"/>
  <c r="BO14" i="24"/>
  <c r="FK13" i="24"/>
  <c r="HS12" i="24"/>
  <c r="BO12" i="24"/>
  <c r="HS10" i="24"/>
  <c r="BO10" i="24"/>
  <c r="EV9" i="24"/>
  <c r="FN8" i="24"/>
  <c r="FR7" i="24"/>
  <c r="GX6" i="24"/>
  <c r="HP5" i="24"/>
  <c r="HT4" i="24"/>
  <c r="CT4" i="24"/>
  <c r="DL57" i="24"/>
  <c r="DQ62" i="24"/>
  <c r="DI60" i="24"/>
  <c r="DO57" i="24"/>
  <c r="FK11" i="24"/>
  <c r="CT60" i="24"/>
  <c r="FR54" i="24"/>
  <c r="EV53" i="24"/>
  <c r="DL51" i="24"/>
  <c r="FR49" i="24"/>
  <c r="EV48" i="24"/>
  <c r="FR46" i="24"/>
  <c r="GX45" i="24"/>
  <c r="FN44" i="24"/>
  <c r="DP62" i="24"/>
  <c r="DO62" i="24"/>
  <c r="DL62" i="24"/>
  <c r="DI62" i="24"/>
  <c r="CT62" i="24"/>
  <c r="DL59" i="24"/>
  <c r="DP56" i="24"/>
  <c r="EV54" i="24"/>
  <c r="DL53" i="24"/>
  <c r="FR50" i="24"/>
  <c r="EV49" i="24"/>
  <c r="DL48" i="24"/>
  <c r="DP47" i="24"/>
  <c r="EV46" i="24"/>
  <c r="FN45" i="24"/>
  <c r="DP44" i="24"/>
  <c r="EV43" i="24"/>
  <c r="FN42" i="24"/>
  <c r="FR41" i="24"/>
  <c r="EV40" i="24"/>
  <c r="HP38" i="24"/>
  <c r="HT36" i="24"/>
  <c r="AR28" i="24"/>
  <c r="BJ25" i="24"/>
  <c r="BN23" i="24"/>
  <c r="AR22" i="24"/>
  <c r="DL20" i="24"/>
  <c r="DP19" i="24"/>
  <c r="EV18" i="24"/>
  <c r="FN17" i="24"/>
  <c r="FR16" i="24"/>
  <c r="AR16" i="24"/>
  <c r="DL15" i="24"/>
  <c r="FR14" i="24"/>
  <c r="AR14" i="24"/>
  <c r="DL13" i="24"/>
  <c r="FR12" i="24"/>
  <c r="AR12" i="24"/>
  <c r="DL11" i="24"/>
  <c r="FR10" i="24"/>
  <c r="HU9" i="24"/>
  <c r="DI9" i="24"/>
  <c r="DO8" i="24"/>
  <c r="DQ7" i="24"/>
  <c r="FK6" i="24"/>
  <c r="FQ5" i="24"/>
  <c r="FS4" i="24"/>
  <c r="DI59" i="24"/>
  <c r="DO56" i="24"/>
  <c r="DQ54" i="24"/>
  <c r="DI53" i="24"/>
  <c r="FQ50" i="24"/>
  <c r="DQ49" i="24"/>
  <c r="DI48" i="24"/>
  <c r="DO47" i="24"/>
  <c r="DQ46" i="24"/>
  <c r="FK45" i="24"/>
  <c r="DO44" i="24"/>
  <c r="DQ43" i="24"/>
  <c r="FK42" i="24"/>
  <c r="FQ41" i="24"/>
  <c r="HU39" i="24"/>
  <c r="HM38" i="24"/>
  <c r="HS36" i="24"/>
  <c r="BO27" i="24"/>
  <c r="BG25" i="24"/>
  <c r="BM23" i="24"/>
  <c r="DQ21" i="24"/>
  <c r="DI20" i="24"/>
  <c r="DO19" i="24"/>
  <c r="DQ18" i="24"/>
  <c r="FK17" i="24"/>
  <c r="FQ16" i="24"/>
  <c r="HU15" i="24"/>
  <c r="DI15" i="24"/>
  <c r="FQ14" i="24"/>
  <c r="HU13" i="24"/>
  <c r="DI13" i="24"/>
  <c r="FQ12" i="24"/>
  <c r="HU11" i="24"/>
  <c r="DI11" i="24"/>
  <c r="DQ61" i="24"/>
  <c r="DP61" i="24"/>
  <c r="DO61" i="24"/>
  <c r="DL61" i="24"/>
  <c r="DO60" i="24"/>
  <c r="FN54" i="24"/>
  <c r="FN50" i="24"/>
  <c r="HT47" i="24"/>
  <c r="HS45" i="24"/>
  <c r="FQ43" i="24"/>
  <c r="HM41" i="24"/>
  <c r="FQ39" i="24"/>
  <c r="GX36" i="24"/>
  <c r="AR25" i="24"/>
  <c r="BJ22" i="24"/>
  <c r="FN19" i="24"/>
  <c r="BN18" i="24"/>
  <c r="FK16" i="24"/>
  <c r="DO15" i="24"/>
  <c r="BM14" i="24"/>
  <c r="HU12" i="24"/>
  <c r="HP11" i="24"/>
  <c r="FQ10" i="24"/>
  <c r="DQ9" i="24"/>
  <c r="CT8" i="24"/>
  <c r="FQ6" i="24"/>
  <c r="DI5" i="24"/>
  <c r="HS39" i="24"/>
  <c r="BO25" i="24"/>
  <c r="HM9" i="24"/>
  <c r="HM43" i="24"/>
  <c r="AR20" i="24"/>
  <c r="DL8" i="24"/>
  <c r="DQ59" i="24"/>
  <c r="FK54" i="24"/>
  <c r="FK50" i="24"/>
  <c r="FS47" i="24"/>
  <c r="FS45" i="24"/>
  <c r="FN43" i="24"/>
  <c r="GX41" i="24"/>
  <c r="EV39" i="24"/>
  <c r="BJ29" i="24"/>
  <c r="BO24" i="24"/>
  <c r="BG22" i="24"/>
  <c r="FK19" i="24"/>
  <c r="BM18" i="24"/>
  <c r="EV16" i="24"/>
  <c r="CT15" i="24"/>
  <c r="BJ14" i="24"/>
  <c r="HP12" i="24"/>
  <c r="FR11" i="24"/>
  <c r="FN10" i="24"/>
  <c r="DP9" i="24"/>
  <c r="HU7" i="24"/>
  <c r="FN6" i="24"/>
  <c r="CT5" i="24"/>
  <c r="DP42" i="24"/>
  <c r="BO13" i="24"/>
  <c r="HU41" i="24"/>
  <c r="DO18" i="24"/>
  <c r="FS6" i="24"/>
  <c r="DP59" i="24"/>
  <c r="DP54" i="24"/>
  <c r="EV50" i="24"/>
  <c r="FN47" i="24"/>
  <c r="FR45" i="24"/>
  <c r="FK43" i="24"/>
  <c r="FS41" i="24"/>
  <c r="HU38" i="24"/>
  <c r="BG29" i="24"/>
  <c r="BN24" i="24"/>
  <c r="DP21" i="24"/>
  <c r="EV19" i="24"/>
  <c r="AR18" i="24"/>
  <c r="DL16" i="24"/>
  <c r="BO15" i="24"/>
  <c r="BG14" i="24"/>
  <c r="HM12" i="24"/>
  <c r="FQ11" i="24"/>
  <c r="FK10" i="24"/>
  <c r="DO9" i="24"/>
  <c r="HM7" i="24"/>
  <c r="EV6" i="24"/>
  <c r="HS4" i="24"/>
  <c r="HP6" i="24"/>
  <c r="BN25" i="24"/>
  <c r="DO59" i="24"/>
  <c r="DO54" i="24"/>
  <c r="DI50" i="24"/>
  <c r="FK47" i="24"/>
  <c r="FQ45" i="24"/>
  <c r="DP43" i="24"/>
  <c r="FN41" i="24"/>
  <c r="HT38" i="24"/>
  <c r="BN28" i="24"/>
  <c r="AR24" i="24"/>
  <c r="DO21" i="24"/>
  <c r="DQ19" i="24"/>
  <c r="FS17" i="24"/>
  <c r="DI16" i="24"/>
  <c r="BN15" i="24"/>
  <c r="HT13" i="24"/>
  <c r="GX12" i="24"/>
  <c r="EV11" i="24"/>
  <c r="EV10" i="24"/>
  <c r="DL9" i="24"/>
  <c r="GX7" i="24"/>
  <c r="DQ6" i="24"/>
  <c r="HP4" i="24"/>
  <c r="DI55" i="24"/>
  <c r="CT59" i="24"/>
  <c r="DL54" i="24"/>
  <c r="FQ49" i="24"/>
  <c r="EV47" i="24"/>
  <c r="EV45" i="24"/>
  <c r="DO43" i="24"/>
  <c r="FK41" i="24"/>
  <c r="HS38" i="24"/>
  <c r="BM28" i="24"/>
  <c r="DQ23" i="24"/>
  <c r="DL21" i="24"/>
  <c r="DL19" i="24"/>
  <c r="FR17" i="24"/>
  <c r="BN16" i="24"/>
  <c r="AR15" i="24"/>
  <c r="HS13" i="24"/>
  <c r="FS12" i="24"/>
  <c r="DQ11" i="24"/>
  <c r="DL10" i="24"/>
  <c r="CT9" i="24"/>
  <c r="FQ7" i="24"/>
  <c r="DP6" i="24"/>
  <c r="HM4" i="24"/>
  <c r="DO46" i="24"/>
  <c r="DQ58" i="24"/>
  <c r="FQ53" i="24"/>
  <c r="FN49" i="24"/>
  <c r="DQ47" i="24"/>
  <c r="HU44" i="24"/>
  <c r="DL43" i="24"/>
  <c r="EV41" i="24"/>
  <c r="GX38" i="24"/>
  <c r="BJ28" i="24"/>
  <c r="DL23" i="24"/>
  <c r="BN21" i="24"/>
  <c r="DI19" i="24"/>
  <c r="FQ17" i="24"/>
  <c r="BM16" i="24"/>
  <c r="HU14" i="24"/>
  <c r="HP13" i="24"/>
  <c r="FN12" i="24"/>
  <c r="DP11" i="24"/>
  <c r="DI10" i="24"/>
  <c r="HU8" i="24"/>
  <c r="FN7" i="24"/>
  <c r="DO6" i="24"/>
  <c r="GX4" i="24"/>
  <c r="FQ13" i="24"/>
  <c r="CT11" i="24"/>
  <c r="EV7" i="24"/>
  <c r="BO23" i="24"/>
  <c r="GX14" i="24"/>
  <c r="BO11" i="24"/>
  <c r="DP7" i="24"/>
  <c r="FN4" i="24"/>
  <c r="CT44" i="24"/>
  <c r="DI22" i="24"/>
  <c r="AR17" i="24"/>
  <c r="DP8" i="24"/>
  <c r="HP36" i="24"/>
  <c r="BN13" i="24"/>
  <c r="DP58" i="24"/>
  <c r="DQ53" i="24"/>
  <c r="FK49" i="24"/>
  <c r="DL47" i="24"/>
  <c r="HT44" i="24"/>
  <c r="HS42" i="24"/>
  <c r="HP40" i="24"/>
  <c r="FS38" i="24"/>
  <c r="BG28" i="24"/>
  <c r="DI23" i="24"/>
  <c r="BM21" i="24"/>
  <c r="CT19" i="24"/>
  <c r="EV17" i="24"/>
  <c r="BJ16" i="24"/>
  <c r="HP14" i="24"/>
  <c r="FR13" i="24"/>
  <c r="FK12" i="24"/>
  <c r="DO11" i="24"/>
  <c r="BN10" i="24"/>
  <c r="HT8" i="24"/>
  <c r="FK7" i="24"/>
  <c r="HU5" i="24"/>
  <c r="FR4" i="24"/>
  <c r="HM14" i="24"/>
  <c r="BM10" i="24"/>
  <c r="HS8" i="24"/>
  <c r="FQ4" i="24"/>
  <c r="DQ20" i="24"/>
  <c r="HT15" i="24"/>
  <c r="DL12" i="24"/>
  <c r="BJ10" i="24"/>
  <c r="HM5" i="24"/>
  <c r="HT9" i="24"/>
  <c r="DL7" i="24"/>
  <c r="FS5" i="24"/>
  <c r="CT56" i="24"/>
  <c r="DP18" i="24"/>
  <c r="BG12" i="24"/>
  <c r="FK5" i="24"/>
  <c r="HP39" i="24"/>
  <c r="FS16" i="24"/>
  <c r="EV5" i="24"/>
  <c r="DQ57" i="24"/>
  <c r="DP53" i="24"/>
  <c r="DP49" i="24"/>
  <c r="DI47" i="24"/>
  <c r="FS44" i="24"/>
  <c r="GX42" i="24"/>
  <c r="HM40" i="24"/>
  <c r="FR38" i="24"/>
  <c r="BN27" i="24"/>
  <c r="CT23" i="24"/>
  <c r="AR21" i="24"/>
  <c r="BJ19" i="24"/>
  <c r="DQ17" i="24"/>
  <c r="BG16" i="24"/>
  <c r="EV12" i="24"/>
  <c r="HT5" i="24"/>
  <c r="BN12" i="24"/>
  <c r="DO4" i="24"/>
  <c r="DP46" i="24"/>
  <c r="EV15" i="24"/>
  <c r="BN22" i="24"/>
  <c r="GX10" i="24"/>
  <c r="DI57" i="24"/>
  <c r="DO53" i="24"/>
  <c r="DO49" i="24"/>
  <c r="CT47" i="24"/>
  <c r="FK44" i="24"/>
  <c r="FS42" i="24"/>
  <c r="FR40" i="24"/>
  <c r="EV38" i="24"/>
  <c r="BM27" i="24"/>
  <c r="BG19" i="24"/>
  <c r="DP17" i="24"/>
  <c r="EV13" i="24"/>
  <c r="FS8" i="24"/>
  <c r="DO48" i="24"/>
  <c r="DL14" i="24"/>
  <c r="FQ9" i="24"/>
  <c r="CT57" i="24"/>
  <c r="CT53" i="24"/>
  <c r="DL49" i="24"/>
  <c r="HM46" i="24"/>
  <c r="EV44" i="24"/>
  <c r="FR42" i="24"/>
  <c r="FQ40" i="24"/>
  <c r="HU37" i="24"/>
  <c r="BJ27" i="24"/>
  <c r="BJ23" i="24"/>
  <c r="DP20" i="24"/>
  <c r="FR18" i="24"/>
  <c r="CT17" i="24"/>
  <c r="HS15" i="24"/>
  <c r="FS14" i="24"/>
  <c r="DQ13" i="24"/>
  <c r="DI12" i="24"/>
  <c r="BN11" i="24"/>
  <c r="BG10" i="24"/>
  <c r="FR8" i="24"/>
  <c r="DO7" i="24"/>
  <c r="GX5" i="24"/>
  <c r="FK4" i="24"/>
  <c r="DI51" i="24"/>
  <c r="BN20" i="24"/>
  <c r="HM10" i="24"/>
  <c r="CT48" i="24"/>
  <c r="DI14" i="24"/>
  <c r="DQ56" i="24"/>
  <c r="FS51" i="24"/>
  <c r="FQ48" i="24"/>
  <c r="FQ46" i="24"/>
  <c r="DQ44" i="24"/>
  <c r="FQ42" i="24"/>
  <c r="FN40" i="24"/>
  <c r="HP37" i="24"/>
  <c r="BN26" i="24"/>
  <c r="BG23" i="24"/>
  <c r="DO20" i="24"/>
  <c r="FQ18" i="24"/>
  <c r="BO17" i="24"/>
  <c r="HP15" i="24"/>
  <c r="FN14" i="24"/>
  <c r="DP13" i="24"/>
  <c r="AR11" i="24"/>
  <c r="FK8" i="24"/>
  <c r="HU36" i="24"/>
  <c r="HT11" i="24"/>
  <c r="DL56" i="24"/>
  <c r="FR51" i="24"/>
  <c r="DQ48" i="24"/>
  <c r="FN46" i="24"/>
  <c r="DL44" i="24"/>
  <c r="EV42" i="24"/>
  <c r="FK40" i="24"/>
  <c r="HM37" i="24"/>
  <c r="BM26" i="24"/>
  <c r="AR23" i="24"/>
  <c r="CT20" i="24"/>
  <c r="FN18" i="24"/>
  <c r="BJ17" i="24"/>
  <c r="FR15" i="24"/>
  <c r="FK14" i="24"/>
  <c r="DO13" i="24"/>
  <c r="BM12" i="24"/>
  <c r="HU10" i="24"/>
  <c r="HS9" i="24"/>
  <c r="EV8" i="24"/>
  <c r="DI7" i="24"/>
  <c r="FR5" i="24"/>
  <c r="DL4" i="24"/>
  <c r="FQ15" i="24"/>
  <c r="BJ12" i="24"/>
  <c r="HP9" i="24"/>
  <c r="HS6" i="24"/>
  <c r="CT51" i="24"/>
  <c r="DQ15" i="24"/>
  <c r="DI56" i="24"/>
  <c r="DQ51" i="24"/>
  <c r="DP48" i="24"/>
  <c r="FK46" i="24"/>
  <c r="DI44" i="24"/>
  <c r="DQ42" i="24"/>
  <c r="HT39" i="24"/>
  <c r="GX37" i="24"/>
  <c r="AR26" i="24"/>
  <c r="DL22" i="24"/>
  <c r="BO20" i="24"/>
  <c r="FK18" i="24"/>
  <c r="BG17" i="24"/>
  <c r="EV14" i="24"/>
  <c r="CT13" i="24"/>
  <c r="HP10" i="24"/>
  <c r="DQ8" i="24"/>
  <c r="FN5" i="24"/>
  <c r="FQ54" i="24"/>
  <c r="FS50" i="24"/>
  <c r="HU47" i="24"/>
  <c r="DL46" i="24"/>
  <c r="FR43" i="24"/>
  <c r="HP41" i="24"/>
  <c r="FR39" i="24"/>
  <c r="HM36" i="24"/>
  <c r="BM25" i="24"/>
  <c r="BM22" i="24"/>
  <c r="FS19" i="24"/>
  <c r="DL18" i="24"/>
  <c r="FN16" i="24"/>
  <c r="DP15" i="24"/>
  <c r="BN14" i="24"/>
  <c r="AR13" i="24"/>
  <c r="HS11" i="24"/>
  <c r="FS10" i="24"/>
  <c r="FN9" i="24"/>
  <c r="DI8" i="24"/>
  <c r="FR6" i="24"/>
  <c r="DQ5" i="24"/>
  <c r="AR10" i="24"/>
  <c r="BY5" i="24" a="1"/>
  <c r="BY5" i="24" s="1"/>
  <c r="BT5" i="24" a="1"/>
  <c r="BT5" i="24" s="1"/>
  <c r="BO5" i="24" a="1"/>
  <c r="BO5" i="24" s="1"/>
  <c r="W25" i="24"/>
  <c r="X25" i="24"/>
  <c r="E51" i="24"/>
  <c r="AH13" i="24"/>
  <c r="U36" i="24"/>
  <c r="AH18" i="24"/>
  <c r="AH19" i="24" s="1"/>
  <c r="M15" i="24"/>
  <c r="AH17" i="24"/>
  <c r="AH14" i="24"/>
  <c r="I19" i="24"/>
  <c r="AC18" i="24" s="1"/>
  <c r="X16" i="24"/>
  <c r="BJ5" i="24" s="1" a="1"/>
  <c r="BJ5" i="24" s="1"/>
  <c r="W16" i="24"/>
  <c r="BE5" i="24" s="1" a="1"/>
  <c r="BE5" i="24" s="1"/>
  <c r="V16" i="24"/>
  <c r="AZ5" i="24" s="1" a="1"/>
  <c r="AZ5" i="24" s="1"/>
  <c r="D12" i="24"/>
  <c r="N535" i="22"/>
  <c r="N536" i="22" s="1"/>
  <c r="N537" i="22" s="1"/>
  <c r="N538" i="22" s="1"/>
  <c r="N539" i="22" s="1"/>
  <c r="N540" i="22" s="1"/>
  <c r="N541" i="22" s="1"/>
  <c r="N542" i="22" s="1"/>
  <c r="N543" i="22" s="1"/>
  <c r="M518" i="22"/>
  <c r="M519" i="22" s="1"/>
  <c r="M520" i="22" s="1"/>
  <c r="M521" i="22" s="1"/>
  <c r="M522" i="22" s="1"/>
  <c r="M523" i="22" s="1"/>
  <c r="M524" i="22" s="1"/>
  <c r="M525" i="22" s="1"/>
  <c r="M526" i="22" s="1"/>
  <c r="M527" i="22" s="1"/>
  <c r="M528" i="22" s="1"/>
  <c r="M529" i="22" s="1"/>
  <c r="M530" i="22" s="1"/>
  <c r="M531" i="22" s="1"/>
  <c r="M532" i="22" s="1"/>
  <c r="M533" i="22" s="1"/>
  <c r="M534" i="22" s="1"/>
  <c r="M517" i="22"/>
  <c r="M516" i="22"/>
  <c r="M515" i="22"/>
  <c r="M514" i="22"/>
  <c r="M513" i="22"/>
  <c r="I508" i="22"/>
  <c r="F508" i="22"/>
  <c r="I507" i="22"/>
  <c r="F507" i="22"/>
  <c r="I506" i="22"/>
  <c r="F506" i="22"/>
  <c r="I505" i="22"/>
  <c r="F505" i="22"/>
  <c r="I504" i="22"/>
  <c r="F504" i="22"/>
  <c r="I503" i="22"/>
  <c r="F503" i="22"/>
  <c r="I502" i="22"/>
  <c r="F502" i="22"/>
  <c r="I501" i="22"/>
  <c r="F501" i="22"/>
  <c r="I500" i="22"/>
  <c r="F500" i="22"/>
  <c r="I499" i="22"/>
  <c r="F499" i="22"/>
  <c r="I498" i="22"/>
  <c r="F498" i="22"/>
  <c r="I497" i="22"/>
  <c r="F497" i="22"/>
  <c r="I496" i="22"/>
  <c r="F496" i="22"/>
  <c r="I495" i="22"/>
  <c r="F495" i="22"/>
  <c r="I494" i="22"/>
  <c r="F494" i="22"/>
  <c r="I493" i="22"/>
  <c r="F493" i="22"/>
  <c r="I492" i="22"/>
  <c r="F492" i="22"/>
  <c r="I491" i="22"/>
  <c r="F491" i="22"/>
  <c r="I490" i="22"/>
  <c r="F490" i="22"/>
  <c r="I489" i="22"/>
  <c r="F489" i="22"/>
  <c r="I488" i="22"/>
  <c r="F488" i="22"/>
  <c r="K487" i="22"/>
  <c r="I487" i="22"/>
  <c r="F487" i="22"/>
  <c r="K486" i="22"/>
  <c r="I486" i="22"/>
  <c r="F486" i="22"/>
  <c r="K485" i="22"/>
  <c r="I485" i="22"/>
  <c r="F485" i="22"/>
  <c r="K484" i="22"/>
  <c r="I484" i="22"/>
  <c r="F484" i="22"/>
  <c r="K483" i="22"/>
  <c r="I483" i="22"/>
  <c r="F483" i="22"/>
  <c r="K482" i="22"/>
  <c r="I482" i="22"/>
  <c r="F482" i="22"/>
  <c r="K481" i="22"/>
  <c r="I481" i="22"/>
  <c r="F481" i="22"/>
  <c r="K480" i="22"/>
  <c r="I480" i="22"/>
  <c r="F480" i="22"/>
  <c r="K479" i="22"/>
  <c r="I479" i="22"/>
  <c r="F479" i="22"/>
  <c r="K478" i="22"/>
  <c r="I478" i="22"/>
  <c r="F478" i="22"/>
  <c r="K477" i="22"/>
  <c r="I477" i="22"/>
  <c r="F477" i="22"/>
  <c r="K476" i="22"/>
  <c r="I476" i="22"/>
  <c r="F476" i="22"/>
  <c r="K475" i="22"/>
  <c r="I475" i="22"/>
  <c r="F475" i="22"/>
  <c r="K474" i="22"/>
  <c r="I474" i="22"/>
  <c r="F474" i="22"/>
  <c r="K473" i="22"/>
  <c r="I473" i="22"/>
  <c r="F473" i="22"/>
  <c r="G445" i="22"/>
  <c r="F445" i="22"/>
  <c r="F444" i="22"/>
  <c r="F443" i="22"/>
  <c r="F442" i="22"/>
  <c r="F441" i="22"/>
  <c r="F440" i="22"/>
  <c r="I351" i="22"/>
  <c r="G351" i="22"/>
  <c r="F351" i="22"/>
  <c r="I350" i="22"/>
  <c r="G350" i="22"/>
  <c r="F350" i="22"/>
  <c r="I349" i="22"/>
  <c r="G349" i="22"/>
  <c r="F349" i="22"/>
  <c r="I348" i="22"/>
  <c r="G348" i="22"/>
  <c r="F348" i="22"/>
  <c r="I347" i="22"/>
  <c r="G347" i="22"/>
  <c r="F347" i="22"/>
  <c r="I346" i="22"/>
  <c r="G346" i="22"/>
  <c r="F346" i="22"/>
  <c r="I345" i="22"/>
  <c r="G345" i="22"/>
  <c r="F345" i="22"/>
  <c r="I344" i="22"/>
  <c r="G344" i="22"/>
  <c r="F344" i="22"/>
  <c r="I343" i="22"/>
  <c r="G343" i="22"/>
  <c r="F343" i="22"/>
  <c r="I342" i="22"/>
  <c r="G342" i="22"/>
  <c r="F342" i="22"/>
  <c r="I341" i="22"/>
  <c r="G341" i="22"/>
  <c r="F341" i="22"/>
  <c r="I340" i="22"/>
  <c r="G340" i="22"/>
  <c r="F340" i="22"/>
  <c r="I339" i="22"/>
  <c r="G339" i="22"/>
  <c r="F339" i="22"/>
  <c r="I338" i="22"/>
  <c r="G338" i="22"/>
  <c r="F338" i="22"/>
  <c r="D338" i="22"/>
  <c r="I337" i="22"/>
  <c r="G337" i="22"/>
  <c r="F337" i="22"/>
  <c r="D337" i="22"/>
  <c r="I336" i="22"/>
  <c r="G336" i="22"/>
  <c r="F336" i="22"/>
  <c r="D336" i="22"/>
  <c r="I335" i="22"/>
  <c r="G335" i="22"/>
  <c r="F335" i="22"/>
  <c r="D335" i="22"/>
  <c r="I334" i="22"/>
  <c r="G334" i="22"/>
  <c r="F334" i="22"/>
  <c r="D334" i="22"/>
  <c r="I333" i="22"/>
  <c r="G333" i="22"/>
  <c r="F333" i="22"/>
  <c r="D333" i="22"/>
  <c r="L332" i="22"/>
  <c r="I332" i="22"/>
  <c r="G332" i="22"/>
  <c r="F332" i="22"/>
  <c r="D332" i="22"/>
  <c r="L331" i="22"/>
  <c r="I331" i="22"/>
  <c r="G331" i="22"/>
  <c r="F331" i="22"/>
  <c r="D331" i="22"/>
  <c r="L330" i="22"/>
  <c r="K330" i="22"/>
  <c r="I330" i="22"/>
  <c r="G330" i="22"/>
  <c r="F330" i="22"/>
  <c r="D330" i="22"/>
  <c r="L329" i="22"/>
  <c r="K329" i="22"/>
  <c r="I329" i="22"/>
  <c r="G329" i="22"/>
  <c r="F329" i="22"/>
  <c r="D329" i="22"/>
  <c r="L328" i="22"/>
  <c r="K328" i="22"/>
  <c r="I328" i="22"/>
  <c r="G328" i="22"/>
  <c r="F328" i="22"/>
  <c r="D328" i="22"/>
  <c r="L327" i="22"/>
  <c r="K327" i="22"/>
  <c r="I327" i="22"/>
  <c r="G327" i="22"/>
  <c r="F327" i="22"/>
  <c r="D327" i="22"/>
  <c r="L326" i="22"/>
  <c r="K326" i="22"/>
  <c r="I326" i="22"/>
  <c r="G326" i="22"/>
  <c r="F326" i="22"/>
  <c r="D326" i="22"/>
  <c r="L325" i="22"/>
  <c r="K325" i="22"/>
  <c r="I325" i="22"/>
  <c r="G325" i="22"/>
  <c r="F325" i="22"/>
  <c r="D325" i="22"/>
  <c r="L324" i="22"/>
  <c r="K324" i="22"/>
  <c r="I324" i="22"/>
  <c r="G324" i="22"/>
  <c r="F324" i="22"/>
  <c r="D324" i="22"/>
  <c r="L323" i="22"/>
  <c r="K323" i="22"/>
  <c r="I323" i="22"/>
  <c r="G323" i="22"/>
  <c r="F323" i="22"/>
  <c r="D323" i="22"/>
  <c r="L322" i="22"/>
  <c r="K322" i="22"/>
  <c r="I322" i="22"/>
  <c r="G322" i="22"/>
  <c r="F322" i="22"/>
  <c r="D322" i="22"/>
  <c r="M321" i="22"/>
  <c r="M322" i="22" s="1"/>
  <c r="M323" i="22" s="1"/>
  <c r="M324" i="22" s="1"/>
  <c r="M325" i="22" s="1"/>
  <c r="L321" i="22"/>
  <c r="K321" i="22"/>
  <c r="I321" i="22"/>
  <c r="G321" i="22"/>
  <c r="F321" i="22"/>
  <c r="D321" i="22"/>
  <c r="M320" i="22"/>
  <c r="L320" i="22"/>
  <c r="K320" i="22"/>
  <c r="I320" i="22"/>
  <c r="G320" i="22"/>
  <c r="F320" i="22"/>
  <c r="D320" i="22"/>
  <c r="M319" i="22"/>
  <c r="L319" i="22"/>
  <c r="K319" i="22"/>
  <c r="I319" i="22"/>
  <c r="G319" i="22"/>
  <c r="F319" i="22"/>
  <c r="D319" i="22"/>
  <c r="M318" i="22"/>
  <c r="L318" i="22"/>
  <c r="K318" i="22"/>
  <c r="I318" i="22"/>
  <c r="G318" i="22"/>
  <c r="F318" i="22"/>
  <c r="D318" i="22"/>
  <c r="M317" i="22"/>
  <c r="L317" i="22"/>
  <c r="K317" i="22"/>
  <c r="I317" i="22"/>
  <c r="G317" i="22"/>
  <c r="F317" i="22"/>
  <c r="D317" i="22"/>
  <c r="M316" i="22"/>
  <c r="L316" i="22"/>
  <c r="K316" i="22"/>
  <c r="I316" i="22"/>
  <c r="G316" i="22"/>
  <c r="F316" i="22"/>
  <c r="D316" i="22"/>
  <c r="I312" i="22"/>
  <c r="G312" i="22"/>
  <c r="F312" i="22"/>
  <c r="I311" i="22"/>
  <c r="G311" i="22"/>
  <c r="F311" i="22"/>
  <c r="I310" i="22"/>
  <c r="G310" i="22"/>
  <c r="F310" i="22"/>
  <c r="I309" i="22"/>
  <c r="G309" i="22"/>
  <c r="F309" i="22"/>
  <c r="I308" i="22"/>
  <c r="G308" i="22"/>
  <c r="F308" i="22"/>
  <c r="I307" i="22"/>
  <c r="G307" i="22"/>
  <c r="F307" i="22"/>
  <c r="I306" i="22"/>
  <c r="G306" i="22"/>
  <c r="F306" i="22"/>
  <c r="I305" i="22"/>
  <c r="G305" i="22"/>
  <c r="F305" i="22"/>
  <c r="I304" i="22"/>
  <c r="G304" i="22"/>
  <c r="F304" i="22"/>
  <c r="I303" i="22"/>
  <c r="G303" i="22"/>
  <c r="F303" i="22"/>
  <c r="I302" i="22"/>
  <c r="G302" i="22"/>
  <c r="F302" i="22"/>
  <c r="I301" i="22"/>
  <c r="G301" i="22"/>
  <c r="F301" i="22"/>
  <c r="I300" i="22"/>
  <c r="G300" i="22"/>
  <c r="F300" i="22"/>
  <c r="I299" i="22"/>
  <c r="G299" i="22"/>
  <c r="F299" i="22"/>
  <c r="D299" i="22"/>
  <c r="I298" i="22"/>
  <c r="G298" i="22"/>
  <c r="F298" i="22"/>
  <c r="D298" i="22"/>
  <c r="I297" i="22"/>
  <c r="G297" i="22"/>
  <c r="F297" i="22"/>
  <c r="D297" i="22"/>
  <c r="I296" i="22"/>
  <c r="G296" i="22"/>
  <c r="F296" i="22"/>
  <c r="D296" i="22"/>
  <c r="I295" i="22"/>
  <c r="G295" i="22"/>
  <c r="F295" i="22"/>
  <c r="D295" i="22"/>
  <c r="I294" i="22"/>
  <c r="G294" i="22"/>
  <c r="F294" i="22"/>
  <c r="D294" i="22"/>
  <c r="L293" i="22"/>
  <c r="I293" i="22"/>
  <c r="G293" i="22"/>
  <c r="F293" i="22"/>
  <c r="D293" i="22"/>
  <c r="L292" i="22"/>
  <c r="I292" i="22"/>
  <c r="G292" i="22"/>
  <c r="F292" i="22"/>
  <c r="D292" i="22"/>
  <c r="L291" i="22"/>
  <c r="K291" i="22"/>
  <c r="I291" i="22"/>
  <c r="G291" i="22"/>
  <c r="F291" i="22"/>
  <c r="D291" i="22"/>
  <c r="L290" i="22"/>
  <c r="K290" i="22"/>
  <c r="I290" i="22"/>
  <c r="G290" i="22"/>
  <c r="F290" i="22"/>
  <c r="D290" i="22"/>
  <c r="L289" i="22"/>
  <c r="K289" i="22"/>
  <c r="I289" i="22"/>
  <c r="G289" i="22"/>
  <c r="F289" i="22"/>
  <c r="D289" i="22"/>
  <c r="L288" i="22"/>
  <c r="K288" i="22"/>
  <c r="I288" i="22"/>
  <c r="G288" i="22"/>
  <c r="F288" i="22"/>
  <c r="D288" i="22"/>
  <c r="L287" i="22"/>
  <c r="K287" i="22"/>
  <c r="I287" i="22"/>
  <c r="G287" i="22"/>
  <c r="F287" i="22"/>
  <c r="D287" i="22"/>
  <c r="L286" i="22"/>
  <c r="K286" i="22"/>
  <c r="I286" i="22"/>
  <c r="G286" i="22"/>
  <c r="F286" i="22"/>
  <c r="D286" i="22"/>
  <c r="L285" i="22"/>
  <c r="K285" i="22"/>
  <c r="I285" i="22"/>
  <c r="G285" i="22"/>
  <c r="F285" i="22"/>
  <c r="D285" i="22"/>
  <c r="L284" i="22"/>
  <c r="K284" i="22"/>
  <c r="I284" i="22"/>
  <c r="G284" i="22"/>
  <c r="F284" i="22"/>
  <c r="D284" i="22"/>
  <c r="L283" i="22"/>
  <c r="K283" i="22"/>
  <c r="I283" i="22"/>
  <c r="G283" i="22"/>
  <c r="F283" i="22"/>
  <c r="D283" i="22"/>
  <c r="M282" i="22"/>
  <c r="M283" i="22" s="1"/>
  <c r="M284" i="22" s="1"/>
  <c r="M285" i="22" s="1"/>
  <c r="M286" i="22" s="1"/>
  <c r="L282" i="22"/>
  <c r="K282" i="22"/>
  <c r="I282" i="22"/>
  <c r="G282" i="22"/>
  <c r="F282" i="22"/>
  <c r="D282" i="22"/>
  <c r="M281" i="22"/>
  <c r="L281" i="22"/>
  <c r="K281" i="22"/>
  <c r="I281" i="22"/>
  <c r="G281" i="22"/>
  <c r="F281" i="22"/>
  <c r="D281" i="22"/>
  <c r="M280" i="22"/>
  <c r="L280" i="22"/>
  <c r="K280" i="22"/>
  <c r="I280" i="22"/>
  <c r="G280" i="22"/>
  <c r="F280" i="22"/>
  <c r="D280" i="22"/>
  <c r="M279" i="22"/>
  <c r="L279" i="22"/>
  <c r="K279" i="22"/>
  <c r="I279" i="22"/>
  <c r="G279" i="22"/>
  <c r="F279" i="22"/>
  <c r="D279" i="22"/>
  <c r="M278" i="22"/>
  <c r="L278" i="22"/>
  <c r="K278" i="22"/>
  <c r="I278" i="22"/>
  <c r="G278" i="22"/>
  <c r="F278" i="22"/>
  <c r="D278" i="22"/>
  <c r="M277" i="22"/>
  <c r="L277" i="22"/>
  <c r="K277" i="22"/>
  <c r="I277" i="22"/>
  <c r="G277" i="22"/>
  <c r="F277" i="22"/>
  <c r="D277" i="22"/>
  <c r="I273" i="22"/>
  <c r="F273" i="22"/>
  <c r="I272" i="22"/>
  <c r="F272" i="22"/>
  <c r="I271" i="22"/>
  <c r="F271" i="22"/>
  <c r="I270" i="22"/>
  <c r="F270" i="22"/>
  <c r="I269" i="22"/>
  <c r="F269" i="22"/>
  <c r="I268" i="22"/>
  <c r="F268" i="22"/>
  <c r="I267" i="22"/>
  <c r="F267" i="22"/>
  <c r="I266" i="22"/>
  <c r="F266" i="22"/>
  <c r="I265" i="22"/>
  <c r="F265" i="22"/>
  <c r="I264" i="22"/>
  <c r="F264" i="22"/>
  <c r="I263" i="22"/>
  <c r="F263" i="22"/>
  <c r="I262" i="22"/>
  <c r="F262" i="22"/>
  <c r="I261" i="22"/>
  <c r="F261" i="22"/>
  <c r="I260" i="22"/>
  <c r="F260" i="22"/>
  <c r="D260" i="22"/>
  <c r="I259" i="22"/>
  <c r="F259" i="22"/>
  <c r="D259" i="22"/>
  <c r="I258" i="22"/>
  <c r="F258" i="22"/>
  <c r="D258" i="22"/>
  <c r="I257" i="22"/>
  <c r="F257" i="22"/>
  <c r="D257" i="22"/>
  <c r="I256" i="22"/>
  <c r="F256" i="22"/>
  <c r="D256" i="22"/>
  <c r="I255" i="22"/>
  <c r="F255" i="22"/>
  <c r="D255" i="22"/>
  <c r="L254" i="22"/>
  <c r="I254" i="22"/>
  <c r="F254" i="22"/>
  <c r="D254" i="22"/>
  <c r="L253" i="22"/>
  <c r="I253" i="22"/>
  <c r="F253" i="22"/>
  <c r="D253" i="22"/>
  <c r="L252" i="22"/>
  <c r="K252" i="22"/>
  <c r="I252" i="22"/>
  <c r="F252" i="22"/>
  <c r="D252" i="22"/>
  <c r="L251" i="22"/>
  <c r="K251" i="22"/>
  <c r="I251" i="22"/>
  <c r="F251" i="22"/>
  <c r="D251" i="22"/>
  <c r="L250" i="22"/>
  <c r="K250" i="22"/>
  <c r="I250" i="22"/>
  <c r="F250" i="22"/>
  <c r="D250" i="22"/>
  <c r="L249" i="22"/>
  <c r="K249" i="22"/>
  <c r="I249" i="22"/>
  <c r="F249" i="22"/>
  <c r="D249" i="22"/>
  <c r="L248" i="22"/>
  <c r="K248" i="22"/>
  <c r="I248" i="22"/>
  <c r="F248" i="22"/>
  <c r="D248" i="22"/>
  <c r="L247" i="22"/>
  <c r="K247" i="22"/>
  <c r="I247" i="22"/>
  <c r="F247" i="22"/>
  <c r="D247" i="22"/>
  <c r="L246" i="22"/>
  <c r="K246" i="22"/>
  <c r="I246" i="22"/>
  <c r="F246" i="22"/>
  <c r="D246" i="22"/>
  <c r="L245" i="22"/>
  <c r="K245" i="22"/>
  <c r="I245" i="22"/>
  <c r="F245" i="22"/>
  <c r="D245" i="22"/>
  <c r="L244" i="22"/>
  <c r="K244" i="22"/>
  <c r="I244" i="22"/>
  <c r="F244" i="22"/>
  <c r="D244" i="22"/>
  <c r="M243" i="22"/>
  <c r="M244" i="22" s="1"/>
  <c r="M245" i="22" s="1"/>
  <c r="M246" i="22" s="1"/>
  <c r="M247" i="22" s="1"/>
  <c r="L243" i="22"/>
  <c r="K243" i="22"/>
  <c r="I243" i="22"/>
  <c r="F243" i="22"/>
  <c r="D243" i="22"/>
  <c r="M242" i="22"/>
  <c r="L242" i="22"/>
  <c r="K242" i="22"/>
  <c r="I242" i="22"/>
  <c r="F242" i="22"/>
  <c r="D242" i="22"/>
  <c r="M241" i="22"/>
  <c r="L241" i="22"/>
  <c r="K241" i="22"/>
  <c r="I241" i="22"/>
  <c r="F241" i="22"/>
  <c r="D241" i="22"/>
  <c r="M240" i="22"/>
  <c r="L240" i="22"/>
  <c r="K240" i="22"/>
  <c r="I240" i="22"/>
  <c r="F240" i="22"/>
  <c r="D240" i="22"/>
  <c r="M239" i="22"/>
  <c r="L239" i="22"/>
  <c r="K239" i="22"/>
  <c r="I239" i="22"/>
  <c r="F239" i="22"/>
  <c r="D239" i="22"/>
  <c r="M238" i="22"/>
  <c r="L238" i="22"/>
  <c r="K238" i="22"/>
  <c r="I238" i="22"/>
  <c r="F238" i="22"/>
  <c r="D238" i="22"/>
  <c r="I234" i="22"/>
  <c r="F234" i="22"/>
  <c r="I233" i="22"/>
  <c r="F233" i="22"/>
  <c r="I232" i="22"/>
  <c r="F232" i="22"/>
  <c r="I231" i="22"/>
  <c r="F231" i="22"/>
  <c r="I230" i="22"/>
  <c r="F230" i="22"/>
  <c r="I229" i="22"/>
  <c r="F229" i="22"/>
  <c r="I228" i="22"/>
  <c r="F228" i="22"/>
  <c r="I227" i="22"/>
  <c r="F227" i="22"/>
  <c r="I226" i="22"/>
  <c r="F226" i="22"/>
  <c r="I225" i="22"/>
  <c r="F225" i="22"/>
  <c r="I224" i="22"/>
  <c r="F224" i="22"/>
  <c r="I223" i="22"/>
  <c r="F223" i="22"/>
  <c r="I222" i="22"/>
  <c r="F222" i="22"/>
  <c r="I221" i="22"/>
  <c r="F221" i="22"/>
  <c r="D221" i="22"/>
  <c r="I220" i="22"/>
  <c r="F220" i="22"/>
  <c r="D220" i="22"/>
  <c r="I219" i="22"/>
  <c r="F219" i="22"/>
  <c r="D219" i="22"/>
  <c r="I218" i="22"/>
  <c r="F218" i="22"/>
  <c r="D218" i="22"/>
  <c r="I217" i="22"/>
  <c r="F217" i="22"/>
  <c r="D217" i="22"/>
  <c r="I216" i="22"/>
  <c r="F216" i="22"/>
  <c r="D216" i="22"/>
  <c r="L215" i="22"/>
  <c r="I215" i="22"/>
  <c r="F215" i="22"/>
  <c r="D215" i="22"/>
  <c r="L214" i="22"/>
  <c r="I214" i="22"/>
  <c r="F214" i="22"/>
  <c r="D214" i="22"/>
  <c r="L213" i="22"/>
  <c r="K213" i="22"/>
  <c r="I213" i="22"/>
  <c r="F213" i="22"/>
  <c r="D213" i="22"/>
  <c r="L212" i="22"/>
  <c r="K212" i="22"/>
  <c r="I212" i="22"/>
  <c r="F212" i="22"/>
  <c r="D212" i="22"/>
  <c r="L211" i="22"/>
  <c r="K211" i="22"/>
  <c r="I211" i="22"/>
  <c r="F211" i="22"/>
  <c r="D211" i="22"/>
  <c r="L210" i="22"/>
  <c r="K210" i="22"/>
  <c r="I210" i="22"/>
  <c r="F210" i="22"/>
  <c r="D210" i="22"/>
  <c r="L209" i="22"/>
  <c r="K209" i="22"/>
  <c r="I209" i="22"/>
  <c r="F209" i="22"/>
  <c r="D209" i="22"/>
  <c r="L208" i="22"/>
  <c r="K208" i="22"/>
  <c r="I208" i="22"/>
  <c r="F208" i="22"/>
  <c r="D208" i="22"/>
  <c r="L207" i="22"/>
  <c r="K207" i="22"/>
  <c r="I207" i="22"/>
  <c r="F207" i="22"/>
  <c r="D207" i="22"/>
  <c r="L206" i="22"/>
  <c r="K206" i="22"/>
  <c r="I206" i="22"/>
  <c r="F206" i="22"/>
  <c r="D206" i="22"/>
  <c r="L205" i="22"/>
  <c r="K205" i="22"/>
  <c r="I205" i="22"/>
  <c r="F205" i="22"/>
  <c r="D205" i="22"/>
  <c r="M204" i="22"/>
  <c r="M205" i="22" s="1"/>
  <c r="M206" i="22" s="1"/>
  <c r="M207" i="22" s="1"/>
  <c r="M208" i="22" s="1"/>
  <c r="L204" i="22"/>
  <c r="K204" i="22"/>
  <c r="I204" i="22"/>
  <c r="F204" i="22"/>
  <c r="D204" i="22"/>
  <c r="M203" i="22"/>
  <c r="L203" i="22"/>
  <c r="K203" i="22"/>
  <c r="I203" i="22"/>
  <c r="F203" i="22"/>
  <c r="D203" i="22"/>
  <c r="M202" i="22"/>
  <c r="L202" i="22"/>
  <c r="K202" i="22"/>
  <c r="I202" i="22"/>
  <c r="F202" i="22"/>
  <c r="D202" i="22"/>
  <c r="M201" i="22"/>
  <c r="L201" i="22"/>
  <c r="K201" i="22"/>
  <c r="I201" i="22"/>
  <c r="F201" i="22"/>
  <c r="D201" i="22"/>
  <c r="M200" i="22"/>
  <c r="L200" i="22"/>
  <c r="K200" i="22"/>
  <c r="I200" i="22"/>
  <c r="F200" i="22"/>
  <c r="D200" i="22"/>
  <c r="M199" i="22"/>
  <c r="L199" i="22"/>
  <c r="K199" i="22"/>
  <c r="I199" i="22"/>
  <c r="F199" i="22"/>
  <c r="D199" i="22"/>
  <c r="I195" i="22"/>
  <c r="F195" i="22"/>
  <c r="I194" i="22"/>
  <c r="F194" i="22"/>
  <c r="I193" i="22"/>
  <c r="F193" i="22"/>
  <c r="I192" i="22"/>
  <c r="F192" i="22"/>
  <c r="I191" i="22"/>
  <c r="F191" i="22"/>
  <c r="I190" i="22"/>
  <c r="F190" i="22"/>
  <c r="I189" i="22"/>
  <c r="F189" i="22"/>
  <c r="I188" i="22"/>
  <c r="F188" i="22"/>
  <c r="I187" i="22"/>
  <c r="F187" i="22"/>
  <c r="I186" i="22"/>
  <c r="F186" i="22"/>
  <c r="I185" i="22"/>
  <c r="F185" i="22"/>
  <c r="I184" i="22"/>
  <c r="F184" i="22"/>
  <c r="I183" i="22"/>
  <c r="F183" i="22"/>
  <c r="I182" i="22"/>
  <c r="F182" i="22"/>
  <c r="D182" i="22"/>
  <c r="I181" i="22"/>
  <c r="F181" i="22"/>
  <c r="D181" i="22"/>
  <c r="I180" i="22"/>
  <c r="F180" i="22"/>
  <c r="D180" i="22"/>
  <c r="I179" i="22"/>
  <c r="F179" i="22"/>
  <c r="D179" i="22"/>
  <c r="I178" i="22"/>
  <c r="F178" i="22"/>
  <c r="D178" i="22"/>
  <c r="I177" i="22"/>
  <c r="F177" i="22"/>
  <c r="D177" i="22"/>
  <c r="L176" i="22"/>
  <c r="I176" i="22"/>
  <c r="F176" i="22"/>
  <c r="D176" i="22"/>
  <c r="L175" i="22"/>
  <c r="I175" i="22"/>
  <c r="F175" i="22"/>
  <c r="D175" i="22"/>
  <c r="L174" i="22"/>
  <c r="K174" i="22"/>
  <c r="I174" i="22"/>
  <c r="F174" i="22"/>
  <c r="D174" i="22"/>
  <c r="L173" i="22"/>
  <c r="K173" i="22"/>
  <c r="I173" i="22"/>
  <c r="F173" i="22"/>
  <c r="D173" i="22"/>
  <c r="L172" i="22"/>
  <c r="K172" i="22"/>
  <c r="I172" i="22"/>
  <c r="F172" i="22"/>
  <c r="D172" i="22"/>
  <c r="L171" i="22"/>
  <c r="K171" i="22"/>
  <c r="I171" i="22"/>
  <c r="F171" i="22"/>
  <c r="D171" i="22"/>
  <c r="L170" i="22"/>
  <c r="K170" i="22"/>
  <c r="I170" i="22"/>
  <c r="F170" i="22"/>
  <c r="D170" i="22"/>
  <c r="L169" i="22"/>
  <c r="K169" i="22"/>
  <c r="I169" i="22"/>
  <c r="F169" i="22"/>
  <c r="D169" i="22"/>
  <c r="L168" i="22"/>
  <c r="K168" i="22"/>
  <c r="I168" i="22"/>
  <c r="F168" i="22"/>
  <c r="D168" i="22"/>
  <c r="L167" i="22"/>
  <c r="K167" i="22"/>
  <c r="I167" i="22"/>
  <c r="F167" i="22"/>
  <c r="D167" i="22"/>
  <c r="L166" i="22"/>
  <c r="K166" i="22"/>
  <c r="I166" i="22"/>
  <c r="F166" i="22"/>
  <c r="D166" i="22"/>
  <c r="M165" i="22"/>
  <c r="M166" i="22" s="1"/>
  <c r="M167" i="22" s="1"/>
  <c r="M168" i="22" s="1"/>
  <c r="M169" i="22" s="1"/>
  <c r="L165" i="22"/>
  <c r="K165" i="22"/>
  <c r="I165" i="22"/>
  <c r="F165" i="22"/>
  <c r="D165" i="22"/>
  <c r="M164" i="22"/>
  <c r="L164" i="22"/>
  <c r="K164" i="22"/>
  <c r="I164" i="22"/>
  <c r="F164" i="22"/>
  <c r="D164" i="22"/>
  <c r="M163" i="22"/>
  <c r="L163" i="22"/>
  <c r="K163" i="22"/>
  <c r="I163" i="22"/>
  <c r="F163" i="22"/>
  <c r="D163" i="22"/>
  <c r="M162" i="22"/>
  <c r="L162" i="22"/>
  <c r="K162" i="22"/>
  <c r="I162" i="22"/>
  <c r="F162" i="22"/>
  <c r="D162" i="22"/>
  <c r="M161" i="22"/>
  <c r="L161" i="22"/>
  <c r="K161" i="22"/>
  <c r="I161" i="22"/>
  <c r="F161" i="22"/>
  <c r="D161" i="22"/>
  <c r="M160" i="22"/>
  <c r="L160" i="22"/>
  <c r="K160" i="22"/>
  <c r="I160" i="22"/>
  <c r="F160" i="22"/>
  <c r="D160" i="22"/>
  <c r="V27" i="24" l="1" a="1"/>
  <c r="V27" i="24" s="1"/>
  <c r="AB33" i="24" a="1"/>
  <c r="AB33" i="24" s="1"/>
  <c r="AB31" i="24" a="1"/>
  <c r="AB31" i="24" s="1"/>
  <c r="AB29" i="24" a="1"/>
  <c r="AB29" i="24" s="1"/>
  <c r="AB27" i="24" a="1"/>
  <c r="AB27" i="24" s="1"/>
  <c r="V33" i="24" a="1"/>
  <c r="V33" i="24" s="1"/>
  <c r="V31" i="24" a="1"/>
  <c r="V31" i="24" s="1"/>
  <c r="V29" i="24" a="1"/>
  <c r="V29" i="24" s="1"/>
  <c r="AA38" i="24" a="1"/>
  <c r="AA38" i="24" s="1"/>
  <c r="AN40" i="24" a="1"/>
  <c r="AN40" i="24" s="1"/>
  <c r="AN39" i="24" a="1"/>
  <c r="AN39" i="24" s="1"/>
  <c r="U40" i="24" a="1"/>
  <c r="U40" i="24" s="1"/>
  <c r="U39" i="24" a="1"/>
  <c r="U39" i="24" s="1"/>
  <c r="AN38" i="24" a="1"/>
  <c r="AN38" i="24" s="1"/>
  <c r="U38" i="24" a="1"/>
  <c r="U38" i="24" s="1"/>
  <c r="AN37" i="24" a="1"/>
  <c r="AN37" i="24" s="1"/>
  <c r="AH40" i="24" a="1"/>
  <c r="AH40" i="24" s="1"/>
  <c r="AA40" i="24" a="1"/>
  <c r="AA40" i="24" s="1"/>
  <c r="AH39" i="24" a="1"/>
  <c r="AH39" i="24" s="1"/>
  <c r="AH38" i="24" a="1"/>
  <c r="AH38" i="24" s="1"/>
  <c r="AA39" i="24" a="1"/>
  <c r="AA39" i="24" s="1"/>
  <c r="AN51" i="24" a="1"/>
  <c r="AN51" i="24" s="1"/>
  <c r="IO33" i="24"/>
  <c r="F196" i="22"/>
  <c r="D196" i="22"/>
  <c r="I196" i="22"/>
  <c r="K196" i="22"/>
  <c r="L196" i="22"/>
  <c r="F235" i="22"/>
  <c r="M196" i="22"/>
  <c r="D235" i="22"/>
  <c r="L235" i="22"/>
  <c r="I235" i="22"/>
  <c r="K235" i="22"/>
  <c r="M235" i="22"/>
  <c r="F274" i="22"/>
  <c r="I274" i="22"/>
  <c r="L274" i="22"/>
  <c r="M274" i="22"/>
  <c r="K274" i="22"/>
  <c r="D274" i="22"/>
  <c r="M352" i="22"/>
  <c r="D313" i="22"/>
  <c r="D352" i="22"/>
  <c r="F352" i="22"/>
  <c r="I352" i="22"/>
  <c r="K352" i="22"/>
  <c r="G352" i="22"/>
  <c r="L352" i="22"/>
  <c r="G313" i="22"/>
  <c r="I313" i="22"/>
  <c r="F313" i="22"/>
  <c r="K313" i="22"/>
  <c r="L313" i="22"/>
  <c r="M313" i="22"/>
  <c r="AH15" i="24"/>
  <c r="U11" i="24"/>
  <c r="Q11" i="24"/>
  <c r="Y11" i="24"/>
  <c r="I11" i="24"/>
  <c r="M11" i="24"/>
  <c r="M248" i="22"/>
  <c r="M249" i="22" s="1"/>
  <c r="M250" i="22" s="1"/>
  <c r="M251" i="22" s="1"/>
  <c r="M252" i="22" s="1"/>
  <c r="M253" i="22" s="1"/>
  <c r="M254" i="22" s="1"/>
  <c r="M255" i="22" s="1"/>
  <c r="M256" i="22" s="1"/>
  <c r="M257" i="22" s="1"/>
  <c r="M258" i="22" s="1"/>
  <c r="M259" i="22" s="1"/>
  <c r="M260" i="22" s="1"/>
  <c r="M261" i="22" s="1"/>
  <c r="M262" i="22" s="1"/>
  <c r="M263" i="22" s="1"/>
  <c r="M264" i="22" s="1"/>
  <c r="M265" i="22" s="1"/>
  <c r="M266" i="22" s="1"/>
  <c r="M267" i="22" s="1"/>
  <c r="M268" i="22" s="1"/>
  <c r="M269" i="22" s="1"/>
  <c r="M270" i="22" s="1"/>
  <c r="M326" i="22"/>
  <c r="M327" i="22" s="1"/>
  <c r="M328" i="22" s="1"/>
  <c r="M329" i="22" s="1"/>
  <c r="M330" i="22" s="1"/>
  <c r="M331" i="22" s="1"/>
  <c r="M332" i="22" s="1"/>
  <c r="M333" i="22" s="1"/>
  <c r="M334" i="22" s="1"/>
  <c r="M335" i="22" s="1"/>
  <c r="M336" i="22" s="1"/>
  <c r="M337" i="22" s="1"/>
  <c r="M338" i="22" s="1"/>
  <c r="M339" i="22" s="1"/>
  <c r="M340" i="22" s="1"/>
  <c r="M341" i="22" s="1"/>
  <c r="M342" i="22" s="1"/>
  <c r="M343" i="22" s="1"/>
  <c r="M344" i="22" s="1"/>
  <c r="M345" i="22" s="1"/>
  <c r="M346" i="22" s="1"/>
  <c r="M347" i="22" s="1"/>
  <c r="M348" i="22" s="1"/>
  <c r="M170" i="22"/>
  <c r="M171" i="22" s="1"/>
  <c r="M172" i="22" s="1"/>
  <c r="M173" i="22" s="1"/>
  <c r="M174" i="22" s="1"/>
  <c r="M175" i="22" s="1"/>
  <c r="M176" i="22" s="1"/>
  <c r="M177" i="22" s="1"/>
  <c r="M178" i="22" s="1"/>
  <c r="M179" i="22" s="1"/>
  <c r="M180" i="22" s="1"/>
  <c r="M181" i="22" s="1"/>
  <c r="M182" i="22" s="1"/>
  <c r="M183" i="22" s="1"/>
  <c r="M184" i="22" s="1"/>
  <c r="M185" i="22" s="1"/>
  <c r="M186" i="22" s="1"/>
  <c r="M187" i="22" s="1"/>
  <c r="M188" i="22" s="1"/>
  <c r="M189" i="22" s="1"/>
  <c r="M190" i="22" s="1"/>
  <c r="M191" i="22" s="1"/>
  <c r="M192" i="22" s="1"/>
  <c r="M209" i="22"/>
  <c r="M210" i="22" s="1"/>
  <c r="M211" i="22" s="1"/>
  <c r="M212" i="22" s="1"/>
  <c r="M213" i="22" s="1"/>
  <c r="M214" i="22" s="1"/>
  <c r="M215" i="22" s="1"/>
  <c r="M216" i="22" s="1"/>
  <c r="M217" i="22" s="1"/>
  <c r="M218" i="22" s="1"/>
  <c r="M219" i="22" s="1"/>
  <c r="M220" i="22" s="1"/>
  <c r="M221" i="22" s="1"/>
  <c r="M222" i="22" s="1"/>
  <c r="M223" i="22" s="1"/>
  <c r="M224" i="22" s="1"/>
  <c r="M225" i="22" s="1"/>
  <c r="M226" i="22" s="1"/>
  <c r="M227" i="22" s="1"/>
  <c r="M228" i="22" s="1"/>
  <c r="M229" i="22" s="1"/>
  <c r="M230" i="22" s="1"/>
  <c r="M231" i="22" s="1"/>
  <c r="M287" i="22"/>
  <c r="M288" i="22" s="1"/>
  <c r="M289" i="22" s="1"/>
  <c r="M290" i="22" s="1"/>
  <c r="M291" i="22" s="1"/>
  <c r="M292" i="22" s="1"/>
  <c r="M293" i="22" s="1"/>
  <c r="M294" i="22" s="1"/>
  <c r="M295" i="22" s="1"/>
  <c r="M296" i="22" s="1"/>
  <c r="M297" i="22" s="1"/>
  <c r="M298" i="22" s="1"/>
  <c r="M299" i="22" s="1"/>
  <c r="M300" i="22" s="1"/>
  <c r="M301" i="22" s="1"/>
  <c r="M302" i="22" s="1"/>
  <c r="M303" i="22" s="1"/>
  <c r="M304" i="22" s="1"/>
  <c r="M305" i="22" s="1"/>
  <c r="M306" i="22" s="1"/>
  <c r="M307" i="22" s="1"/>
  <c r="M308" i="22" s="1"/>
  <c r="M309" i="22" s="1"/>
  <c r="M535" i="22"/>
  <c r="M536" i="22" s="1"/>
  <c r="M537" i="22" s="1"/>
  <c r="M538" i="22" s="1"/>
  <c r="M539" i="22" s="1"/>
  <c r="M540" i="22" s="1"/>
  <c r="M541" i="22" s="1"/>
  <c r="M542" i="22" s="1"/>
  <c r="M543" i="22" s="1"/>
  <c r="M544" i="22" s="1"/>
  <c r="AB46" i="24" l="1"/>
  <c r="AD46" i="24" s="1"/>
  <c r="AB45" i="24"/>
  <c r="AD45" i="24" s="1"/>
  <c r="AB52" i="24"/>
  <c r="AD52" i="24" s="1"/>
  <c r="V52" i="24"/>
  <c r="AB51" i="24"/>
  <c r="AD51" i="24" s="1"/>
  <c r="AB49" i="24"/>
  <c r="AD49" i="24" s="1"/>
  <c r="AB48" i="24"/>
  <c r="AD48" i="24" s="1"/>
  <c r="AB47" i="24"/>
  <c r="AD47" i="24" s="1"/>
  <c r="T47" i="24"/>
  <c r="V47" i="24" s="1"/>
  <c r="T49" i="24"/>
  <c r="V49" i="24" s="1"/>
  <c r="T48" i="24"/>
  <c r="V48" i="24" s="1"/>
  <c r="T46" i="24"/>
  <c r="V46" i="24" s="1"/>
  <c r="T45" i="24"/>
  <c r="V45" i="24" s="1"/>
  <c r="L184" i="12" l="1"/>
  <c r="L183" i="12"/>
  <c r="L182" i="12"/>
  <c r="L181" i="12"/>
  <c r="L180" i="12"/>
  <c r="L179" i="12"/>
  <c r="L178" i="12"/>
  <c r="L177" i="12"/>
  <c r="Q15" i="24" s="1"/>
  <c r="AN34" i="24" s="1"/>
  <c r="U19" i="24" l="1"/>
  <c r="AN26" i="24" s="1"/>
  <c r="AK25" i="24" s="1" a="1"/>
  <c r="AK25" i="24" s="1"/>
  <c r="L176" i="12"/>
  <c r="L175" i="12"/>
  <c r="L174" i="12"/>
  <c r="L173" i="12"/>
  <c r="L172" i="12"/>
  <c r="L171" i="12"/>
  <c r="L170" i="12"/>
  <c r="L169" i="12"/>
  <c r="L168" i="12"/>
  <c r="L167" i="12"/>
  <c r="L166" i="12"/>
  <c r="L165" i="12"/>
  <c r="L164" i="12"/>
  <c r="L163" i="12"/>
  <c r="L162" i="12"/>
  <c r="L161" i="12"/>
  <c r="L160"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tc={AF941982-EA07-46B9-8E4A-EEA2AE327ADE}</author>
    <author>tc={6C350D04-B190-4A69-8406-478CD2E0E979}</author>
    <author>tc={06441B83-7354-462E-809B-0C167D56E072}</author>
  </authors>
  <commentList>
    <comment ref="AN30" authorId="0" shapeId="0" xr:uid="{AF941982-EA07-46B9-8E4A-EEA2AE327ADE}">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Baguettes / Sorts</t>
      </text>
    </comment>
    <comment ref="AO30" authorId="1" shapeId="0" xr:uid="{6C350D04-B190-4A69-8406-478CD2E0E979}">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Pétrif / Souffle</t>
      </text>
    </comment>
    <comment ref="S44" authorId="2" shapeId="0" xr:uid="{06441B83-7354-462E-809B-0C167D56E072}">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S : Spécialisation Guerrier / Rodeur
P : Prédilection Paladin / Cavalier</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tc={8E9F28F8-92CC-4B8E-879D-5F072CCB0D2D}</author>
  </authors>
  <commentList>
    <comment ref="U31" authorId="0" shapeId="0" xr:uid="{8E9F28F8-92CC-4B8E-879D-5F072CCB0D2D}">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2 dans les règles officielles AD&amp;D</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<sst xmlns="http://schemas.openxmlformats.org/spreadsheetml/2006/main" count="9020" uniqueCount="1894">
  <si>
    <t>Nom du joueur :</t>
  </si>
  <si>
    <t>FOR</t>
  </si>
  <si>
    <t>INT</t>
  </si>
  <si>
    <t>SAG</t>
  </si>
  <si>
    <t>DEX</t>
  </si>
  <si>
    <t>CON</t>
  </si>
  <si>
    <t>CHA</t>
  </si>
  <si>
    <t>Toucher</t>
  </si>
  <si>
    <t>Dégats</t>
  </si>
  <si>
    <t>Ajust</t>
  </si>
  <si>
    <t>Poids</t>
  </si>
  <si>
    <t>Ouvert</t>
  </si>
  <si>
    <t>portes</t>
  </si>
  <si>
    <t>Torsion</t>
  </si>
  <si>
    <t>Barreaux</t>
  </si>
  <si>
    <t>Bonus</t>
  </si>
  <si>
    <t>Talents de voleur</t>
  </si>
  <si>
    <t>Armure</t>
  </si>
  <si>
    <t>Bouclier</t>
  </si>
  <si>
    <t>Anneau</t>
  </si>
  <si>
    <t>Bracelet</t>
  </si>
  <si>
    <t>Autre</t>
  </si>
  <si>
    <t>DEXT</t>
  </si>
  <si>
    <t>CA</t>
  </si>
  <si>
    <t>Magie</t>
  </si>
  <si>
    <t>Crochetage</t>
  </si>
  <si>
    <t>Ecoute aux portes</t>
  </si>
  <si>
    <t>Escalade</t>
  </si>
  <si>
    <t>Jets de Protection</t>
  </si>
  <si>
    <t>RACE</t>
  </si>
  <si>
    <t>MAGIE</t>
  </si>
  <si>
    <t>Mort magique</t>
  </si>
  <si>
    <t>Pétrification</t>
  </si>
  <si>
    <t>Polymorphose</t>
  </si>
  <si>
    <t>Baguette</t>
  </si>
  <si>
    <t>Baton magique</t>
  </si>
  <si>
    <t>Souffle</t>
  </si>
  <si>
    <t>Sortilèges</t>
  </si>
  <si>
    <t>Vitesse</t>
  </si>
  <si>
    <t>TABLEAU DES ARMES</t>
  </si>
  <si>
    <t>TOUCHER</t>
  </si>
  <si>
    <t>DOMMAGES</t>
  </si>
  <si>
    <t>TYPE</t>
  </si>
  <si>
    <t>Lang</t>
  </si>
  <si>
    <t>Add</t>
  </si>
  <si>
    <t>Know</t>
  </si>
  <si>
    <t>Spells</t>
  </si>
  <si>
    <t>Sorts</t>
  </si>
  <si>
    <t>Niveau</t>
  </si>
  <si>
    <t>Sort</t>
  </si>
  <si>
    <t>% Echec</t>
  </si>
  <si>
    <t>aux sorts</t>
  </si>
  <si>
    <t>Jp/Sorts</t>
  </si>
  <si>
    <t>Surprise</t>
  </si>
  <si>
    <t>Ajustement</t>
  </si>
  <si>
    <t>Choc</t>
  </si>
  <si>
    <t>Metab</t>
  </si>
  <si>
    <t xml:space="preserve">% de </t>
  </si>
  <si>
    <t>Nbr Max</t>
  </si>
  <si>
    <t>Suivants</t>
  </si>
  <si>
    <t>Loyauté</t>
  </si>
  <si>
    <t>Druide</t>
  </si>
  <si>
    <t>Guerrier</t>
  </si>
  <si>
    <t>CLERC</t>
  </si>
  <si>
    <t>DRUIDE</t>
  </si>
  <si>
    <t>GUERRIER</t>
  </si>
  <si>
    <t>PALADIN</t>
  </si>
  <si>
    <t>RANGER</t>
  </si>
  <si>
    <t>MAGICIEN</t>
  </si>
  <si>
    <t>VOLEUR</t>
  </si>
  <si>
    <t>ASSASSIN</t>
  </si>
  <si>
    <t>Vétéran</t>
  </si>
  <si>
    <t>Maitre d'armes</t>
  </si>
  <si>
    <t>Heros</t>
  </si>
  <si>
    <t>Spadassin</t>
  </si>
  <si>
    <t>Myrmidon</t>
  </si>
  <si>
    <t>Champion</t>
  </si>
  <si>
    <t>Superhéros</t>
  </si>
  <si>
    <t>Seigneur</t>
  </si>
  <si>
    <t>Preux</t>
  </si>
  <si>
    <t>Protecteur</t>
  </si>
  <si>
    <t>Défenseur</t>
  </si>
  <si>
    <t>Prétorien</t>
  </si>
  <si>
    <t>Gardien</t>
  </si>
  <si>
    <t>Chevalier</t>
  </si>
  <si>
    <t>Justicier</t>
  </si>
  <si>
    <t>Paladin</t>
  </si>
  <si>
    <t>Trappeur</t>
  </si>
  <si>
    <t>Pisteur</t>
  </si>
  <si>
    <t>Eclaireur</t>
  </si>
  <si>
    <t>Chasseur</t>
  </si>
  <si>
    <t>Traqueur</t>
  </si>
  <si>
    <t>Guide</t>
  </si>
  <si>
    <t>Pionnier</t>
  </si>
  <si>
    <t>Ranger</t>
  </si>
  <si>
    <t>Chevalier Ranger</t>
  </si>
  <si>
    <t>Seigneur Ranger</t>
  </si>
  <si>
    <t>Apprenti-Sorcier</t>
  </si>
  <si>
    <t>Envoûteur</t>
  </si>
  <si>
    <t>Invocateur</t>
  </si>
  <si>
    <t>Théurgiste</t>
  </si>
  <si>
    <t>Thaumaturge</t>
  </si>
  <si>
    <t>Magicien</t>
  </si>
  <si>
    <t>Enchanteur</t>
  </si>
  <si>
    <t>Magistère</t>
  </si>
  <si>
    <t>Ensorceleur</t>
  </si>
  <si>
    <t>Nécromancien</t>
  </si>
  <si>
    <t>Sorcier</t>
  </si>
  <si>
    <t>Prestidigitateur</t>
  </si>
  <si>
    <t>Manipulateur Néophite</t>
  </si>
  <si>
    <t>Manipulateur</t>
  </si>
  <si>
    <t>Maître Manipulateur</t>
  </si>
  <si>
    <t>Cabaliste</t>
  </si>
  <si>
    <t>Visionnaire</t>
  </si>
  <si>
    <t>Fantasmiste</t>
  </si>
  <si>
    <t>Apparitioniste</t>
  </si>
  <si>
    <t>créateur</t>
  </si>
  <si>
    <t>Illusionniste</t>
  </si>
  <si>
    <t>Vagabond</t>
  </si>
  <si>
    <t>Pied-Feutré</t>
  </si>
  <si>
    <t>Vide-Gousset</t>
  </si>
  <si>
    <t>Cambrioleur</t>
  </si>
  <si>
    <t>Monte en l'air</t>
  </si>
  <si>
    <t>Escroc</t>
  </si>
  <si>
    <t>Truand</t>
  </si>
  <si>
    <t>Faussaire</t>
  </si>
  <si>
    <t>Voleur</t>
  </si>
  <si>
    <t>Maitre Voleur</t>
  </si>
  <si>
    <t>Bravo</t>
  </si>
  <si>
    <t>Coupe-Jarret</t>
  </si>
  <si>
    <t>Etrangleur</t>
  </si>
  <si>
    <t>Meurtrier</t>
  </si>
  <si>
    <t>Thug</t>
  </si>
  <si>
    <t>Tueur</t>
  </si>
  <si>
    <t>Egorgeur</t>
  </si>
  <si>
    <t>Executeur</t>
  </si>
  <si>
    <t>Assassin</t>
  </si>
  <si>
    <t>Expet Assassin</t>
  </si>
  <si>
    <t>Haut Assassin</t>
  </si>
  <si>
    <t>Chef Assassin</t>
  </si>
  <si>
    <t>Maitre Assassin</t>
  </si>
  <si>
    <t>Maitre de Guilde des Assassins</t>
  </si>
  <si>
    <t>Grand père des Assassins</t>
  </si>
  <si>
    <t>Acolyte</t>
  </si>
  <si>
    <t>Adepte</t>
  </si>
  <si>
    <t>Prêtre</t>
  </si>
  <si>
    <t>Curé</t>
  </si>
  <si>
    <t>Parfait</t>
  </si>
  <si>
    <t>Evêque</t>
  </si>
  <si>
    <t>Lama</t>
  </si>
  <si>
    <t>Patriarche</t>
  </si>
  <si>
    <t>Grand Prêtre</t>
  </si>
  <si>
    <t>Novice</t>
  </si>
  <si>
    <t>Hermine</t>
  </si>
  <si>
    <t>Initié du 1er Cercle</t>
  </si>
  <si>
    <t>Initié du 2ème Cercle</t>
  </si>
  <si>
    <t>Initié du 3ème Cercle</t>
  </si>
  <si>
    <t>Initié du 4ème Cercle</t>
  </si>
  <si>
    <t>Initié du 5ème Cercle</t>
  </si>
  <si>
    <t>Initié du 6ème Cercle</t>
  </si>
  <si>
    <t>Initié du 7ème Cercle</t>
  </si>
  <si>
    <t>Initié du 8ème Cercle</t>
  </si>
  <si>
    <t>Initié du 9ème Cercle</t>
  </si>
  <si>
    <t>Archi Druide</t>
  </si>
  <si>
    <t>Grand Druide</t>
  </si>
  <si>
    <t>Intelligence</t>
  </si>
  <si>
    <t>Langue</t>
  </si>
  <si>
    <t>Min</t>
  </si>
  <si>
    <t>Max</t>
  </si>
  <si>
    <t>Sagesse</t>
  </si>
  <si>
    <t>jp</t>
  </si>
  <si>
    <t>Dextérité</t>
  </si>
  <si>
    <t>Constitution</t>
  </si>
  <si>
    <t>PV</t>
  </si>
  <si>
    <t>Resist trauma</t>
  </si>
  <si>
    <t>Ressurect</t>
  </si>
  <si>
    <t>Charisme</t>
  </si>
  <si>
    <t>Nb Suivant</t>
  </si>
  <si>
    <t>Reaction</t>
  </si>
  <si>
    <t>Force</t>
  </si>
  <si>
    <t>Degats</t>
  </si>
  <si>
    <t>1 - 2</t>
  </si>
  <si>
    <t>1 - 3</t>
  </si>
  <si>
    <t>1 - 4</t>
  </si>
  <si>
    <t>1 - 5</t>
  </si>
  <si>
    <t>Aucune</t>
  </si>
  <si>
    <t>Lorica</t>
  </si>
  <si>
    <t>Metal</t>
  </si>
  <si>
    <t>Cuir</t>
  </si>
  <si>
    <t>ARMES</t>
  </si>
  <si>
    <t>Baton</t>
  </si>
  <si>
    <t>1D6</t>
  </si>
  <si>
    <t>Cimeterre</t>
  </si>
  <si>
    <t>1D8</t>
  </si>
  <si>
    <t>Couteau de Brèche</t>
  </si>
  <si>
    <t>1D10</t>
  </si>
  <si>
    <t>Dague</t>
  </si>
  <si>
    <t>1D4</t>
  </si>
  <si>
    <t>Epée Batarde</t>
  </si>
  <si>
    <t>Epée Courte</t>
  </si>
  <si>
    <t>Epée Large</t>
  </si>
  <si>
    <t>Epée Longue</t>
  </si>
  <si>
    <t xml:space="preserve">Etoile du matin </t>
  </si>
  <si>
    <t>Fléau d'Arme</t>
  </si>
  <si>
    <t>2D4</t>
  </si>
  <si>
    <t>Guisarme</t>
  </si>
  <si>
    <t>Hache d'arme</t>
  </si>
  <si>
    <t>3D8</t>
  </si>
  <si>
    <t>Hallebarde</t>
  </si>
  <si>
    <t>2D6</t>
  </si>
  <si>
    <t>Masse d'Arme</t>
  </si>
  <si>
    <t>Trident</t>
  </si>
  <si>
    <t>3D4</t>
  </si>
  <si>
    <t>ARMES DE JET</t>
  </si>
  <si>
    <t>Arc</t>
  </si>
  <si>
    <t>Arbalette</t>
  </si>
  <si>
    <t>Flechette</t>
  </si>
  <si>
    <t>Fronde</t>
  </si>
  <si>
    <t>Hache de jet</t>
  </si>
  <si>
    <t>Javelot</t>
  </si>
  <si>
    <t>Epée Espadon</t>
  </si>
  <si>
    <t>3D6</t>
  </si>
  <si>
    <t>Fouet</t>
  </si>
  <si>
    <t>cadence</t>
  </si>
  <si>
    <t>NON</t>
  </si>
  <si>
    <t>1 à 4 sur 1D6</t>
  </si>
  <si>
    <t>1 à 3 sur 1D6</t>
  </si>
  <si>
    <t>Aucun</t>
  </si>
  <si>
    <t>Repérage et 
Désamorçage</t>
  </si>
  <si>
    <t>Déplacement
silencieux</t>
  </si>
  <si>
    <t>Dissimulation 
dans l'ombre</t>
  </si>
  <si>
    <t>Bouclier bois</t>
  </si>
  <si>
    <t>Bouclier cuir</t>
  </si>
  <si>
    <t>Bouclier métal</t>
  </si>
  <si>
    <t>Objet</t>
  </si>
  <si>
    <t>Tissu</t>
  </si>
  <si>
    <t>Protect</t>
  </si>
  <si>
    <t>FACE</t>
  </si>
  <si>
    <t>X2</t>
  </si>
  <si>
    <t>X3</t>
  </si>
  <si>
    <t>X4</t>
  </si>
  <si>
    <t>X5</t>
  </si>
  <si>
    <t>Marteau de Lancer</t>
  </si>
  <si>
    <t>FOR/SAG &gt;15</t>
  </si>
  <si>
    <t>FOR/INT/SAG &gt; 15</t>
  </si>
  <si>
    <t>INTEL &gt; 15</t>
  </si>
  <si>
    <t>DEXT &gt; 15</t>
  </si>
  <si>
    <t>ILLUSIONNISTE</t>
  </si>
  <si>
    <t>Clerc</t>
  </si>
  <si>
    <t>Encombrement</t>
  </si>
  <si>
    <t>Talent</t>
  </si>
  <si>
    <t>Armurier</t>
  </si>
  <si>
    <t>Bijoutier</t>
  </si>
  <si>
    <t>Exportateur</t>
  </si>
  <si>
    <t>Constructeur de navires</t>
  </si>
  <si>
    <t>Ebéniste/Sclupteur</t>
  </si>
  <si>
    <t>Eleveur</t>
  </si>
  <si>
    <t>Peintre</t>
  </si>
  <si>
    <t>Fabricant arc/flèches</t>
  </si>
  <si>
    <t>Fermier</t>
  </si>
  <si>
    <t>Garde forestier</t>
  </si>
  <si>
    <t>Joueur profesionnel</t>
  </si>
  <si>
    <t>Maçon/Charpentier</t>
  </si>
  <si>
    <t>Matelot</t>
  </si>
  <si>
    <t>Mineur</t>
  </si>
  <si>
    <t>Tailleur</t>
  </si>
  <si>
    <t>Jongleur</t>
  </si>
  <si>
    <t>Conteur</t>
  </si>
  <si>
    <t>Sortilèges de Niveau 1</t>
  </si>
  <si>
    <t>INFORMATIONS DIVERSES</t>
  </si>
  <si>
    <t>Dieux</t>
  </si>
  <si>
    <t>Aurile Déesse de l'hiver</t>
  </si>
  <si>
    <t>Azouth le Magicien</t>
  </si>
  <si>
    <t>Baine Dieu de la guerre</t>
  </si>
  <si>
    <t>Beshaba Déesse de Duperie</t>
  </si>
  <si>
    <t>Bhaal Dieu du Meurtre</t>
  </si>
  <si>
    <t>Chauntéa Déesse de la vie</t>
  </si>
  <si>
    <t>Cyric Dieu du Mensonge</t>
  </si>
  <si>
    <t>Déneïr Dieu de l'Ecriture</t>
  </si>
  <si>
    <t>Eldath Déesse de la Paix</t>
  </si>
  <si>
    <t>Gargauth Dieu de la Trahison</t>
  </si>
  <si>
    <t>Gond Dieu de l'Artisanat</t>
  </si>
  <si>
    <t>Heaume Dieu Protecteur</t>
  </si>
  <si>
    <t>Ilmater Dieu de l'Endurance</t>
  </si>
  <si>
    <t>Kélemvor Dieu des Morts</t>
  </si>
  <si>
    <t>Lathandre Dieu de l'Aube</t>
  </si>
  <si>
    <t>Leira Déesse de l'illusion</t>
  </si>
  <si>
    <t>Lliira Déesse de la Joie</t>
  </si>
  <si>
    <t>Loviatar Déesse de la Torture</t>
  </si>
  <si>
    <t>Mailikki Déesse des Forêts</t>
  </si>
  <si>
    <t>Malar Dieu de la Chasse</t>
  </si>
  <si>
    <t>Mask Dieu des Voleurs</t>
  </si>
  <si>
    <t>Milil Dieu des Chants</t>
  </si>
  <si>
    <t>Myrkul Dieu de la Mort</t>
  </si>
  <si>
    <t>Mystra Déesse de la Magie</t>
  </si>
  <si>
    <t>Nobanion Dieu des Animaux</t>
  </si>
  <si>
    <t>Oghma Dieu ddu Savoir</t>
  </si>
  <si>
    <t>Savras Dieu du Destin</t>
  </si>
  <si>
    <t>Séluné Déesse de la Lune</t>
  </si>
  <si>
    <t>Shar Déesse des Ténèbres</t>
  </si>
  <si>
    <t>Sunie Déesse de l'Amour</t>
  </si>
  <si>
    <t>Sylvanus Dieu de la Nature</t>
  </si>
  <si>
    <t>Talona Déesse du Poison</t>
  </si>
  <si>
    <t>Talos Dieu des Tempêtes</t>
  </si>
  <si>
    <t>Tempus Dieu de la Guerre</t>
  </si>
  <si>
    <t>Tiamat Déesse de Dragons</t>
  </si>
  <si>
    <t>Torm Dieu du Courage</t>
  </si>
  <si>
    <t>Tymora Déesse de la Chance</t>
  </si>
  <si>
    <t>Tyr Dieu de la Justice</t>
  </si>
  <si>
    <t>Umberlie Déesse des Mers</t>
  </si>
  <si>
    <t>Waukyne Déesse du Commerce</t>
  </si>
  <si>
    <t>CB</t>
  </si>
  <si>
    <t>CM</t>
  </si>
  <si>
    <t>CN</t>
  </si>
  <si>
    <t>LB</t>
  </si>
  <si>
    <t>LM</t>
  </si>
  <si>
    <t>LN</t>
  </si>
  <si>
    <t>N</t>
  </si>
  <si>
    <t>NB</t>
  </si>
  <si>
    <t>NM</t>
  </si>
  <si>
    <t>Alignement</t>
  </si>
  <si>
    <t>Bracelet de défense CA8</t>
  </si>
  <si>
    <t>Bracelet de défense CA7</t>
  </si>
  <si>
    <t>Bracelet de défense CA6</t>
  </si>
  <si>
    <t>Bracelet de défense CA5</t>
  </si>
  <si>
    <t>Bracelet de défense CA4</t>
  </si>
  <si>
    <t>Bracelet de défense CA3</t>
  </si>
  <si>
    <t>Bracelet de défense CA2</t>
  </si>
  <si>
    <t>Cette feuille reprend quasiment toutes les informations présentes dans la feuille originale de AD&amp;D.</t>
  </si>
  <si>
    <t>LISTE DES SAISIES MANUELLES :</t>
  </si>
  <si>
    <t>La feuille est paramétrée pour une impression pleine page en Recto/Verrso</t>
  </si>
  <si>
    <t>Toutes les Cellules en :</t>
  </si>
  <si>
    <t>NOUVEAUTES :</t>
  </si>
  <si>
    <t>MOINE</t>
  </si>
  <si>
    <t>BARDE</t>
  </si>
  <si>
    <t>Titre</t>
  </si>
  <si>
    <t>Frère</t>
  </si>
  <si>
    <t>Disciple</t>
  </si>
  <si>
    <t>Immaculé</t>
  </si>
  <si>
    <t>Maître</t>
  </si>
  <si>
    <t>Maître Supérieur</t>
  </si>
  <si>
    <t>Maître des Dragons</t>
  </si>
  <si>
    <t>Maître du Vent du Nord</t>
  </si>
  <si>
    <t>Maître du Vent d'Ouest</t>
  </si>
  <si>
    <t>Maître du Vent du Sud</t>
  </si>
  <si>
    <t>Maître du Vent d'Est</t>
  </si>
  <si>
    <t>Maitre de l'Hiver</t>
  </si>
  <si>
    <t>Maitre de l'Automne</t>
  </si>
  <si>
    <t>Maitre de l'Eté</t>
  </si>
  <si>
    <t>Maître du Printemps</t>
  </si>
  <si>
    <t>Grand Maître des Fleurs</t>
  </si>
  <si>
    <t>Chansonnier</t>
  </si>
  <si>
    <t>Aède</t>
  </si>
  <si>
    <t>Coryphée</t>
  </si>
  <si>
    <t>Scalde</t>
  </si>
  <si>
    <t>Citharède</t>
  </si>
  <si>
    <t>Trouvère</t>
  </si>
  <si>
    <t>Troubadour</t>
  </si>
  <si>
    <t>Ménestrel</t>
  </si>
  <si>
    <t>Minnesinger</t>
  </si>
  <si>
    <t>Rhapsode</t>
  </si>
  <si>
    <t>Barde</t>
  </si>
  <si>
    <t>Maître Barde</t>
  </si>
  <si>
    <t>Sentinelle</t>
  </si>
  <si>
    <t>+2</t>
  </si>
  <si>
    <t>+4</t>
  </si>
  <si>
    <t>Paralyse / Poison / Mort Magique</t>
  </si>
  <si>
    <t>Pétrification  Polymorphose</t>
  </si>
  <si>
    <t>Baguette / Baton magique</t>
  </si>
  <si>
    <t>Sortilège</t>
  </si>
  <si>
    <t>Haut Druide</t>
  </si>
  <si>
    <t>Druide Hiérophante</t>
  </si>
  <si>
    <t>Hiérophante Initié</t>
  </si>
  <si>
    <t>Hiérophante Adepte</t>
  </si>
  <si>
    <t>Maîtr Hiérophante</t>
  </si>
  <si>
    <t>Hiérophante Numineux</t>
  </si>
  <si>
    <t>Hiérophante Mystique</t>
  </si>
  <si>
    <t>Hiérophante des Arcanes</t>
  </si>
  <si>
    <t>Hiérophante de la Cabale</t>
  </si>
  <si>
    <t>Anneau de protection</t>
  </si>
  <si>
    <t>Cape de protection</t>
  </si>
  <si>
    <t>TACO</t>
  </si>
  <si>
    <t>martiales init</t>
  </si>
  <si>
    <t>tranche niv</t>
  </si>
  <si>
    <t>1D6+1</t>
  </si>
  <si>
    <t>1D2</t>
  </si>
  <si>
    <t>Lance</t>
  </si>
  <si>
    <t>1D3</t>
  </si>
  <si>
    <t>M</t>
  </si>
  <si>
    <t>F</t>
  </si>
  <si>
    <t>Mag</t>
  </si>
  <si>
    <t>P/M</t>
  </si>
  <si>
    <t>G</t>
  </si>
  <si>
    <t>Tot</t>
  </si>
  <si>
    <t>Maîtrise</t>
  </si>
  <si>
    <t>Initiale</t>
  </si>
  <si>
    <t>Pénalité</t>
  </si>
  <si>
    <t>Total</t>
  </si>
  <si>
    <t>CADENCES</t>
  </si>
  <si>
    <t>CADENCES SPE</t>
  </si>
  <si>
    <t>S</t>
  </si>
  <si>
    <t>Mains Nues</t>
  </si>
  <si>
    <t>Spécialisation</t>
  </si>
  <si>
    <t>Tranche</t>
  </si>
  <si>
    <t>2D4+1</t>
  </si>
  <si>
    <t>4D4</t>
  </si>
  <si>
    <t>5D4</t>
  </si>
  <si>
    <t>6D4</t>
  </si>
  <si>
    <t>5D6</t>
  </si>
  <si>
    <t>8D4</t>
  </si>
  <si>
    <t>1D10+3</t>
  </si>
  <si>
    <t>Dés de Vie</t>
  </si>
  <si>
    <t>2D8</t>
  </si>
  <si>
    <t>4D8</t>
  </si>
  <si>
    <t>5D8</t>
  </si>
  <si>
    <t>6D8</t>
  </si>
  <si>
    <t>7D8</t>
  </si>
  <si>
    <t>8D8</t>
  </si>
  <si>
    <t>9D8</t>
  </si>
  <si>
    <t>10D8</t>
  </si>
  <si>
    <t>11D8</t>
  </si>
  <si>
    <t>12D8</t>
  </si>
  <si>
    <t>13D8</t>
  </si>
  <si>
    <t>14D8</t>
  </si>
  <si>
    <t>15D8</t>
  </si>
  <si>
    <t>2D10</t>
  </si>
  <si>
    <t>3D10</t>
  </si>
  <si>
    <t>4D10</t>
  </si>
  <si>
    <t>5D10</t>
  </si>
  <si>
    <t>6D10</t>
  </si>
  <si>
    <t>7D10</t>
  </si>
  <si>
    <t>8D10</t>
  </si>
  <si>
    <t>9D10</t>
  </si>
  <si>
    <t>7D10+1D6</t>
  </si>
  <si>
    <t>7D10+2D6</t>
  </si>
  <si>
    <t>7D10+3D6</t>
  </si>
  <si>
    <t>7D10+4D6</t>
  </si>
  <si>
    <t>7D10+5D6</t>
  </si>
  <si>
    <t>7D10+6D6</t>
  </si>
  <si>
    <t>7D10+7D6</t>
  </si>
  <si>
    <t>7D10+8D6</t>
  </si>
  <si>
    <t>7D10+9D6</t>
  </si>
  <si>
    <t>7D10+10D6</t>
  </si>
  <si>
    <t>7D10+11D6</t>
  </si>
  <si>
    <t>7D10+12D6</t>
  </si>
  <si>
    <t>7D10+13D6</t>
  </si>
  <si>
    <t>7D10+14D6</t>
  </si>
  <si>
    <t>7D10+14D6+1</t>
  </si>
  <si>
    <t>7D10+14D6+2</t>
  </si>
  <si>
    <t>7D10+14D6+3</t>
  </si>
  <si>
    <t>7D10+14D6+4</t>
  </si>
  <si>
    <t>7D10+14D6+5</t>
  </si>
  <si>
    <t>7D10+14D6+6</t>
  </si>
  <si>
    <t>7D10+14D6+7</t>
  </si>
  <si>
    <t>7D10+14D6+8</t>
  </si>
  <si>
    <t>7D10+14D6+9</t>
  </si>
  <si>
    <t>7D10+14D6+10</t>
  </si>
  <si>
    <t>7D10+14D6+11</t>
  </si>
  <si>
    <t>7D10+14D6+12</t>
  </si>
  <si>
    <t>9D8+2</t>
  </si>
  <si>
    <t>9D8+4</t>
  </si>
  <si>
    <t>9D8+6</t>
  </si>
  <si>
    <t>9D8+8</t>
  </si>
  <si>
    <t>9D8+10</t>
  </si>
  <si>
    <t>9D8+12</t>
  </si>
  <si>
    <t>9D8+14</t>
  </si>
  <si>
    <t>9D8+16</t>
  </si>
  <si>
    <t>9D8+18</t>
  </si>
  <si>
    <t>9D8+20</t>
  </si>
  <si>
    <t>9D8+22</t>
  </si>
  <si>
    <t>9D8+24</t>
  </si>
  <si>
    <t>9D8+26</t>
  </si>
  <si>
    <t>9D8+28</t>
  </si>
  <si>
    <t>9D8+30</t>
  </si>
  <si>
    <t>9D8+32</t>
  </si>
  <si>
    <t>9D8+34</t>
  </si>
  <si>
    <t>9D8+36</t>
  </si>
  <si>
    <t>9D8+38</t>
  </si>
  <si>
    <t>9D8+40</t>
  </si>
  <si>
    <t>9D8+42</t>
  </si>
  <si>
    <t>9D8+44</t>
  </si>
  <si>
    <t>9D8+46</t>
  </si>
  <si>
    <t>9D8+48</t>
  </si>
  <si>
    <t>9D8+50</t>
  </si>
  <si>
    <t>9D8+52</t>
  </si>
  <si>
    <t>9D8+54</t>
  </si>
  <si>
    <t>15D8+1</t>
  </si>
  <si>
    <t>15D8+2</t>
  </si>
  <si>
    <t>15D8+3</t>
  </si>
  <si>
    <t>15D8+4</t>
  </si>
  <si>
    <t>15D8+5</t>
  </si>
  <si>
    <t>15D8+6</t>
  </si>
  <si>
    <t>15D8+7</t>
  </si>
  <si>
    <t>15D8+8</t>
  </si>
  <si>
    <t>8D6</t>
  </si>
  <si>
    <t>9D6</t>
  </si>
  <si>
    <t>10D6</t>
  </si>
  <si>
    <t>9D10+3</t>
  </si>
  <si>
    <t>9D10+6</t>
  </si>
  <si>
    <t>9D10+9</t>
  </si>
  <si>
    <t>9D10+12</t>
  </si>
  <si>
    <t>9D10+15</t>
  </si>
  <si>
    <t>9D10+18</t>
  </si>
  <si>
    <t>9D10+21</t>
  </si>
  <si>
    <t>9D10+24</t>
  </si>
  <si>
    <t>9D10+27</t>
  </si>
  <si>
    <t>9D10+30</t>
  </si>
  <si>
    <t>9D10+33</t>
  </si>
  <si>
    <t>9D10+36</t>
  </si>
  <si>
    <t>9D10+39</t>
  </si>
  <si>
    <t>9D10+42</t>
  </si>
  <si>
    <t>9D10+45</t>
  </si>
  <si>
    <t>9D10+48</t>
  </si>
  <si>
    <t>9D10+51</t>
  </si>
  <si>
    <t>9D10+54</t>
  </si>
  <si>
    <t>9D10+57</t>
  </si>
  <si>
    <t>9D10+60</t>
  </si>
  <si>
    <t>9D10+63</t>
  </si>
  <si>
    <t>9D10+66</t>
  </si>
  <si>
    <t>9D10+69</t>
  </si>
  <si>
    <t>9D10+72</t>
  </si>
  <si>
    <t>9D10+75</t>
  </si>
  <si>
    <t>9D10+78</t>
  </si>
  <si>
    <t>9D10+81</t>
  </si>
  <si>
    <t>11D8+2</t>
  </si>
  <si>
    <t>11D8+4</t>
  </si>
  <si>
    <t>11D8+6</t>
  </si>
  <si>
    <t>11D8+8</t>
  </si>
  <si>
    <t>11D8+10</t>
  </si>
  <si>
    <t>11D8+12</t>
  </si>
  <si>
    <t>11D8+14</t>
  </si>
  <si>
    <t>11D8+16</t>
  </si>
  <si>
    <t>11D8+18</t>
  </si>
  <si>
    <t>11D8+20</t>
  </si>
  <si>
    <t>11D8+22</t>
  </si>
  <si>
    <t>11D8+24</t>
  </si>
  <si>
    <t>11D8+26</t>
  </si>
  <si>
    <t>11D8+28</t>
  </si>
  <si>
    <t>11D8+30</t>
  </si>
  <si>
    <t>11D8+32</t>
  </si>
  <si>
    <t>11D8+34</t>
  </si>
  <si>
    <t>11D8+36</t>
  </si>
  <si>
    <t>11D8+38</t>
  </si>
  <si>
    <t>11D8+40</t>
  </si>
  <si>
    <t>11D8+42</t>
  </si>
  <si>
    <t>11D8+44</t>
  </si>
  <si>
    <t>11D8+46</t>
  </si>
  <si>
    <t>11D8+48</t>
  </si>
  <si>
    <t>11D8+50</t>
  </si>
  <si>
    <t>11D8+52</t>
  </si>
  <si>
    <t>7D4</t>
  </si>
  <si>
    <t>9D4</t>
  </si>
  <si>
    <t>10D4</t>
  </si>
  <si>
    <t>11D4</t>
  </si>
  <si>
    <t>11D4+1</t>
  </si>
  <si>
    <t>11D4+2</t>
  </si>
  <si>
    <t>11D4+3</t>
  </si>
  <si>
    <t>11D4+4</t>
  </si>
  <si>
    <t>11D4+5</t>
  </si>
  <si>
    <t>11D4+6</t>
  </si>
  <si>
    <t>11D4+10</t>
  </si>
  <si>
    <t>11D4+17</t>
  </si>
  <si>
    <t>11D4+18</t>
  </si>
  <si>
    <t>11D4+19</t>
  </si>
  <si>
    <t>11D4+11</t>
  </si>
  <si>
    <t>11D4+12</t>
  </si>
  <si>
    <t>11D4+13</t>
  </si>
  <si>
    <t>11D4+14</t>
  </si>
  <si>
    <t>11D4+15</t>
  </si>
  <si>
    <t>11D4+16</t>
  </si>
  <si>
    <t>11D4+20</t>
  </si>
  <si>
    <t>11D4+21</t>
  </si>
  <si>
    <t>11D4+22</t>
  </si>
  <si>
    <t>11D4+23</t>
  </si>
  <si>
    <t>11D4+24</t>
  </si>
  <si>
    <t>11D4+25</t>
  </si>
  <si>
    <t>4D6</t>
  </si>
  <si>
    <t>6D6</t>
  </si>
  <si>
    <t>7D6</t>
  </si>
  <si>
    <t>10D6+2</t>
  </si>
  <si>
    <t>10D6+4</t>
  </si>
  <si>
    <t>10D6+6</t>
  </si>
  <si>
    <t>10D6+8</t>
  </si>
  <si>
    <t>10D6+10</t>
  </si>
  <si>
    <t>10D6+12</t>
  </si>
  <si>
    <t>10D6+14</t>
  </si>
  <si>
    <t>10D6+16</t>
  </si>
  <si>
    <t>10D6+18</t>
  </si>
  <si>
    <t>10D6+20</t>
  </si>
  <si>
    <t>10D6+22</t>
  </si>
  <si>
    <t>10D6+24</t>
  </si>
  <si>
    <t>10D6+26</t>
  </si>
  <si>
    <t>10D6+28</t>
  </si>
  <si>
    <t>10D6+30</t>
  </si>
  <si>
    <t>10D6+32</t>
  </si>
  <si>
    <t>10D6+34</t>
  </si>
  <si>
    <t>10D6+36</t>
  </si>
  <si>
    <t>10D6+38</t>
  </si>
  <si>
    <t>10D6+40</t>
  </si>
  <si>
    <t>10D6+42</t>
  </si>
  <si>
    <t>10D6+44</t>
  </si>
  <si>
    <t>10D6+46</t>
  </si>
  <si>
    <t>10D6+48</t>
  </si>
  <si>
    <t>10D6+50</t>
  </si>
  <si>
    <t>10D6+52</t>
  </si>
  <si>
    <t>PO</t>
  </si>
  <si>
    <t>PP</t>
  </si>
  <si>
    <t>PA</t>
  </si>
  <si>
    <t>PE</t>
  </si>
  <si>
    <t>PC</t>
  </si>
  <si>
    <t>Sorts Niv1</t>
  </si>
  <si>
    <t>Sorts Niv2</t>
  </si>
  <si>
    <t>Sorts Niv3</t>
  </si>
  <si>
    <t>Sorts Niv4</t>
  </si>
  <si>
    <t>Sorts Niv5</t>
  </si>
  <si>
    <t>Sorts Niv6</t>
  </si>
  <si>
    <t>Sorts Niv7</t>
  </si>
  <si>
    <t>Sorts Niv8</t>
  </si>
  <si>
    <t>Sorts Niv9</t>
  </si>
  <si>
    <t>RANGER-M</t>
  </si>
  <si>
    <t>Niv 1</t>
  </si>
  <si>
    <t>Niv 2</t>
  </si>
  <si>
    <t>Nombre maximum de sorts autorisés</t>
  </si>
  <si>
    <t>Niv 3</t>
  </si>
  <si>
    <t>Niv 4</t>
  </si>
  <si>
    <t>Niv 5</t>
  </si>
  <si>
    <t>Niv 6</t>
  </si>
  <si>
    <t>Niv 7</t>
  </si>
  <si>
    <t>Niv 8</t>
  </si>
  <si>
    <t>Niv 9</t>
  </si>
  <si>
    <t>Apaisement</t>
  </si>
  <si>
    <t>Aide</t>
  </si>
  <si>
    <t>Catalepsie</t>
  </si>
  <si>
    <t>Aquagenèse</t>
  </si>
  <si>
    <t>Augure</t>
  </si>
  <si>
    <t>Paralysie</t>
  </si>
  <si>
    <t>Abjuration</t>
  </si>
  <si>
    <t>Bénédiction</t>
  </si>
  <si>
    <t>Cantique</t>
  </si>
  <si>
    <t>Désenvoûtement</t>
  </si>
  <si>
    <t>Cérémonie</t>
  </si>
  <si>
    <t>Charme-serpents</t>
  </si>
  <si>
    <t>Contre-Poison</t>
  </si>
  <si>
    <t>Guérison</t>
  </si>
  <si>
    <t>Cécité</t>
  </si>
  <si>
    <t>Divination</t>
  </si>
  <si>
    <t>Poussière</t>
  </si>
  <si>
    <t>Exorcisme</t>
  </si>
  <si>
    <t>Injonction</t>
  </si>
  <si>
    <t>Invisibilité</t>
  </si>
  <si>
    <t>Lumière</t>
  </si>
  <si>
    <t>Manne</t>
  </si>
  <si>
    <t>Méditation</t>
  </si>
  <si>
    <t>Langues</t>
  </si>
  <si>
    <t>Pluie</t>
  </si>
  <si>
    <t>Messager</t>
  </si>
  <si>
    <t>Nécro-Animation</t>
  </si>
  <si>
    <t>Peur</t>
  </si>
  <si>
    <t>Présage</t>
  </si>
  <si>
    <t>Nécromancie</t>
  </si>
  <si>
    <t>Prière</t>
  </si>
  <si>
    <t>Sanctuaire</t>
  </si>
  <si>
    <t>Symbole</t>
  </si>
  <si>
    <t>Union</t>
  </si>
  <si>
    <t>1er niveau</t>
  </si>
  <si>
    <t>2e niveau</t>
  </si>
  <si>
    <t>3e niveau</t>
  </si>
  <si>
    <t>4e niveau</t>
  </si>
  <si>
    <t>Amitié Animale</t>
  </si>
  <si>
    <t>Arbre</t>
  </si>
  <si>
    <t>Contrôle de la Température sur 3 mètres</t>
  </si>
  <si>
    <t>Aura Féérique</t>
  </si>
  <si>
    <t>Baie Magique</t>
  </si>
  <si>
    <t>Dissipation de la Magie</t>
  </si>
  <si>
    <t>Croissance d’Épines</t>
  </si>
  <si>
    <t>Embrasement</t>
  </si>
  <si>
    <t>Détection de la Magie</t>
  </si>
  <si>
    <t>Charme-Personnes ou Mammifères</t>
  </si>
  <si>
    <t>Embroussaillement</t>
  </si>
  <si>
    <t>Forêt Hallucinatoire</t>
  </si>
  <si>
    <t>Détection des Pièges Sylvestres</t>
  </si>
  <si>
    <t>Croc-en-Jambe</t>
  </si>
  <si>
    <t>Guérison des Maladies</t>
  </si>
  <si>
    <t>Invocation Animale I</t>
  </si>
  <si>
    <t>Détection du Poison</t>
  </si>
  <si>
    <t>Distorsion du Bois</t>
  </si>
  <si>
    <t>Invocation d’Insectes</t>
  </si>
  <si>
    <t>Invocation des Créatures Sylvestres</t>
  </si>
  <si>
    <t>Enchevêtrement</t>
  </si>
  <si>
    <t>Eau Divinatoire</t>
  </si>
  <si>
    <t>Invocation de la Foudre</t>
  </si>
  <si>
    <t>Langage des Plantes</t>
  </si>
  <si>
    <t>Invisibilité aux Animaux</t>
  </si>
  <si>
    <t>Flamme</t>
  </si>
  <si>
    <t>Lithomorphose</t>
  </si>
  <si>
    <t>Paralysie Végétale</t>
  </si>
  <si>
    <t>Langage Animal</t>
  </si>
  <si>
    <t>Lame de Feu</t>
  </si>
  <si>
    <t>Paralysie Animale</t>
  </si>
  <si>
    <t>Porte Végétale</t>
  </si>
  <si>
    <t>Localisation des Animaux</t>
  </si>
  <si>
    <t>Localisation des Plantes</t>
  </si>
  <si>
    <t>Perception des Alignements</t>
  </si>
  <si>
    <t>Protection contre la Foudre</t>
  </si>
  <si>
    <t>Passage sans Trace</t>
  </si>
  <si>
    <t>Métal Brûlant</t>
  </si>
  <si>
    <t>Piège Sylvestre</t>
  </si>
  <si>
    <t>Répulsion des Insectes</t>
  </si>
  <si>
    <t>Perception de l’Équilibre</t>
  </si>
  <si>
    <t>Obscurcissement</t>
  </si>
  <si>
    <t>Protection contre le Feu</t>
  </si>
  <si>
    <t>Soins Majeurs</t>
  </si>
  <si>
    <t>Peau d’Écorce</t>
  </si>
  <si>
    <t>Pyrotechnie</t>
  </si>
  <si>
    <t>Prévision du Temps</t>
  </si>
  <si>
    <t>Piège à Feu</t>
  </si>
  <si>
    <t>Rayon d’Étoile</t>
  </si>
  <si>
    <t>Purification de l’Eau</t>
  </si>
  <si>
    <t>Retardement du Poison</t>
  </si>
  <si>
    <t>Respiration Aquatique</t>
  </si>
  <si>
    <t>Shillelagh</t>
  </si>
  <si>
    <t>Soins Mineurs</t>
  </si>
  <si>
    <t>Trombe d’Eau</t>
  </si>
  <si>
    <t>5e niveau</t>
  </si>
  <si>
    <t>6e niveau</t>
  </si>
  <si>
    <t>7e niveau</t>
  </si>
  <si>
    <t>Bâtons à Serpents</t>
  </si>
  <si>
    <t>Bouclier Anti-Animal</t>
  </si>
  <si>
    <t>Animation de la Roche</t>
  </si>
  <si>
    <t>Bouclier Anti-Plantes</t>
  </si>
  <si>
    <t>Chêne Vivant</t>
  </si>
  <si>
    <t>Bâton Sylvanien</t>
  </si>
  <si>
    <t>Communion avec la Nature</t>
  </si>
  <si>
    <t>Débilité Mentale</t>
  </si>
  <si>
    <t>Chariot de Sustarre</t>
  </si>
  <si>
    <t>Contrôle des Vents</t>
  </si>
  <si>
    <t>Graines de Feu</t>
  </si>
  <si>
    <t>Confusion</t>
  </si>
  <si>
    <t>Invocation Animale III</t>
  </si>
  <si>
    <t>Contrôle du Climat</t>
  </si>
  <si>
    <t>Fléau d’Insectes</t>
  </si>
  <si>
    <t>Invocation d’un Élémental du Feu</t>
  </si>
  <si>
    <t>Doigt de Mort</t>
  </si>
  <si>
    <t>Invocation Animale II</t>
  </si>
  <si>
    <t>Invocation du Temps</t>
  </si>
  <si>
    <t>Invocation d’un Élémental de Terre</t>
  </si>
  <si>
    <t>Mur de Feu</t>
  </si>
  <si>
    <t>Mur d’Épines</t>
  </si>
  <si>
    <t>Mort Rampante</t>
  </si>
  <si>
    <t>Passe-Plantes</t>
  </si>
  <si>
    <t>Répulsion du Bois</t>
  </si>
  <si>
    <t>Rayon de Soleil</t>
  </si>
  <si>
    <t>Pierres Acérées</t>
  </si>
  <si>
    <t>Soin Ultime</t>
  </si>
  <si>
    <t>Réincarnation</t>
  </si>
  <si>
    <t>Rayon de Lune</t>
  </si>
  <si>
    <t>Transit Végétal</t>
  </si>
  <si>
    <t>Tempête de Feu</t>
  </si>
  <si>
    <t>Transmutation d’Eau en Poussière</t>
  </si>
  <si>
    <t>Transmutation du Métal en Bois</t>
  </si>
  <si>
    <t>Abaissement des Eaux</t>
  </si>
  <si>
    <t>Délivrance de la Paralysie</t>
  </si>
  <si>
    <t>Détection de la Vie</t>
  </si>
  <si>
    <t>Fusion avec la Pierre</t>
  </si>
  <si>
    <t>Détection des Déguisements</t>
  </si>
  <si>
    <t>Détection des Charmes</t>
  </si>
  <si>
    <t>Glyphe de Garde</t>
  </si>
  <si>
    <t>Détection des Mensonges</t>
  </si>
  <si>
    <t>Détection du Mal</t>
  </si>
  <si>
    <t>Détection des Pièges</t>
  </si>
  <si>
    <t>Guérison de la Cécité</t>
  </si>
  <si>
    <t>Endurance au Froid/à la Chaleur</t>
  </si>
  <si>
    <t>Diable de Poussière</t>
  </si>
  <si>
    <t>Discours Captivant</t>
  </si>
  <si>
    <t>Localisation d’Objets</t>
  </si>
  <si>
    <t>Immunité contre les Sorts</t>
  </si>
  <si>
    <t>Invisibilité aux Morts-vivants</t>
  </si>
  <si>
    <t>Lumière Éternelle</t>
  </si>
  <si>
    <t>Insectes Géants</t>
  </si>
  <si>
    <t>Marteau Spirituel</t>
  </si>
  <si>
    <t>Pierre Magique</t>
  </si>
  <si>
    <t>Marche sur les Eaux</t>
  </si>
  <si>
    <t>Manteau de Peur</t>
  </si>
  <si>
    <t>Octroi de sort</t>
  </si>
  <si>
    <t>Protection contre le Mal</t>
  </si>
  <si>
    <t>Portes de la Mort</t>
  </si>
  <si>
    <t>Protection contre le Mal sur 3 mètres</t>
  </si>
  <si>
    <t>Purification de l’Eau et des Aliments</t>
  </si>
  <si>
    <t>Résistance au Feu</t>
  </si>
  <si>
    <t>Résistance au Froid</t>
  </si>
  <si>
    <t>Protection contre le Plan Négatif</t>
  </si>
  <si>
    <t>Silence sur 5 mètres</t>
  </si>
  <si>
    <t>Traversée des Flammes</t>
  </si>
  <si>
    <t>Symbole Sacré</t>
  </si>
  <si>
    <t>Wyverne de Garde</t>
  </si>
  <si>
    <t>Vêtement Magique</t>
  </si>
  <si>
    <t>Arc-en-ciel</t>
  </si>
  <si>
    <t>Animation des Objets</t>
  </si>
  <si>
    <t>Asile</t>
  </si>
  <si>
    <t>Bénitier Magique</t>
  </si>
  <si>
    <t>Barrière de Lames</t>
  </si>
  <si>
    <t>Changement de Plan</t>
  </si>
  <si>
    <t>Festin des Héros</t>
  </si>
  <si>
    <t>Exaction</t>
  </si>
  <si>
    <t>Communion</t>
  </si>
  <si>
    <t>Marche des Vents</t>
  </si>
  <si>
    <t>Dissipation du Mal</t>
  </si>
  <si>
    <t>Interdiction</t>
  </si>
  <si>
    <t>Parole Sacrée</t>
  </si>
  <si>
    <t>Expiation</t>
  </si>
  <si>
    <t>Invocation des Animaux</t>
  </si>
  <si>
    <t>Régénération</t>
  </si>
  <si>
    <t>Langage des Monstres</t>
  </si>
  <si>
    <t>Restauration</t>
  </si>
  <si>
    <t>Golem</t>
  </si>
  <si>
    <t>Lithomancie</t>
  </si>
  <si>
    <t>Résurrection</t>
  </si>
  <si>
    <t>Marche Aérienne</t>
  </si>
  <si>
    <t>Orientation</t>
  </si>
  <si>
    <t>Seuil</t>
  </si>
  <si>
    <t>Nécro-Animation de Monstres</t>
  </si>
  <si>
    <t>Rappel</t>
  </si>
  <si>
    <t>Sort Astral</t>
  </si>
  <si>
    <t>Séparation des Eaux</t>
  </si>
  <si>
    <t>Pilier de Feu</t>
  </si>
  <si>
    <t>Serviteur Aérien</t>
  </si>
  <si>
    <t>Tremblement de Terre</t>
  </si>
  <si>
    <t>Quête Religieuse</t>
  </si>
  <si>
    <t>Rappel à la Vie</t>
  </si>
  <si>
    <t>Vision Réelle</t>
  </si>
  <si>
    <t>TOURS MINEURS</t>
  </si>
  <si>
    <t>Utilitaires</t>
  </si>
  <si>
    <t>Inversés</t>
  </si>
  <si>
    <t>Prestidigitation</t>
  </si>
  <si>
    <t>Affectant les personnes</t>
  </si>
  <si>
    <t>Personnels</t>
  </si>
  <si>
    <t>Bruitages</t>
  </si>
  <si>
    <t>Couleur</t>
  </si>
  <si>
    <t>Aigreur</t>
  </si>
  <si>
    <t>Changement</t>
  </si>
  <si>
    <t>Bâillement</t>
  </si>
  <si>
    <t>Abeille</t>
  </si>
  <si>
    <t>Boum !</t>
  </si>
  <si>
    <t>Couture</t>
  </si>
  <si>
    <t>Caillage</t>
  </si>
  <si>
    <t>Dissimulation</t>
  </si>
  <si>
    <t>Clignement</t>
  </si>
  <si>
    <t>Araignée</t>
  </si>
  <si>
    <t>Cliquetis</t>
  </si>
  <si>
    <t>Dépoussiérage</t>
  </si>
  <si>
    <t>Croissance Capillaire</t>
  </si>
  <si>
    <t>Distraction</t>
  </si>
  <si>
    <t>Clin d’Œil</t>
  </si>
  <si>
    <t>Déverrouillage</t>
  </si>
  <si>
    <t>Gémissement</t>
  </si>
  <si>
    <t>Douceur</t>
  </si>
  <si>
    <t>Dénouage</t>
  </si>
  <si>
    <t>Empalmage</t>
  </si>
  <si>
    <t>Éternuement</t>
  </si>
  <si>
    <t>Doigt de Feu</t>
  </si>
  <si>
    <t>Grincement</t>
  </si>
  <si>
    <t>Éclat</t>
  </si>
  <si>
    <t>Effilochage</t>
  </si>
  <si>
    <t>Présentation</t>
  </si>
  <si>
    <t>Grattage</t>
  </si>
  <si>
    <t>Insecte</t>
  </si>
  <si>
    <t>Pas</t>
  </si>
  <si>
    <t>Emballage</t>
  </si>
  <si>
    <t>Emmêlement</t>
  </si>
  <si>
    <t>Transformation</t>
  </si>
  <si>
    <t>Hochement</t>
  </si>
  <si>
    <t>Lumière Bleue</t>
  </si>
  <si>
    <t>Plainte</t>
  </si>
  <si>
    <t>Épice</t>
  </si>
  <si>
    <t>Flétrissement</t>
  </si>
  <si>
    <t>Rire Bête</t>
  </si>
  <si>
    <t>Moucherons</t>
  </si>
  <si>
    <t>Sifflet</t>
  </si>
  <si>
    <t>Extermination</t>
  </si>
  <si>
    <t>Nœud Serré</t>
  </si>
  <si>
    <t>Rot</t>
  </si>
  <si>
    <t>Nuage de Fumée</t>
  </si>
  <si>
    <t>Toc-Toc</t>
  </si>
  <si>
    <t>Germination</t>
  </si>
  <si>
    <t>Tic</t>
  </si>
  <si>
    <t>Pincement</t>
  </si>
  <si>
    <t>Humidification</t>
  </si>
  <si>
    <t>Renversement</t>
  </si>
  <si>
    <t>Toux</t>
  </si>
  <si>
    <t>Souris</t>
  </si>
  <si>
    <t>Lustre</t>
  </si>
  <si>
    <t>Souillure</t>
  </si>
  <si>
    <t>Nettoyage</t>
  </si>
  <si>
    <t>Ternissement</t>
  </si>
  <si>
    <t>Nœud</t>
  </si>
  <si>
    <t>Rafraîchissement</t>
  </si>
  <si>
    <t>Rassemblement</t>
  </si>
  <si>
    <t>Réchauffement</t>
  </si>
  <si>
    <t>Refroidissement</t>
  </si>
  <si>
    <t>Salage</t>
  </si>
  <si>
    <t>Saveur</t>
  </si>
  <si>
    <t>Séchage</t>
  </si>
  <si>
    <t>Agrandissement</t>
  </si>
  <si>
    <t>Bouche Magique</t>
  </si>
  <si>
    <t>Boule de Feu</t>
  </si>
  <si>
    <t>Alarme</t>
  </si>
  <si>
    <t>Bruitage</t>
  </si>
  <si>
    <t>Altération des Feux Normaux</t>
  </si>
  <si>
    <t>Corde Enchantée</t>
  </si>
  <si>
    <t>Chaumière de Léomund</t>
  </si>
  <si>
    <t>Amitié</t>
  </si>
  <si>
    <t>Détection de l’Invisibilité</t>
  </si>
  <si>
    <t>Clairaudience</t>
  </si>
  <si>
    <t>Clairvoyance</t>
  </si>
  <si>
    <t>Aura Magique de Nystul</t>
  </si>
  <si>
    <t>ESP</t>
  </si>
  <si>
    <t>Détection des Illusions</t>
  </si>
  <si>
    <t>Flèche Acide de Melf</t>
  </si>
  <si>
    <t>Charme-Personnes</t>
  </si>
  <si>
    <t>Flèche de Feu</t>
  </si>
  <si>
    <t>Chute de Plume</t>
  </si>
  <si>
    <t>Force Fantasmagorique</t>
  </si>
  <si>
    <t>Compréhension des Langues</t>
  </si>
  <si>
    <t>Fracassement</t>
  </si>
  <si>
    <t>Foudre</t>
  </si>
  <si>
    <t>Course</t>
  </si>
  <si>
    <t>Image Miroir</t>
  </si>
  <si>
    <t>Infravision</t>
  </si>
  <si>
    <t>Intermittence</t>
  </si>
  <si>
    <t>Disque Flottant de Tenser</t>
  </si>
  <si>
    <t>Irritation</t>
  </si>
  <si>
    <t>Invisibilité sur 3 Mètres</t>
  </si>
  <si>
    <t>Eau de Feu</t>
  </si>
  <si>
    <t>Lévitation</t>
  </si>
  <si>
    <t>Invocation de Monstre I</t>
  </si>
  <si>
    <t>Écriture</t>
  </si>
  <si>
    <t>Lien</t>
  </si>
  <si>
    <t>Effacement</t>
  </si>
  <si>
    <t>Matière</t>
  </si>
  <si>
    <t>Escalade d’Araignée</t>
  </si>
  <si>
    <t>Minuscules Météores de Melf</t>
  </si>
  <si>
    <t>Fermeture</t>
  </si>
  <si>
    <t>Nuage Puant</t>
  </si>
  <si>
    <t>Mur de Vent</t>
  </si>
  <si>
    <t>Fonte</t>
  </si>
  <si>
    <t>Or des Fous</t>
  </si>
  <si>
    <t>Graisse</t>
  </si>
  <si>
    <t>Oubli</t>
  </si>
  <si>
    <t>Page Secrète</t>
  </si>
  <si>
    <t>Identification</t>
  </si>
  <si>
    <t>Ouverture</t>
  </si>
  <si>
    <t>Invocation d’un Familier</t>
  </si>
  <si>
    <t>Lecture de la Magie</t>
  </si>
  <si>
    <t>Protection contre les Projectiles Normaux</t>
  </si>
  <si>
    <t>Piège de Léomund</t>
  </si>
  <si>
    <t>Rafale de Vent</t>
  </si>
  <si>
    <t>Lumières Dansantes</t>
  </si>
  <si>
    <t>Poches Profondes</t>
  </si>
  <si>
    <t>Ralentissement</t>
  </si>
  <si>
    <t>Mains Brûlantes</t>
  </si>
  <si>
    <t>Préservation</t>
  </si>
  <si>
    <t>Rapidité</t>
  </si>
  <si>
    <t>Marque de Magicien</t>
  </si>
  <si>
    <t>Protection contre les Tours Mineurs</t>
  </si>
  <si>
    <t>Message</t>
  </si>
  <si>
    <t>Runes Explosives</t>
  </si>
  <si>
    <t>Monture</t>
  </si>
  <si>
    <t>Rayon d’Affaiblissement</t>
  </si>
  <si>
    <t>Sceau du Serpent Sépia</t>
  </si>
  <si>
    <t>Moquerie</t>
  </si>
  <si>
    <t>Rire Incontrôlable et Hideux de Tasha</t>
  </si>
  <si>
    <t>Suggestion</t>
  </si>
  <si>
    <t>Sphère Enflammée</t>
  </si>
  <si>
    <t>Poigne Électrique</t>
  </si>
  <si>
    <t>Ténèbres sur 5 mètres</t>
  </si>
  <si>
    <t>Vol</t>
  </si>
  <si>
    <t>Poussée</t>
  </si>
  <si>
    <t>Toile d’Araignée</t>
  </si>
  <si>
    <t>Projectile Magique</t>
  </si>
  <si>
    <t>Verrou Magique</t>
  </si>
  <si>
    <t>Vocalisation</t>
  </si>
  <si>
    <t>Réparation</t>
  </si>
  <si>
    <t>Zéphyr</t>
  </si>
  <si>
    <t>Saut</t>
  </si>
  <si>
    <t>Serviteur Invisible</t>
  </si>
  <si>
    <t>Sommeil</t>
  </si>
  <si>
    <t>Ventriloquie</t>
  </si>
  <si>
    <t>Abri Sûr de Léomund</t>
  </si>
  <si>
    <t>Chien Fidèle de Mordenkainen</t>
  </si>
  <si>
    <t>Allométamorphose</t>
  </si>
  <si>
    <t>Coffre Secret de Léomund</t>
  </si>
  <si>
    <t>Bulle Anti-Magique</t>
  </si>
  <si>
    <t>Arme Enchantée</t>
  </si>
  <si>
    <t>Cône de Froid</t>
  </si>
  <si>
    <t>Chasseur Invisible</t>
  </si>
  <si>
    <t>Autométamorphose</t>
  </si>
  <si>
    <t>Contact d’Autres Plans</t>
  </si>
  <si>
    <t>Contingence</t>
  </si>
  <si>
    <t>Bouclier de Feu</t>
  </si>
  <si>
    <t>Croissance Animale</t>
  </si>
  <si>
    <t>Charme-Monstres</t>
  </si>
  <si>
    <t>Désintégration</t>
  </si>
  <si>
    <t>Distorsion des Distances</t>
  </si>
  <si>
    <t>Élucubration de Mordenkainen</t>
  </si>
  <si>
    <t>Cri</t>
  </si>
  <si>
    <t>Domination</t>
  </si>
  <si>
    <t>Enchaînement d’Éclairs</t>
  </si>
  <si>
    <t>Eau Aérée</t>
  </si>
  <si>
    <t>Enchantement</t>
  </si>
  <si>
    <t>Dissipation des Illusions</t>
  </si>
  <si>
    <t>Envoi</t>
  </si>
  <si>
    <t>Extension III</t>
  </si>
  <si>
    <t>Effroi</t>
  </si>
  <si>
    <t>Évitement</t>
  </si>
  <si>
    <t>Glissement de Terrain</t>
  </si>
  <si>
    <t>Extension II</t>
  </si>
  <si>
    <t>Globe d’Invulnérabilité</t>
  </si>
  <si>
    <t>Excavation</t>
  </si>
  <si>
    <t>Fabrication</t>
  </si>
  <si>
    <t>Holographie</t>
  </si>
  <si>
    <t>Extension I</t>
  </si>
  <si>
    <t>Invocation d’Élémental</t>
  </si>
  <si>
    <t>Incantation Mortelle</t>
  </si>
  <si>
    <t>Feu Charmeur</t>
  </si>
  <si>
    <t>Invocation de Monstre III</t>
  </si>
  <si>
    <t>Invocation de Monstre IV</t>
  </si>
  <si>
    <t>Globe Mineur d’Invulnérabilité</t>
  </si>
  <si>
    <t>Lamentable discussion de Léomund</t>
  </si>
  <si>
    <t>Main de Force de Bigby</t>
  </si>
  <si>
    <t>Invocation de Monstre II</t>
  </si>
  <si>
    <t>Mauvais Œil</t>
  </si>
  <si>
    <t>Maladresse</t>
  </si>
  <si>
    <t>Main d’Interposition de Bigby</t>
  </si>
  <si>
    <t>Mythomancie</t>
  </si>
  <si>
    <t>Miroir Magique</t>
  </si>
  <si>
    <t>Métempsycose</t>
  </si>
  <si>
    <t>Punition Spirituelle</t>
  </si>
  <si>
    <t>Moyen Mnémonique de Rary</t>
  </si>
  <si>
    <t>Mur de Fer</t>
  </si>
  <si>
    <t>Quête Magique</t>
  </si>
  <si>
    <t>Mur de Force</t>
  </si>
  <si>
    <t>Mur de Glace</t>
  </si>
  <si>
    <t>Mur de Roc</t>
  </si>
  <si>
    <t>Répulsion</t>
  </si>
  <si>
    <t>Œil Magique</t>
  </si>
  <si>
    <t>Peau de Pierre</t>
  </si>
  <si>
    <t>Nuage Létal</t>
  </si>
  <si>
    <t>Sphère Glaciale d’Otiluke</t>
  </si>
  <si>
    <t>Phytomorphose</t>
  </si>
  <si>
    <t>Paralysie des Monstres</t>
  </si>
  <si>
    <t>Transformation de Tenser</t>
  </si>
  <si>
    <t>Passe-Muraille</t>
  </si>
  <si>
    <t>Porte Dimensionnelle</t>
  </si>
  <si>
    <t>Révocation</t>
  </si>
  <si>
    <t>Transmutation de Pierre en Chair</t>
  </si>
  <si>
    <t>Sphère Résiliente d’Otiluke</t>
  </si>
  <si>
    <t>Télékinésie</t>
  </si>
  <si>
    <t>Transvision</t>
  </si>
  <si>
    <t>Tempête de Glace</t>
  </si>
  <si>
    <t>Téléportation</t>
  </si>
  <si>
    <t>Traquenard</t>
  </si>
  <si>
    <t>Tentacules Noires d’Evard</t>
  </si>
  <si>
    <t>Transmutation de Pierre en Boue</t>
  </si>
  <si>
    <t>Vigiles et Sentinelles</t>
  </si>
  <si>
    <t>Terrain Hallucinatoire</t>
  </si>
  <si>
    <t>Ultravision</t>
  </si>
  <si>
    <t>8e niveau</t>
  </si>
  <si>
    <t>9e niveau</t>
  </si>
  <si>
    <t>Bannissement</t>
  </si>
  <si>
    <t>Antipathie/Sympathie</t>
  </si>
  <si>
    <t>Absorption d’Énergie</t>
  </si>
  <si>
    <t>Boule de Feu à Retardement</t>
  </si>
  <si>
    <t>Attache</t>
  </si>
  <si>
    <t>Arrêt du Temps</t>
  </si>
  <si>
    <t>Cacodémon</t>
  </si>
  <si>
    <t>Charme-Masse</t>
  </si>
  <si>
    <t>Cage de Force</t>
  </si>
  <si>
    <t>Clone</t>
  </si>
  <si>
    <t>Disjonction de Mordenkainen</t>
  </si>
  <si>
    <t>Charme-Plantes</t>
  </si>
  <si>
    <t>Cristairin</t>
  </si>
  <si>
    <t>Emprisonnement</t>
  </si>
  <si>
    <t>Disparition</t>
  </si>
  <si>
    <t>Danse Irrésistible d’Otto</t>
  </si>
  <si>
    <t>Fragilité de Cristal</t>
  </si>
  <si>
    <t>Duo-Dimension</t>
  </si>
  <si>
    <t>Emprisonnement de l’Âme</t>
  </si>
  <si>
    <t>Hétéromorphisme</t>
  </si>
  <si>
    <t>Épée de Mordenkainen</t>
  </si>
  <si>
    <t>Ensevelissement</t>
  </si>
  <si>
    <t>Invocation de Monstre VII</t>
  </si>
  <si>
    <t>Inversion de la Gravité</t>
  </si>
  <si>
    <t>Immunité Magique de Serten</t>
  </si>
  <si>
    <t>Main Broyante de Bigby</t>
  </si>
  <si>
    <t>Invisibilité de Masse</t>
  </si>
  <si>
    <t>Invocation de Monstre VI</t>
  </si>
  <si>
    <t>Mot de Pouvoir : « Mort »</t>
  </si>
  <si>
    <t>Invocation de Monstre V</t>
  </si>
  <si>
    <t>Labyrinthe</t>
  </si>
  <si>
    <t>Nuée de Météores</t>
  </si>
  <si>
    <t>Invocation Instantanée de Drawmij</t>
  </si>
  <si>
    <t>Mot de Pouvoir : « Cécité »</t>
  </si>
  <si>
    <t>Isolement</t>
  </si>
  <si>
    <t>Nuage Incendiaire</t>
  </si>
  <si>
    <t>Magnifique Manoir de Mordenkainen</t>
  </si>
  <si>
    <t>Permanence</t>
  </si>
  <si>
    <t>Souhait Majeur</t>
  </si>
  <si>
    <t>Mot de Pouvoir : « Étourdissement »</t>
  </si>
  <si>
    <t>Poing de Bigby</t>
  </si>
  <si>
    <t>Sphère Prismatique</t>
  </si>
  <si>
    <t>Poigne de Bigby</t>
  </si>
  <si>
    <t>Protection d’Esprit</t>
  </si>
  <si>
    <t>Stase Temporelle</t>
  </si>
  <si>
    <t>Porte de Phase</t>
  </si>
  <si>
    <t>Requête</t>
  </si>
  <si>
    <t>Renvoi</t>
  </si>
  <si>
    <t>Sphère Télékinétique d’Otiluke</t>
  </si>
  <si>
    <t>Simulacre</t>
  </si>
  <si>
    <t>Souhait Mineur</t>
  </si>
  <si>
    <t>Transformation d’Objets</t>
  </si>
  <si>
    <t>Statue</t>
  </si>
  <si>
    <t>Téléportation Sans Erreur</t>
  </si>
  <si>
    <t>Tourment</t>
  </si>
  <si>
    <t>Véritable Nom</t>
  </si>
  <si>
    <t>Illusions Mineures</t>
  </si>
  <si>
    <t>Assombrissement</t>
  </si>
  <si>
    <t>Apparition</t>
  </si>
  <si>
    <t>Auto-Altération</t>
  </si>
  <si>
    <t>Bruit</t>
  </si>
  <si>
    <t>Armure Spectrale</t>
  </si>
  <si>
    <t>Brume</t>
  </si>
  <si>
    <t>Écriture Illusoire</t>
  </si>
  <si>
    <t>Illusion en Deux Dimensions</t>
  </si>
  <si>
    <t>Changement d’Apparence</t>
  </si>
  <si>
    <t>Désinformation</t>
  </si>
  <si>
    <t>Lumière Colorées</t>
  </si>
  <si>
    <t>Force Spectrale</t>
  </si>
  <si>
    <t>Masque</t>
  </si>
  <si>
    <t>Fascination</t>
  </si>
  <si>
    <t>Forme Ectoplasmique</t>
  </si>
  <si>
    <t>Mirage</t>
  </si>
  <si>
    <t>Force Fantasmagorique Améliorée</t>
  </si>
  <si>
    <t>Petit Arc-En-Ciel</t>
  </si>
  <si>
    <t>Hypnotisme</t>
  </si>
  <si>
    <t>Jet de Couleurs</t>
  </si>
  <si>
    <t>Monture Fantôme</t>
  </si>
  <si>
    <t>Lecture de la Magie Illusoire</t>
  </si>
  <si>
    <t>Motif Hypnotique</t>
  </si>
  <si>
    <t>Non-Détection</t>
  </si>
  <si>
    <t>Nappe de Brouillard</t>
  </si>
  <si>
    <t>Paralysie Musculaire</t>
  </si>
  <si>
    <t>Surdité</t>
  </si>
  <si>
    <t>Mur de Brouillard</t>
  </si>
  <si>
    <t>Trouble</t>
  </si>
  <si>
    <t>Ténèbres Éternelles</t>
  </si>
  <si>
    <t>Orbe Chromatique</t>
  </si>
  <si>
    <t>Réflexion des Regards</t>
  </si>
  <si>
    <t>Vent de Murmures</t>
  </si>
  <si>
    <t>Tromperie</t>
  </si>
  <si>
    <t>Ténèbres</t>
  </si>
  <si>
    <t>Vent Spectral</t>
  </si>
  <si>
    <t>Brouillard Dense</t>
  </si>
  <si>
    <t>Chaos</t>
  </si>
  <si>
    <t>Brouillard Mortel</t>
  </si>
  <si>
    <t>Altération de la Réalité</t>
  </si>
  <si>
    <t>Création Majeure</t>
  </si>
  <si>
    <t>Fantasmagorie</t>
  </si>
  <si>
    <t>Destin</t>
  </si>
  <si>
    <t>Création Mineure</t>
  </si>
  <si>
    <t>Illusion Permanente</t>
  </si>
  <si>
    <t>Jet Prismatique</t>
  </si>
  <si>
    <t>Dissipation de l’Épuisement</t>
  </si>
  <si>
    <t>Illusion Avancée</t>
  </si>
  <si>
    <t>Illusion Programmée</t>
  </si>
  <si>
    <t>Marche des Ombres</t>
  </si>
  <si>
    <t>Invocation des Ombres</t>
  </si>
  <si>
    <t>Mur Prismatique</t>
  </si>
  <si>
    <t>Émotion</t>
  </si>
  <si>
    <t>Magie Demi-Ombre</t>
  </si>
  <si>
    <t>Emplacement Vacant</t>
  </si>
  <si>
    <t>Magie des Ombres</t>
  </si>
  <si>
    <t>Mirage des Arcanes</t>
  </si>
  <si>
    <t>Vision</t>
  </si>
  <si>
    <t>Invisibilité Améliorée</t>
  </si>
  <si>
    <t>Ombres</t>
  </si>
  <si>
    <t>Sorts de Niveau 1 de Magicien</t>
  </si>
  <si>
    <t>Monstres des Ombres</t>
  </si>
  <si>
    <t>Monstres Demi-Ombres</t>
  </si>
  <si>
    <t>Subterfuge</t>
  </si>
  <si>
    <t>Motif Arc-En-Ciel</t>
  </si>
  <si>
    <t>Porte des Ombres</t>
  </si>
  <si>
    <t>Suggestion de Masse</t>
  </si>
  <si>
    <t>Rêve</t>
  </si>
  <si>
    <t>Tueur Fantasmagorique</t>
  </si>
  <si>
    <t>Tempus Fugit</t>
  </si>
  <si>
    <t>Voile Illusoire</t>
  </si>
  <si>
    <t>C</t>
  </si>
  <si>
    <t>#</t>
  </si>
  <si>
    <t>Nom du sortilège Clerc / Druide</t>
  </si>
  <si>
    <t>Portée</t>
  </si>
  <si>
    <t>Durée</t>
  </si>
  <si>
    <t>V</t>
  </si>
  <si>
    <t>Nom du sortilège Magicien / Illusioniste</t>
  </si>
  <si>
    <t>E</t>
  </si>
  <si>
    <t>NC</t>
  </si>
  <si>
    <t>: Non Connu</t>
  </si>
  <si>
    <t>: Ecrit</t>
  </si>
  <si>
    <t>: Ecrit &amp; Connu !</t>
  </si>
  <si>
    <t>Sortilèges de Niveau 2</t>
  </si>
  <si>
    <t>Sortilèges de Niveau 3</t>
  </si>
  <si>
    <t>Sortilèges de Niveau 4</t>
  </si>
  <si>
    <t>Sortilèges de Niveau 5</t>
  </si>
  <si>
    <t>Sortilèges de Niveau 6</t>
  </si>
  <si>
    <t>Sortilèges de Niveau 7</t>
  </si>
  <si>
    <t>Sortilèges de Niveau 8</t>
  </si>
  <si>
    <t>Sortilèges de Niveau 9</t>
  </si>
  <si>
    <t>Nom du sortilège Magicien</t>
  </si>
  <si>
    <t>Nom du sortilège Magicien / Illusionniste</t>
  </si>
  <si>
    <t>D</t>
  </si>
  <si>
    <t>Momie</t>
  </si>
  <si>
    <t>Vampire</t>
  </si>
  <si>
    <t>T</t>
  </si>
  <si>
    <t>D*</t>
  </si>
  <si>
    <t>Squelette</t>
  </si>
  <si>
    <t>Zombie</t>
  </si>
  <si>
    <t>Goule</t>
  </si>
  <si>
    <t>Ombre</t>
  </si>
  <si>
    <t>Nécrophage</t>
  </si>
  <si>
    <t>Ghast</t>
  </si>
  <si>
    <t>Spectre</t>
  </si>
  <si>
    <t>Fantôme</t>
  </si>
  <si>
    <t>Liche</t>
  </si>
  <si>
    <t>1-7/8 1-3</t>
  </si>
  <si>
    <t>1-9/10 1-4</t>
  </si>
  <si>
    <t>1-11/12 1-4</t>
  </si>
  <si>
    <t>1-19/20 1-7/8</t>
  </si>
  <si>
    <t>1-11/12 1-5</t>
  </si>
  <si>
    <t>1-23/24 1-9/10</t>
  </si>
  <si>
    <t>Baton javelot</t>
  </si>
  <si>
    <t>Epée Fauchon</t>
  </si>
  <si>
    <t>Baton Javelot</t>
  </si>
  <si>
    <t>Disciple des secrets</t>
  </si>
  <si>
    <t>Disciple des mystères</t>
  </si>
  <si>
    <t>Initié des rudiments</t>
  </si>
  <si>
    <t>Initié des éléments</t>
  </si>
  <si>
    <t>Initié des principes</t>
  </si>
  <si>
    <t>11D6</t>
  </si>
  <si>
    <t>12D6</t>
  </si>
  <si>
    <t>13D6</t>
  </si>
  <si>
    <t>14D6</t>
  </si>
  <si>
    <t>15D6</t>
  </si>
  <si>
    <t>18D6</t>
  </si>
  <si>
    <t>21D6</t>
  </si>
  <si>
    <t>16D6</t>
  </si>
  <si>
    <t>17D6</t>
  </si>
  <si>
    <t>19D6</t>
  </si>
  <si>
    <t>20D6</t>
  </si>
  <si>
    <t>22D6</t>
  </si>
  <si>
    <t>1D12</t>
  </si>
  <si>
    <t>1D4+1</t>
  </si>
  <si>
    <t>Marteau</t>
  </si>
  <si>
    <t>TACO Monstres</t>
  </si>
  <si>
    <t>XP/DV</t>
  </si>
  <si>
    <t>XP/PV</t>
  </si>
  <si>
    <t>VXPFS</t>
  </si>
  <si>
    <t>XPSFE</t>
  </si>
  <si>
    <t>Marteau Tonnerre</t>
  </si>
  <si>
    <t>rapidité</t>
  </si>
  <si>
    <t>Rap</t>
  </si>
  <si>
    <t>Init</t>
  </si>
  <si>
    <t>XP Monstres</t>
  </si>
  <si>
    <t>Tous</t>
  </si>
  <si>
    <t>Ninjato</t>
  </si>
  <si>
    <t>EXPLICATION SUR L'UTILISATION DE LA FEUILLE DE PERSONNAGE V6</t>
  </si>
  <si>
    <t>X</t>
  </si>
  <si>
    <t>P</t>
  </si>
  <si>
    <t>1’’</t>
  </si>
  <si>
    <t>12’’</t>
  </si>
  <si>
    <t>2’’</t>
  </si>
  <si>
    <t>3’’</t>
  </si>
  <si>
    <t>6’’</t>
  </si>
  <si>
    <t>1’’/n</t>
  </si>
  <si>
    <t>2’’/n</t>
  </si>
  <si>
    <t>5r/n</t>
  </si>
  <si>
    <t>1s/n</t>
  </si>
  <si>
    <t>5-8h</t>
  </si>
  <si>
    <t>2r/n</t>
  </si>
  <si>
    <t>3t+1t/n</t>
  </si>
  <si>
    <t>1r</t>
  </si>
  <si>
    <t>1h/n</t>
  </si>
  <si>
    <t>1r+1r/n</t>
  </si>
  <si>
    <t>3r/n</t>
  </si>
  <si>
    <t>5s+1s/n</t>
  </si>
  <si>
    <t>12t+6t/n</t>
  </si>
  <si>
    <t>Inst</t>
  </si>
  <si>
    <t>6t+1t/n</t>
  </si>
  <si>
    <t>2r+1r/n</t>
  </si>
  <si>
    <t>/</t>
  </si>
  <si>
    <t>1t/n</t>
  </si>
  <si>
    <t>2-8t+1t/n</t>
  </si>
  <si>
    <t>1r/n</t>
  </si>
  <si>
    <t>1j/n</t>
  </si>
  <si>
    <t>1,6km/n</t>
  </si>
  <si>
    <t>4’’+1’’/n</t>
  </si>
  <si>
    <t>6’’+1’’/n</t>
  </si>
  <si>
    <t>1’’+1/4’’/n</t>
  </si>
  <si>
    <t>3’’+1’’/n</t>
  </si>
  <si>
    <t>1’’/n,6’’maximum</t>
  </si>
  <si>
    <t>6''+1''/n</t>
  </si>
  <si>
    <t>4''+1''/n</t>
  </si>
  <si>
    <t>1''/n</t>
  </si>
  <si>
    <t>1'/n</t>
  </si>
  <si>
    <t>3''</t>
  </si>
  <si>
    <t>6''</t>
  </si>
  <si>
    <t>2d6r+2r/n</t>
  </si>
  <si>
    <t>3r+2r/n</t>
  </si>
  <si>
    <t>2d4r+1r/n</t>
  </si>
  <si>
    <t>2d4r+2r/n</t>
  </si>
  <si>
    <t>1''</t>
  </si>
  <si>
    <t>6r</t>
  </si>
  <si>
    <t>1t</t>
  </si>
  <si>
    <t>12''</t>
  </si>
  <si>
    <t>9t/n</t>
  </si>
  <si>
    <t>2''</t>
  </si>
  <si>
    <t>6r ou S</t>
  </si>
  <si>
    <t>8''</t>
  </si>
  <si>
    <t>4r/n</t>
  </si>
  <si>
    <t>12r</t>
  </si>
  <si>
    <t>1/n</t>
  </si>
  <si>
    <t>4''</t>
  </si>
  <si>
    <t>1t+1r/n</t>
  </si>
  <si>
    <t>2h/n</t>
  </si>
  <si>
    <t>3''/n</t>
  </si>
  <si>
    <t>2''/n</t>
  </si>
  <si>
    <t>1r+1/n</t>
  </si>
  <si>
    <t>5r</t>
  </si>
  <si>
    <t>3t</t>
  </si>
  <si>
    <t>4r+1/n</t>
  </si>
  <si>
    <t>8h</t>
  </si>
  <si>
    <t>36''</t>
  </si>
  <si>
    <t>8r+1d8</t>
  </si>
  <si>
    <t>1t+1/n</t>
  </si>
  <si>
    <t>6r/n</t>
  </si>
  <si>
    <t>32''</t>
  </si>
  <si>
    <t>16''</t>
  </si>
  <si>
    <t>1-8t+1/n</t>
  </si>
  <si>
    <t>3-12t+1/n</t>
  </si>
  <si>
    <t>1s</t>
  </si>
  <si>
    <t>1h</t>
  </si>
  <si>
    <t>4-48h</t>
  </si>
  <si>
    <t>6t/n</t>
  </si>
  <si>
    <t>P+S</t>
  </si>
  <si>
    <t>4r+2/n</t>
  </si>
  <si>
    <t>7r</t>
  </si>
  <si>
    <t>6t+1/n</t>
  </si>
  <si>
    <t>4''/n</t>
  </si>
  <si>
    <t>12''+1/n</t>
  </si>
  <si>
    <t>4t+1/n</t>
  </si>
  <si>
    <t>6''/n</t>
  </si>
  <si>
    <t>Croissance animale</t>
  </si>
  <si>
    <t>Transmutation de pierre en boue</t>
  </si>
  <si>
    <t>8''/n</t>
  </si>
  <si>
    <t>8-96h</t>
  </si>
  <si>
    <t>6''+1/n</t>
  </si>
  <si>
    <t>0,5''/n</t>
  </si>
  <si>
    <t>1''+0,25/n</t>
  </si>
  <si>
    <t>5''</t>
  </si>
  <si>
    <t>1t+0,5t/n</t>
  </si>
  <si>
    <t>0,5’’/n</t>
  </si>
  <si>
    <t>2t/n</t>
  </si>
  <si>
    <t>3-12r</t>
  </si>
  <si>
    <t>24t+6/n</t>
  </si>
  <si>
    <t>10''+1/n</t>
  </si>
  <si>
    <t>8''+1/n</t>
  </si>
  <si>
    <t>4''+1/n</t>
  </si>
  <si>
    <t>I</t>
  </si>
  <si>
    <t>9''+1/n</t>
  </si>
  <si>
    <t>0,5''</t>
  </si>
  <si>
    <t>6r+1/n</t>
  </si>
  <si>
    <t>2r+1/n</t>
  </si>
  <si>
    <t>12t+6/n</t>
  </si>
  <si>
    <t>6ou24t/n</t>
  </si>
  <si>
    <t>Diss</t>
  </si>
  <si>
    <t>3r+1/n</t>
  </si>
  <si>
    <t>3t/n</t>
  </si>
  <si>
    <t>6t+6/n</t>
  </si>
  <si>
    <t>1t/n+1d6</t>
  </si>
  <si>
    <t>1j</t>
  </si>
  <si>
    <t>7''</t>
  </si>
  <si>
    <t>9''</t>
  </si>
  <si>
    <t>60j</t>
  </si>
  <si>
    <t>4''+0,5/n</t>
  </si>
  <si>
    <t>6m</t>
  </si>
  <si>
    <t>1''+30cm/n</t>
  </si>
  <si>
    <t>5t/n</t>
  </si>
  <si>
    <t>5r+1/n</t>
  </si>
  <si>
    <t>4-24h</t>
  </si>
  <si>
    <t>1r/2n</t>
  </si>
  <si>
    <t>1''/2n</t>
  </si>
  <si>
    <t>Inf</t>
  </si>
  <si>
    <t>Ill</t>
  </si>
  <si>
    <t>1sem+1j/n</t>
  </si>
  <si>
    <t>1/2n</t>
  </si>
  <si>
    <t>12t/n</t>
  </si>
  <si>
    <t>1d4+1r</t>
  </si>
  <si>
    <t>7r+1/n</t>
  </si>
  <si>
    <t>4r+1d6r</t>
  </si>
  <si>
    <t>0,25''/n</t>
  </si>
  <si>
    <t>0,5s/n+1d8s</t>
  </si>
  <si>
    <t>8r+1/n</t>
  </si>
  <si>
    <t>3-12r+2/n</t>
  </si>
  <si>
    <t>2''+2/n</t>
  </si>
  <si>
    <t>4t+4/n</t>
  </si>
  <si>
    <t>2-8r+1/n</t>
  </si>
  <si>
    <t>5''+1/n</t>
  </si>
  <si>
    <t>Sp</t>
  </si>
  <si>
    <t>1-4r+1/n</t>
  </si>
  <si>
    <t>Portes coincées</t>
  </si>
  <si>
    <t>Portes verrouillées</t>
  </si>
  <si>
    <t>1 - 7/8</t>
  </si>
  <si>
    <t>1 - 9/10</t>
  </si>
  <si>
    <t>Min/niv</t>
  </si>
  <si>
    <t>Max/niv</t>
  </si>
  <si>
    <t>Connaissance</t>
  </si>
  <si>
    <t>Toucher projectile</t>
  </si>
  <si>
    <t>PV guerriers</t>
  </si>
  <si>
    <t>Pts de vie</t>
  </si>
  <si>
    <t>Project</t>
  </si>
  <si>
    <t>Resurrec</t>
  </si>
  <si>
    <t>Réaction</t>
  </si>
  <si>
    <t>JP bagt</t>
  </si>
  <si>
    <t>DOS</t>
  </si>
  <si>
    <t>Vade Retro</t>
  </si>
  <si>
    <t>Demi-elfe</t>
  </si>
  <si>
    <t>Demi-orque</t>
  </si>
  <si>
    <t>Elfe de la vallée</t>
  </si>
  <si>
    <t>Elfe des bois</t>
  </si>
  <si>
    <t>Elfe gris</t>
  </si>
  <si>
    <t>Elfe noir</t>
  </si>
  <si>
    <t>Elfe sauvage</t>
  </si>
  <si>
    <t>Gnome de la surface</t>
  </si>
  <si>
    <t>Gnome des profondeurs</t>
  </si>
  <si>
    <t>Haut-elfe</t>
  </si>
  <si>
    <t>Humain</t>
  </si>
  <si>
    <t>Nain des collines</t>
  </si>
  <si>
    <t>Nain des montagnes</t>
  </si>
  <si>
    <t>Nain gris</t>
  </si>
  <si>
    <t>Petite-gens</t>
  </si>
  <si>
    <t>Vitesse (m)</t>
  </si>
  <si>
    <t>Barbare</t>
  </si>
  <si>
    <t>Cavalier</t>
  </si>
  <si>
    <t>Moine</t>
  </si>
  <si>
    <t>Voleur-acrobate</t>
  </si>
  <si>
    <t>Clerc Guerrier</t>
  </si>
  <si>
    <t>Clerc Ranger</t>
  </si>
  <si>
    <t>Clerc Magicien</t>
  </si>
  <si>
    <t>Clerc Voleur</t>
  </si>
  <si>
    <t>Clerc Assassin</t>
  </si>
  <si>
    <t>Guerrier Magicien</t>
  </si>
  <si>
    <t>Guerrier Assassin</t>
  </si>
  <si>
    <t>Ranger Magicien</t>
  </si>
  <si>
    <t>Magicien Voleur</t>
  </si>
  <si>
    <t>Magicien Assassin</t>
  </si>
  <si>
    <t>Clerc Guerrier Magicien</t>
  </si>
  <si>
    <t>Clerc Guerrier Voleur</t>
  </si>
  <si>
    <t>Guerrier  Magicien  Voleur</t>
  </si>
  <si>
    <t>Clerc  Magicien  Voleur</t>
  </si>
  <si>
    <t>Guerrier Voleur</t>
  </si>
  <si>
    <t>Druide Guerrier</t>
  </si>
  <si>
    <t>Druide Ranger</t>
  </si>
  <si>
    <t>Druide Magicien</t>
  </si>
  <si>
    <t>Druide Voleur</t>
  </si>
  <si>
    <t>Clerc Illusionniste</t>
  </si>
  <si>
    <t>Guerrier Illusionniste</t>
  </si>
  <si>
    <t>Illusionniste Voleur</t>
  </si>
  <si>
    <t>Pickpocket</t>
  </si>
  <si>
    <t>Infravision (m)</t>
  </si>
  <si>
    <t>Pente</t>
  </si>
  <si>
    <t>Construction récente</t>
  </si>
  <si>
    <t>Salles ou murs pivotants</t>
  </si>
  <si>
    <t>Pièges (fosses/pirres)</t>
  </si>
  <si>
    <t>Prof s/sol</t>
  </si>
  <si>
    <t>Illusion</t>
  </si>
  <si>
    <t>Paralisie</t>
  </si>
  <si>
    <t>Poison</t>
  </si>
  <si>
    <t>Immunité</t>
  </si>
  <si>
    <t>Restriction</t>
  </si>
  <si>
    <t>Charme</t>
  </si>
  <si>
    <t>Passage secret</t>
  </si>
  <si>
    <t>Epée longue</t>
  </si>
  <si>
    <t>Paroies dangereuses</t>
  </si>
  <si>
    <t>Humanpïdes</t>
  </si>
  <si>
    <t>Ultravision (m)</t>
  </si>
  <si>
    <t>1 à 2 sur 1D6</t>
  </si>
  <si>
    <t>1 à 9 sur 1D10</t>
  </si>
  <si>
    <t>Grands humanpïdes</t>
  </si>
  <si>
    <t>Protection</t>
  </si>
  <si>
    <t>Détection</t>
  </si>
  <si>
    <t>Armes</t>
  </si>
  <si>
    <t>Huile</t>
  </si>
  <si>
    <t>Toutes</t>
  </si>
  <si>
    <t>Oui</t>
  </si>
  <si>
    <t>Si mauvais</t>
  </si>
  <si>
    <t>Minimum requis</t>
  </si>
  <si>
    <t>Bonus Expérienxe</t>
  </si>
  <si>
    <t>A</t>
  </si>
  <si>
    <t>16(max)</t>
  </si>
  <si>
    <t>Illusionniste Assassin</t>
  </si>
  <si>
    <t>Non tranchantes</t>
  </si>
  <si>
    <t>Bois</t>
  </si>
  <si>
    <t>Non</t>
  </si>
  <si>
    <t>?</t>
  </si>
  <si>
    <t>Jamais</t>
  </si>
  <si>
    <t>Dague, fronde, bâton</t>
  </si>
  <si>
    <t>Arc, masse, épée</t>
  </si>
  <si>
    <t>Cuir, Hoqueton</t>
  </si>
  <si>
    <t>Cuir, Mailles</t>
  </si>
  <si>
    <t>Cimeterre, Bâton</t>
  </si>
  <si>
    <t>PickPocket</t>
  </si>
  <si>
    <t>Repérage et désamorçage</t>
  </si>
  <si>
    <t>Déplacement silencieux</t>
  </si>
  <si>
    <t>Capacité Voleur</t>
  </si>
  <si>
    <t>Classes</t>
  </si>
  <si>
    <t>Dissimulation dans l'ombre</t>
  </si>
  <si>
    <t>Facultés de Moine</t>
  </si>
  <si>
    <t>CA effective</t>
  </si>
  <si>
    <t>At/r</t>
  </si>
  <si>
    <t>5/4</t>
  </si>
  <si>
    <t>3/2</t>
  </si>
  <si>
    <t>5/2</t>
  </si>
  <si>
    <t>Mains</t>
  </si>
  <si>
    <t>Bonus armes</t>
  </si>
  <si>
    <t>Surpris à</t>
  </si>
  <si>
    <t>Spéc</t>
  </si>
  <si>
    <t>B</t>
  </si>
  <si>
    <t>A : habilité, obtenue dès le 3e niveau, de langage animal comme le sort de niveau 1 de druide</t>
  </si>
  <si>
    <t>B : habilité de masquer son esprit afin que l’ESP n’ait que 30 % de chance de réussite. Ce pouvoir est obtenu au 4e niveau et le pourcentage de chance descend de 2 % par niveau supplémentaire</t>
  </si>
  <si>
    <t>C : au 5e niveau, le moine n’est plus atteint pas les maladies et il est insensible aux sorts de rapidité et lenteur</t>
  </si>
  <si>
    <t>D : habilité de s’induire en catalepsie pour se faire passer pour mort. Cela réussit parfaitement au 6e niveau et le moine peut même abaisser la température de son corps et ralentir les battements de son cœur. Le moine peut maintenir cet état pendant un nombre de tours égal à deux fois son niveau, c’est-à-dire 12 tours (soit 120 min ou 2 heures) au niveau 6, 14 au niveau 7, etc.</t>
  </si>
  <si>
    <t>E : au 7e niveau, le moine obtient l’habilité de guérir ses blessures. Le nombre de points vie récupérés est de 2-5 points (1d4+1), et ce nombre augmente d’un point par niveau au-delà du 7e : 3-6 au niveau 8, 4-7 au niveau 9, etc. Cette habilité est utilisable une fois par jour.</t>
  </si>
  <si>
    <t>F : habilité de langage des plantes, comme le sort de niveau 4 de druide. Cette faculté est obtenue à partir du niveau 8.</t>
  </si>
  <si>
    <t>G : les sorts visant à séduire, charmer, hypnotiser ou suggérer n’ont que 50 % de chance de faire effet sur un moine de 9e niveau. Cette résistance augmente de 5 % par niveau au-delà du 9e . Ainsi, un moine de niveau 10 a 55 % de chance de résister, 60 au 11e niveau, etc. Si la résistance échoue, les jets de protection éventuellement autorisés sont toujours possibles.</t>
  </si>
  <si>
    <t>H : lorsque le moine est sujet à des attaques télépathiques ou à des chocs mentaux (voir Manuel des Monstres, Flagelleur Mental, par exemple) il est considéré comme ayant 18 en intelligence grâce à sa discipline mentale.</t>
  </si>
  <si>
    <t>I : au 11e niveau, un moine est immunisé à tous les poisons.</t>
  </si>
  <si>
    <t>J : les sorts de quête religieuse et quête magique sont sans effet sur un moine à partir du 12e niveau</t>
  </si>
  <si>
    <t>K : la dernière faculté obtenue est peut-être la plus terrible et la plus fabuleuse. Elle permet au moine de déclencher des vibrations dans le corps de sa victime (ces vibrations sont à peine ressenties par la victime et ne la gênent pas). Le moine contrôle alors ces vibrations et peut provoquer la mort lorsqu’il les arrête. Connue sous le nom de « paume palpitante », cette attaque peut virtuellement affecter n’importe quelle créature. Le moine déclenche les vibrations en touchant sa victime.</t>
  </si>
  <si>
    <t>Capacités de voleur</t>
  </si>
  <si>
    <t>Bonus Attaque</t>
  </si>
  <si>
    <t>Repérage et Désamorçage</t>
  </si>
  <si>
    <t>Lecture des Langues</t>
  </si>
  <si>
    <t>Cape</t>
  </si>
  <si>
    <t>Libre</t>
  </si>
  <si>
    <t>Att magique</t>
  </si>
  <si>
    <t>Def magique</t>
  </si>
  <si>
    <t>Attaque Dos</t>
  </si>
  <si>
    <t>Dégats Dos</t>
  </si>
  <si>
    <t>XP MIN</t>
  </si>
  <si>
    <t>XP MAX</t>
  </si>
  <si>
    <t>Voleur Acrobate</t>
  </si>
  <si>
    <t>Code Classe</t>
  </si>
  <si>
    <t>Classe 1</t>
  </si>
  <si>
    <t>Classe 2</t>
  </si>
  <si>
    <t>Classe 3</t>
  </si>
  <si>
    <t>Code classe</t>
  </si>
  <si>
    <t>Classe+DEX+Race+Armure</t>
  </si>
  <si>
    <t>Exépérience</t>
  </si>
  <si>
    <t>TALENTS DE VOLEUR</t>
  </si>
  <si>
    <t>JETS DE PROTECTION</t>
  </si>
  <si>
    <t>CAVALIER</t>
  </si>
  <si>
    <t>VOLEUR ACROBATE</t>
  </si>
  <si>
    <t>Pts Exp</t>
  </si>
  <si>
    <t>NA</t>
  </si>
  <si>
    <t>Para
Poison</t>
  </si>
  <si>
    <t>Pétrif
Morph</t>
  </si>
  <si>
    <t>Baguet
Bâton</t>
  </si>
  <si>
    <t>1/3,5CON</t>
  </si>
  <si>
    <t>Non natur</t>
  </si>
  <si>
    <t>10D10</t>
  </si>
  <si>
    <t>10D10+3</t>
  </si>
  <si>
    <t>10D10+6</t>
  </si>
  <si>
    <t>10D10+9</t>
  </si>
  <si>
    <t>10D10+12</t>
  </si>
  <si>
    <t>10D10+15</t>
  </si>
  <si>
    <t>10D10+18</t>
  </si>
  <si>
    <t>10D10+21</t>
  </si>
  <si>
    <t>10D10+24</t>
  </si>
  <si>
    <t>10D10+27</t>
  </si>
  <si>
    <t>10D10+30</t>
  </si>
  <si>
    <t>10D10+33</t>
  </si>
  <si>
    <t>10D10+36</t>
  </si>
  <si>
    <t>10D10+39</t>
  </si>
  <si>
    <t>10D10+42</t>
  </si>
  <si>
    <t>10D10+45</t>
  </si>
  <si>
    <t>10D10+48</t>
  </si>
  <si>
    <t>10D10+51</t>
  </si>
  <si>
    <t>10D10+54</t>
  </si>
  <si>
    <t>10D10+57</t>
  </si>
  <si>
    <t>10D10+60</t>
  </si>
  <si>
    <t>10D10+63</t>
  </si>
  <si>
    <t>10D10+66</t>
  </si>
  <si>
    <t>10D10+69</t>
  </si>
  <si>
    <t>10D10+72</t>
  </si>
  <si>
    <t>10D10+75</t>
  </si>
  <si>
    <t>10D10+78</t>
  </si>
  <si>
    <t>Type de mort-vivant</t>
  </si>
  <si>
    <t>14+</t>
  </si>
  <si>
    <t>–</t>
  </si>
  <si>
    <t>Âme en peine</t>
  </si>
  <si>
    <t>VADE-RETRO</t>
  </si>
  <si>
    <t>Spec</t>
  </si>
  <si>
    <t>a</t>
  </si>
  <si>
    <t>b</t>
  </si>
  <si>
    <t>c</t>
  </si>
  <si>
    <t>d</t>
  </si>
  <si>
    <t>e</t>
  </si>
  <si>
    <t>f</t>
  </si>
  <si>
    <t>Créatures mauvaises des plans inférieurs, comme les démons et diables mineurs, les mezzodaemons, les sorcières des ténèbres, au nombre de 1-2 (en général, toute créature dont la classe d’armure est de −5 ou mieux, possédant 11 dés de vie ou plus, ou encore 66 % ou plus de résistance à la magie n’est pas affectée).</t>
  </si>
  <si>
    <t>Un paladin du 1er ou 2e niveau peut être repoussé par un clerc mauvais.</t>
  </si>
  <si>
    <t>Un paladin du 3e ou 4e niveau peut être repoussé par un clerc mauvais.</t>
  </si>
  <si>
    <t>Un paladin du 5e ou 6e niveau peut être repoussé par un clerc mauvais.</t>
  </si>
  <si>
    <t>Un paladin du 7e ou 8e niveau peut être repoussé par un clerc mauvais.</t>
  </si>
  <si>
    <t>Un paladin du 9e ou 10e niveau peut être repoussé par un clerc mauvais.</t>
  </si>
  <si>
    <t>Spécial</t>
  </si>
  <si>
    <t>Un paladin du 11e niveau ou plus peut être repoussé par un clerc mauvais.</t>
  </si>
  <si>
    <t>1 à 12</t>
  </si>
  <si>
    <t>BARBARE</t>
  </si>
  <si>
    <t>2D12</t>
  </si>
  <si>
    <t>3D12</t>
  </si>
  <si>
    <t>4D12</t>
  </si>
  <si>
    <t>5D12</t>
  </si>
  <si>
    <t>6D12</t>
  </si>
  <si>
    <t>7D12</t>
  </si>
  <si>
    <t>8D12</t>
  </si>
  <si>
    <t>8D12+4</t>
  </si>
  <si>
    <t>8D12+8</t>
  </si>
  <si>
    <t>8D12+12</t>
  </si>
  <si>
    <t>8D12+16</t>
  </si>
  <si>
    <t>8D12+20</t>
  </si>
  <si>
    <t>8D12+24</t>
  </si>
  <si>
    <t>8D12+28</t>
  </si>
  <si>
    <t>8D12+32</t>
  </si>
  <si>
    <t>8D12+36</t>
  </si>
  <si>
    <t>8D12+40</t>
  </si>
  <si>
    <t>8D12+44</t>
  </si>
  <si>
    <t>8D12+48</t>
  </si>
  <si>
    <t>8D12+52</t>
  </si>
  <si>
    <t>8D12+56</t>
  </si>
  <si>
    <t>8D12+60</t>
  </si>
  <si>
    <t>8D12+64</t>
  </si>
  <si>
    <t>8D12+68</t>
  </si>
  <si>
    <t>8D12+72</t>
  </si>
  <si>
    <t>8D12+76</t>
  </si>
  <si>
    <t>8D12+80</t>
  </si>
  <si>
    <t>8D12+84</t>
  </si>
  <si>
    <t>8D12+88</t>
  </si>
  <si>
    <t>8D12+92</t>
  </si>
  <si>
    <t>8D12+96</t>
  </si>
  <si>
    <t>8D12+100</t>
  </si>
  <si>
    <t>Maitrise</t>
  </si>
  <si>
    <t>Non-maîtrise</t>
  </si>
  <si>
    <t>Pénalités</t>
  </si>
  <si>
    <t>Normal</t>
  </si>
  <si>
    <t>Cad</t>
  </si>
  <si>
    <t>ATTAQUE DANS LE DOS</t>
  </si>
  <si>
    <t>SAG &gt; 15</t>
  </si>
  <si>
    <t>SAG/CHA &gt; 15</t>
  </si>
  <si>
    <t>FOR &gt; 15</t>
  </si>
  <si>
    <t>Nb :</t>
  </si>
  <si>
    <t>T :</t>
  </si>
  <si>
    <t>automatique</t>
  </si>
  <si>
    <t>D :</t>
  </si>
  <si>
    <t>damnation</t>
  </si>
  <si>
    <t>D* :</t>
  </si>
  <si>
    <t>7 à 12</t>
  </si>
  <si>
    <t>Bonus 10% si :</t>
  </si>
  <si>
    <t>Armes / Armures autorisées</t>
  </si>
  <si>
    <t>Compétences martiales</t>
  </si>
  <si>
    <t>Eq; Classe</t>
  </si>
  <si>
    <t>Niv.Classe</t>
  </si>
  <si>
    <t>NivC1</t>
  </si>
  <si>
    <t>NivC2</t>
  </si>
  <si>
    <t>VOLEUR acrobate</t>
  </si>
  <si>
    <r>
      <t xml:space="preserve">NivC1 / </t>
    </r>
    <r>
      <rPr>
        <b/>
        <sz val="11"/>
        <color theme="8" tint="0.39997558519241921"/>
        <rFont val="Calibri"/>
        <family val="2"/>
      </rPr>
      <t>NivC2</t>
    </r>
  </si>
  <si>
    <t>POINTS DE VIE</t>
  </si>
  <si>
    <t>POINTS EXPERIENCE</t>
  </si>
  <si>
    <t xml:space="preserve"> </t>
  </si>
  <si>
    <t>Classe</t>
  </si>
  <si>
    <t>Race</t>
  </si>
  <si>
    <t>Sexe</t>
  </si>
  <si>
    <t>Origine</t>
  </si>
  <si>
    <t>Dieu</t>
  </si>
  <si>
    <t>Age</t>
  </si>
  <si>
    <t>Taille</t>
  </si>
  <si>
    <t>Peau</t>
  </si>
  <si>
    <t>Yeux</t>
  </si>
  <si>
    <t>Cheveux</t>
  </si>
  <si>
    <t>Description / Apparence</t>
  </si>
  <si>
    <t xml:space="preserve">Date de création : </t>
  </si>
  <si>
    <t>Actuel</t>
  </si>
  <si>
    <t>OBJETS MAGIQUES</t>
  </si>
  <si>
    <t>DES DE VIE</t>
  </si>
  <si>
    <t>Blessures</t>
  </si>
  <si>
    <t>VITESSE</t>
  </si>
  <si>
    <t>Bonus Contit</t>
  </si>
  <si>
    <t>PV tot</t>
  </si>
  <si>
    <t>EXPERIENCE</t>
  </si>
  <si>
    <t>Nb d'armes</t>
  </si>
  <si>
    <t>Attaque de dos</t>
  </si>
  <si>
    <t>Spécialisation G/R</t>
  </si>
  <si>
    <t>Maitrises</t>
  </si>
  <si>
    <t>CLASSE D'ARMURE</t>
  </si>
  <si>
    <t>Arbalète légère</t>
  </si>
  <si>
    <t>Arbalète lourde</t>
  </si>
  <si>
    <t>1/2</t>
  </si>
  <si>
    <t>Poids (en po)</t>
  </si>
  <si>
    <t>Dégâts P/M</t>
  </si>
  <si>
    <t>Dégâts G</t>
  </si>
  <si>
    <t>Longueur (cm)</t>
  </si>
  <si>
    <t>Espace requis (cm)</t>
  </si>
  <si>
    <t>Facteur de rapidité</t>
  </si>
  <si>
    <t>CT</t>
  </si>
  <si>
    <t>L</t>
  </si>
  <si>
    <t>CA0</t>
  </si>
  <si>
    <t>CA1</t>
  </si>
  <si>
    <t>CA2</t>
  </si>
  <si>
    <t>CA3</t>
  </si>
  <si>
    <t>CA4</t>
  </si>
  <si>
    <t>CA5</t>
  </si>
  <si>
    <t>CA6</t>
  </si>
  <si>
    <t>CA7</t>
  </si>
  <si>
    <t>CA8</t>
  </si>
  <si>
    <t>CA9</t>
  </si>
  <si>
    <t>CA10</t>
  </si>
  <si>
    <t>Aklys</t>
  </si>
  <si>
    <t>Arbalète de poing</t>
  </si>
  <si>
    <t>Arc court</t>
  </si>
  <si>
    <t>Arc court composite</t>
  </si>
  <si>
    <t>Arc long</t>
  </si>
  <si>
    <t>Arc long composite</t>
  </si>
  <si>
    <t>Attrape-homme</t>
  </si>
  <si>
    <t>240+</t>
  </si>
  <si>
    <t>Bardiche</t>
  </si>
  <si>
    <t>Bâton</t>
  </si>
  <si>
    <t>180-240</t>
  </si>
  <si>
    <t>Bâton d'escrime</t>
  </si>
  <si>
    <t>Bec de Corbin</t>
  </si>
  <si>
    <t>Bo</t>
  </si>
  <si>
    <t>Bouclier de poing avec pointe</t>
  </si>
  <si>
    <t>Canne d'escrime</t>
  </si>
  <si>
    <t>Carreau d'arbalète de poing</t>
  </si>
  <si>
    <t>Carreau d'arbalète légère</t>
  </si>
  <si>
    <t>Carreau d'arbalète lourde</t>
  </si>
  <si>
    <t>Chausse-trappe</t>
  </si>
  <si>
    <t>n/a</t>
  </si>
  <si>
    <t>Chauve-souris</t>
  </si>
  <si>
    <t>Couteau</t>
  </si>
  <si>
    <t>Couteau de brèche</t>
  </si>
  <si>
    <t>Epée à deux mains</t>
  </si>
  <si>
    <t>Epée bâtarde</t>
  </si>
  <si>
    <t>Epée courte</t>
  </si>
  <si>
    <t>Epée fauchon</t>
  </si>
  <si>
    <t>60-80</t>
  </si>
  <si>
    <t>Epée khopesh</t>
  </si>
  <si>
    <t>Epée large</t>
  </si>
  <si>
    <t>Epieu de cavalier</t>
  </si>
  <si>
    <t>Epieu de fantassin</t>
  </si>
  <si>
    <t>Étoile du matin</t>
  </si>
  <si>
    <t>Fauchard</t>
  </si>
  <si>
    <t>Fléau de cavalier</t>
  </si>
  <si>
    <t>Fléau de fantassin</t>
  </si>
  <si>
    <t>Flèches (arcs)</t>
  </si>
  <si>
    <t>Fléchette</t>
  </si>
  <si>
    <t>25-35</t>
  </si>
  <si>
    <t>240-600</t>
  </si>
  <si>
    <t>Fourche de guerre</t>
  </si>
  <si>
    <t>210+</t>
  </si>
  <si>
    <t>Fourche fauchard</t>
  </si>
  <si>
    <t>Fronde, bille</t>
  </si>
  <si>
    <t>Fronde, pierre</t>
  </si>
  <si>
    <t>Fustibale, bille</t>
  </si>
  <si>
    <t>Fustibale, pierre</t>
  </si>
  <si>
    <t>Garrot</t>
  </si>
  <si>
    <t>Glaive-Guisarme</t>
  </si>
  <si>
    <t>180+</t>
  </si>
  <si>
    <t>Guisarme Voulge</t>
  </si>
  <si>
    <t>Hache d'armes</t>
  </si>
  <si>
    <t>Hache lancée ou hachette</t>
  </si>
  <si>
    <t>150+</t>
  </si>
  <si>
    <t>Harpon</t>
  </si>
  <si>
    <t>50-60</t>
  </si>
  <si>
    <t>Jo</t>
  </si>
  <si>
    <t>Lance (cheval léger)</t>
  </si>
  <si>
    <t>Lance (cheval lourd)</t>
  </si>
  <si>
    <t>Lance (cheval moyen)</t>
  </si>
  <si>
    <t>Lance de fantassin</t>
  </si>
  <si>
    <t>40-60</t>
  </si>
  <si>
    <t>150-390</t>
  </si>
  <si>
    <t>Lasso</t>
  </si>
  <si>
    <t>300-600</t>
  </si>
  <si>
    <t>Marteau de guerre</t>
  </si>
  <si>
    <t>Marteau de Lucerne</t>
  </si>
  <si>
    <t>Masse de cavalier</t>
  </si>
  <si>
    <t>Masse de fantassin</t>
  </si>
  <si>
    <t>Massue</t>
  </si>
  <si>
    <t>30-90</t>
  </si>
  <si>
    <t>Matraque</t>
  </si>
  <si>
    <t>Pertuisane</t>
  </si>
  <si>
    <t>Pique</t>
  </si>
  <si>
    <t>60+</t>
  </si>
  <si>
    <t>Propulseur (javelot)</t>
  </si>
  <si>
    <t>Ranseur</t>
  </si>
  <si>
    <t>Sap</t>
  </si>
  <si>
    <t>Sarbacane et aiguille</t>
  </si>
  <si>
    <t>Serpe Guisarme</t>
  </si>
  <si>
    <t>120-240+</t>
  </si>
  <si>
    <t>Voulge</t>
  </si>
  <si>
    <t>2-4</t>
  </si>
  <si>
    <t>1D8+1</t>
  </si>
  <si>
    <t>5-8</t>
  </si>
  <si>
    <t>6-8</t>
  </si>
  <si>
    <t>Cuir ou Hoqueton</t>
  </si>
  <si>
    <t>Cuir cloutée ou Broigne</t>
  </si>
  <si>
    <t>Cotte de mailles</t>
  </si>
  <si>
    <t>Cotte de mailles elfique</t>
  </si>
  <si>
    <t>Plate de bataille</t>
  </si>
  <si>
    <t>Plate complète</t>
  </si>
  <si>
    <t>Harnois ou Plate feuilletée</t>
  </si>
  <si>
    <t>Vêtements ou Robe</t>
  </si>
  <si>
    <t>Plate</t>
  </si>
  <si>
    <t>JET</t>
  </si>
  <si>
    <t>CORPS A CORPS</t>
  </si>
  <si>
    <t>Mains nues</t>
  </si>
  <si>
    <t>Aklys (L)</t>
  </si>
  <si>
    <t>Couteau (L)</t>
  </si>
  <si>
    <t>Dague (L)</t>
  </si>
  <si>
    <t>Harpon (L)</t>
  </si>
  <si>
    <t>Lance de fantassin (L)</t>
  </si>
  <si>
    <t>Lasso (L)</t>
  </si>
  <si>
    <t>Marteau de guerre (L)</t>
  </si>
  <si>
    <t>Massue (L)</t>
  </si>
  <si>
    <t>Aucune (L)</t>
  </si>
  <si>
    <t>Code cac</t>
  </si>
  <si>
    <t>code j</t>
  </si>
  <si>
    <t>SPECIALISATION ARME</t>
  </si>
  <si>
    <t>9-18</t>
  </si>
  <si>
    <t>S/P</t>
  </si>
  <si>
    <t>Touch S1</t>
  </si>
  <si>
    <t>Dgts S1</t>
  </si>
  <si>
    <t>Touch S2</t>
  </si>
  <si>
    <t>Dgts S2</t>
  </si>
  <si>
    <t>P Cav</t>
  </si>
  <si>
    <t>P Pal</t>
  </si>
  <si>
    <t>Niv Cav</t>
  </si>
  <si>
    <t>O</t>
  </si>
  <si>
    <t>Hache (L) ou hachette</t>
  </si>
  <si>
    <t>Niv Pal</t>
  </si>
  <si>
    <t>* Talents de voleur et Vadre-Retro affichés que si la classe le permet</t>
  </si>
  <si>
    <t>JP Poison</t>
  </si>
  <si>
    <t>JP poison</t>
  </si>
  <si>
    <t>Paralysie / Poison</t>
  </si>
  <si>
    <t>* Bonus "Spécialisation Guerrier" OK en simple Spéc</t>
  </si>
  <si>
    <t>Ajuster SAG vs. attaques mentales et DEX vs. évitements</t>
  </si>
  <si>
    <t>2D6+1</t>
  </si>
  <si>
    <t>3D4+1</t>
  </si>
  <si>
    <t>4D4+1</t>
  </si>
  <si>
    <t>BOB</t>
  </si>
  <si>
    <t>x</t>
  </si>
  <si>
    <t>Voleur acrobate</t>
  </si>
  <si>
    <t>EQUIPEMENTS</t>
  </si>
  <si>
    <t>Gemmes / Joyaux</t>
  </si>
  <si>
    <t>LISTES DE CHOIX :</t>
  </si>
  <si>
    <t>CALCULS :</t>
  </si>
  <si>
    <t>GAYAL</t>
  </si>
  <si>
    <t>Je conseille de protéger la feuille pour éviter de dézinguer les calculs auto</t>
  </si>
  <si>
    <t>* Information sur tous les sorts : Portée, Durée, Composantes</t>
  </si>
  <si>
    <t>* Gestion multi-classes -&gt; Apparition des niveaux et XP en fonction</t>
  </si>
  <si>
    <t>* Liste déroulante des classes autorisées uniquement par la Race</t>
  </si>
  <si>
    <t>* Bonus d'attaque de "Prédilection Cavalier/Paladin" OK</t>
  </si>
  <si>
    <t>Revue calcul de CA</t>
  </si>
  <si>
    <t>Revue des caractéristiques Moines</t>
  </si>
  <si>
    <t>LISTE DEROULANTE RACE-CLASSES</t>
  </si>
  <si>
    <t>* Traitement des Jets de Protection selon la meilleure classe, bonus Race intégrés MAIS bonus SAG vs. attaques mentales et DEX vs. Évitements non intégrés</t>
  </si>
  <si>
    <t>EN PROJET :</t>
  </si>
  <si>
    <t>* Gestion des compétences du Voleur Acrobate</t>
  </si>
  <si>
    <t>* Limitation en niveau de classes selon la Race races</t>
  </si>
  <si>
    <t>* Bonus Toucher des races dans la table de combat</t>
  </si>
  <si>
    <t>* Contrôle des caractériqtiques mini MAXI des Races</t>
  </si>
  <si>
    <r>
      <t xml:space="preserve">* Gestion de toutes les races et classes AD&amp;D : version DDD du </t>
    </r>
    <r>
      <rPr>
        <i/>
        <sz val="11"/>
        <color rgb="FFFF0000"/>
        <rFont val="Comic Sans MS"/>
        <family val="4"/>
      </rPr>
      <t>Manuel Complet du Joueur 1-5 révision octobre 2020</t>
    </r>
    <r>
      <rPr>
        <sz val="11"/>
        <color rgb="FFFF0000"/>
        <rFont val="Comic Sans MS"/>
        <family val="4"/>
      </rPr>
      <t xml:space="preserve"> -&gt;</t>
    </r>
  </si>
  <si>
    <t>la feuille d'origine proposée sur le forum DDD m'a insité à pousser la réflexion et la diversité ; elle reste une feuille de calculs uniquement sans aucune macro</t>
  </si>
  <si>
    <r>
      <t xml:space="preserve">IMPRESSION : </t>
    </r>
    <r>
      <rPr>
        <u/>
        <sz val="11"/>
        <color rgb="FFFF0000"/>
        <rFont val="Comic Sans MS"/>
        <family val="4"/>
      </rPr>
      <t>non vérifié … mais bon</t>
    </r>
  </si>
  <si>
    <t>Je conseille aussi de faire une sauvegarde de la feuille avant toute utilisation (on ne sait jamais lol),</t>
  </si>
  <si>
    <t>Bonus à appliquer selon le JP</t>
  </si>
  <si>
    <t>BONUS CALCULES MAIS PAS SYSTEMATIQUES</t>
  </si>
  <si>
    <t>2 cases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</si>
</sst>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49" x14ac:knownFonts="1">
    <font>
      <sz val="11"/>
      <color theme="1"/>
      <name val="Calibri"/>
      <family val="2"/>
    </font>
    <font>
      <sz val="11"/>
      <color theme="1"/>
      <name val="Comic Sans MS"/>
      <family val="4"/>
    </font>
    <font>
      <sz val="14"/>
      <color theme="1"/>
      <name val="Comic Sans MS"/>
      <family val="4"/>
    </font>
    <font>
      <b/>
      <sz val="12"/>
      <color theme="1"/>
      <name val="Comic Sans MS"/>
      <family val="4"/>
    </font>
    <font>
      <b/>
      <sz val="11"/>
      <color theme="1"/>
      <name val="Comic Sans MS"/>
      <family val="4"/>
    </font>
    <font>
      <sz val="18"/>
      <color theme="1"/>
      <name val="Comic Sans MS"/>
      <family val="4"/>
    </font>
    <font>
      <sz val="10"/>
      <color theme="1"/>
      <name val="Comic Sans MS"/>
      <family val="4"/>
    </font>
    <font>
      <b/>
      <sz val="14"/>
      <color theme="1"/>
      <name val="Comic Sans MS"/>
      <family val="4"/>
    </font>
    <font>
      <b/>
      <sz val="10"/>
      <color theme="1"/>
      <name val="Comic Sans MS"/>
      <family val="4"/>
    </font>
    <font>
      <b/>
      <sz val="16"/>
      <color theme="1"/>
      <name val="Comic Sans MS"/>
      <family val="4"/>
    </font>
    <font>
      <sz val="12"/>
      <color theme="1"/>
      <name val="Comic Sans MS"/>
      <family val="4"/>
    </font>
    <font>
      <b/>
      <sz val="18"/>
      <color theme="1"/>
      <name val="Comic Sans MS"/>
      <family val="4"/>
    </font>
    <font>
      <sz val="16"/>
      <color theme="1"/>
      <name val="Comic Sans MS"/>
      <family val="4"/>
    </font>
    <font>
      <sz val="9"/>
      <color theme="1"/>
      <name val="Comic Sans MS"/>
      <family val="4"/>
    </font>
    <font>
      <u/>
      <sz val="11"/>
      <color theme="1"/>
      <name val="Comic Sans MS"/>
      <family val="4"/>
    </font>
    <font>
      <i/>
      <sz val="10"/>
      <color theme="1"/>
      <name val="Comic Sans MS"/>
      <family val="4"/>
    </font>
    <font>
      <sz val="11"/>
      <color theme="1"/>
      <name val="Calibri"/>
      <family val="2"/>
    </font>
    <font>
      <sz val="26"/>
      <color theme="1"/>
      <name val="Comic Sans MS"/>
      <family val="4"/>
    </font>
    <font>
      <b/>
      <sz val="11"/>
      <color theme="1"/>
      <name val="Calibri"/>
      <family val="2"/>
    </font>
    <font>
      <sz val="9"/>
      <color rgb="FF333333"/>
      <name val="Arial"/>
      <family val="2"/>
    </font>
    <font>
      <u/>
      <sz val="11"/>
      <color theme="10"/>
      <name val="Calibri"/>
      <family val="2"/>
    </font>
    <font>
      <sz val="11"/>
      <color rgb="FF333333"/>
      <name val="Arial"/>
      <family val="2"/>
    </font>
    <font>
      <sz val="11"/>
      <color rgb="FFFF0000"/>
      <name val="Comic Sans MS"/>
      <family val="4"/>
    </font>
    <font>
      <b/>
      <sz val="14"/>
      <color theme="1"/>
      <name val="Calibri"/>
      <family val="2"/>
    </font>
    <font>
      <b/>
      <u/>
      <sz val="11"/>
      <color theme="10"/>
      <name val="Calibri"/>
      <family val="2"/>
    </font>
    <font>
      <sz val="11"/>
      <name val="Calibri"/>
      <family val="2"/>
    </font>
    <font>
      <sz val="8"/>
      <color theme="1"/>
      <name val="Comic Sans MS"/>
      <family val="4"/>
    </font>
    <font>
      <sz val="8"/>
      <name val="Calibri"/>
      <family val="2"/>
    </font>
    <font>
      <b/>
      <i/>
      <sz val="11"/>
      <color theme="1"/>
      <name val="Comic Sans MS"/>
      <family val="4"/>
    </font>
    <font>
      <i/>
      <sz val="11"/>
      <color theme="1"/>
      <name val="Comic Sans MS"/>
      <family val="4"/>
    </font>
    <font>
      <b/>
      <sz val="24"/>
      <color theme="1"/>
      <name val="Comic Sans MS"/>
      <family val="4"/>
    </font>
    <font>
      <strike/>
      <u/>
      <sz val="11"/>
      <color theme="10"/>
      <name val="Calibri"/>
      <family val="2"/>
    </font>
    <font>
      <b/>
      <sz val="11"/>
      <color theme="8" tint="0.39997558519241921"/>
      <name val="Calibri"/>
      <family val="2"/>
    </font>
    <font>
      <b/>
      <sz val="15"/>
      <color theme="1"/>
      <name val="Comic Sans MS"/>
      <family val="4"/>
    </font>
    <font>
      <u/>
      <sz val="10"/>
      <color theme="1"/>
      <name val="Comic Sans MS"/>
      <family val="4"/>
    </font>
    <font>
      <b/>
      <u/>
      <sz val="14"/>
      <color theme="1"/>
      <name val="Comic Sans MS"/>
      <family val="4"/>
    </font>
    <font>
      <b/>
      <sz val="22"/>
      <color theme="1"/>
      <name val="Comic Sans MS"/>
      <family val="4"/>
    </font>
    <font>
      <sz val="12"/>
      <color rgb="FFFF0000"/>
      <name val="Comic Sans MS"/>
      <family val="4"/>
    </font>
    <font>
      <b/>
      <sz val="9"/>
      <color rgb="FF333333"/>
      <name val="Arial"/>
      <family val="2"/>
    </font>
    <font>
      <b/>
      <sz val="9"/>
      <name val="Arial"/>
      <family val="2"/>
    </font>
    <font>
      <b/>
      <sz val="11"/>
      <name val="Calibri"/>
      <family val="2"/>
    </font>
    <font>
      <sz val="8"/>
      <name val="Comic Sans MS"/>
      <family val="4"/>
    </font>
    <font>
      <i/>
      <u/>
      <sz val="9"/>
      <color theme="1"/>
      <name val="Comic Sans MS"/>
      <family val="4"/>
    </font>
    <font>
      <i/>
      <sz val="11"/>
      <color rgb="FFFF0000"/>
      <name val="Comic Sans MS"/>
      <family val="4"/>
    </font>
    <font>
      <sz val="11"/>
      <color rgb="FFFF0000"/>
      <name val="Calibri"/>
      <family val="2"/>
    </font>
    <font>
      <b/>
      <sz val="14"/>
      <name val="Comic Sans MS"/>
      <family val="4"/>
    </font>
    <font>
      <u/>
      <sz val="11"/>
      <color rgb="FFFF0000"/>
      <name val="Comic Sans MS"/>
      <family val="4"/>
    </font>
    <font>
      <sz val="11"/>
      <color rgb="FF0070C0"/>
      <name val="Comic Sans MS"/>
      <family val="4"/>
    </font>
    <font>
      <sz val="11"/>
      <color rgb="FF0070C0"/>
      <name val="Calibri"/>
      <family val="2"/>
    </font>
  </fonts>
  <fills count="13">
    <fill>
      <patternFill patternType="none"/>
    </fill>
    <fill>
      <patternFill patternType="gray125"/>
    </fill>
    <fill>
      <patternFill patternType="solid">
        <fgColor theme="8" tint="0.79998168889431442"/>
        <bgColor indexed="64"/>
      </patternFill>
    </fill>
    <fill>
      <patternFill patternType="solid">
        <fgColor rgb="FFFFFFFF"/>
        <bgColor indexed="64"/>
      </patternFill>
    </fill>
    <fill>
      <patternFill patternType="solid">
        <fgColor theme="0" tint="-0.249977111117893"/>
        <bgColor indexed="64"/>
      </patternFill>
    </fill>
    <fill>
      <patternFill patternType="solid">
        <fgColor theme="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92D050"/>
        <bgColor indexed="64"/>
      </patternFill>
    </fill>
    <fill>
      <patternFill patternType="solid">
        <fgColor rgb="FFFFCC00"/>
        <bgColor indexed="64"/>
      </patternFill>
    </fill>
    <fill>
      <patternFill patternType="solid">
        <fgColor rgb="FF00B0F0"/>
        <bgColor indexed="64"/>
      </patternFill>
    </fill>
    <fill>
      <patternFill patternType="solid">
        <fgColor rgb="FFFFC000"/>
        <bgColor indexed="64"/>
      </patternFill>
    </fill>
    <fill>
      <patternFill patternType="solid">
        <fgColor theme="0" tint="-0.14999847407452621"/>
        <bgColor indexed="64"/>
      </patternFill>
    </fill>
  </fills>
  <borders count="125">
    <border>
      <left/>
      <right/>
      <top/>
      <bottom/>
      <diagonal/>
    </border>
    <border>
      <left/>
      <right/>
      <top/>
      <bottom style="thin">
        <color indexed="64"/>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right/>
      <top style="thin">
        <color indexed="64"/>
      </top>
      <bottom style="thin">
        <color indexed="64"/>
      </bottom>
      <diagonal/>
    </border>
    <border>
      <left style="thick">
        <color auto="1"/>
      </left>
      <right style="thick">
        <color auto="1"/>
      </right>
      <top/>
      <bottom style="thick">
        <color auto="1"/>
      </bottom>
      <diagonal/>
    </border>
    <border>
      <left/>
      <right style="thick">
        <color auto="1"/>
      </right>
      <top style="thick">
        <color auto="1"/>
      </top>
      <bottom style="thick">
        <color auto="1"/>
      </bottom>
      <diagonal/>
    </border>
    <border>
      <left/>
      <right/>
      <top style="thick">
        <color auto="1"/>
      </top>
      <bottom style="thick">
        <color auto="1"/>
      </bottom>
      <diagonal/>
    </border>
    <border>
      <left style="thick">
        <color auto="1"/>
      </left>
      <right style="thick">
        <color auto="1"/>
      </right>
      <top style="thick">
        <color auto="1"/>
      </top>
      <bottom style="thin">
        <color auto="1"/>
      </bottom>
      <diagonal/>
    </border>
    <border>
      <left style="thick">
        <color auto="1"/>
      </left>
      <right/>
      <top style="thick">
        <color auto="1"/>
      </top>
      <bottom style="thick">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thick">
        <color auto="1"/>
      </bottom>
      <diagonal/>
    </border>
    <border>
      <left/>
      <right style="medium">
        <color auto="1"/>
      </right>
      <top/>
      <bottom style="thick">
        <color auto="1"/>
      </bottom>
      <diagonal/>
    </border>
    <border>
      <left/>
      <right/>
      <top style="medium">
        <color auto="1"/>
      </top>
      <bottom/>
      <diagonal/>
    </border>
    <border>
      <left/>
      <right/>
      <top style="medium">
        <color auto="1"/>
      </top>
      <bottom style="medium">
        <color auto="1"/>
      </bottom>
      <diagonal/>
    </border>
    <border>
      <left/>
      <right style="medium">
        <color auto="1"/>
      </right>
      <top/>
      <bottom/>
      <diagonal/>
    </border>
    <border>
      <left/>
      <right/>
      <top style="thick">
        <color auto="1"/>
      </top>
      <bottom style="medium">
        <color auto="1"/>
      </bottom>
      <diagonal/>
    </border>
    <border>
      <left style="medium">
        <color auto="1"/>
      </left>
      <right/>
      <top style="medium">
        <color auto="1"/>
      </top>
      <bottom style="medium">
        <color auto="1"/>
      </bottom>
      <diagonal/>
    </border>
    <border>
      <left/>
      <right style="thick">
        <color auto="1"/>
      </right>
      <top style="medium">
        <color auto="1"/>
      </top>
      <bottom style="medium">
        <color auto="1"/>
      </bottom>
      <diagonal/>
    </border>
    <border>
      <left style="thick">
        <color auto="1"/>
      </left>
      <right/>
      <top style="medium">
        <color auto="1"/>
      </top>
      <bottom/>
      <diagonal/>
    </border>
    <border>
      <left style="thick">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bottom style="medium">
        <color auto="1"/>
      </bottom>
      <diagonal/>
    </border>
    <border>
      <left/>
      <right style="medium">
        <color auto="1"/>
      </right>
      <top style="medium">
        <color auto="1"/>
      </top>
      <bottom style="medium">
        <color auto="1"/>
      </bottom>
      <diagonal/>
    </border>
    <border>
      <left style="medium">
        <color auto="1"/>
      </left>
      <right/>
      <top/>
      <bottom/>
      <diagonal/>
    </border>
    <border>
      <left style="thick">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thin">
        <color auto="1"/>
      </bottom>
      <diagonal/>
    </border>
    <border>
      <left style="thick">
        <color auto="1"/>
      </left>
      <right/>
      <top style="thick">
        <color auto="1"/>
      </top>
      <bottom style="medium">
        <color auto="1"/>
      </bottom>
      <diagonal/>
    </border>
    <border>
      <left/>
      <right style="thick">
        <color auto="1"/>
      </right>
      <top style="thick">
        <color auto="1"/>
      </top>
      <bottom style="medium">
        <color auto="1"/>
      </bottom>
      <diagonal/>
    </border>
    <border>
      <left/>
      <right style="thick">
        <color auto="1"/>
      </right>
      <top style="medium">
        <color auto="1"/>
      </top>
      <bottom/>
      <diagonal/>
    </border>
    <border>
      <left/>
      <right style="thick">
        <color auto="1"/>
      </right>
      <top/>
      <bottom style="medium">
        <color auto="1"/>
      </bottom>
      <diagonal/>
    </border>
    <border>
      <left style="medium">
        <color auto="1"/>
      </left>
      <right/>
      <top style="thick">
        <color auto="1"/>
      </top>
      <bottom/>
      <diagonal/>
    </border>
    <border>
      <left style="thin">
        <color indexed="64"/>
      </left>
      <right style="thin">
        <color indexed="64"/>
      </right>
      <top style="thin">
        <color indexed="64"/>
      </top>
      <bottom style="thin">
        <color indexed="64"/>
      </bottom>
      <diagonal/>
    </border>
    <border>
      <left style="thick">
        <color auto="1"/>
      </left>
      <right/>
      <top style="medium">
        <color auto="1"/>
      </top>
      <bottom style="medium">
        <color auto="1"/>
      </bottom>
      <diagonal/>
    </border>
    <border>
      <left/>
      <right style="thick">
        <color auto="1"/>
      </right>
      <top style="medium">
        <color auto="1"/>
      </top>
      <bottom style="thick">
        <color auto="1"/>
      </bottom>
      <diagonal/>
    </border>
    <border>
      <left style="thick">
        <color auto="1"/>
      </left>
      <right/>
      <top style="medium">
        <color auto="1"/>
      </top>
      <bottom style="thick">
        <color auto="1"/>
      </bottom>
      <diagonal/>
    </border>
    <border>
      <left/>
      <right/>
      <top style="medium">
        <color auto="1"/>
      </top>
      <bottom style="thin">
        <color auto="1"/>
      </bottom>
      <diagonal/>
    </border>
    <border>
      <left style="thin">
        <color auto="1"/>
      </left>
      <right style="thin">
        <color auto="1"/>
      </right>
      <top style="medium">
        <color auto="1"/>
      </top>
      <bottom style="thin">
        <color auto="1"/>
      </bottom>
      <diagonal/>
    </border>
    <border>
      <left/>
      <right style="thin">
        <color auto="1"/>
      </right>
      <top style="medium">
        <color auto="1"/>
      </top>
      <bottom style="thin">
        <color auto="1"/>
      </bottom>
      <diagonal/>
    </border>
    <border>
      <left style="medium">
        <color auto="1"/>
      </left>
      <right style="thin">
        <color auto="1"/>
      </right>
      <top style="thin">
        <color auto="1"/>
      </top>
      <bottom style="thin">
        <color indexed="64"/>
      </bottom>
      <diagonal/>
    </border>
    <border>
      <left style="medium">
        <color auto="1"/>
      </left>
      <right style="medium">
        <color auto="1"/>
      </right>
      <top style="medium">
        <color auto="1"/>
      </top>
      <bottom style="thin">
        <color auto="1"/>
      </bottom>
      <diagonal/>
    </border>
    <border>
      <left style="medium">
        <color auto="1"/>
      </left>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ck">
        <color auto="1"/>
      </right>
      <top style="medium">
        <color auto="1"/>
      </top>
      <bottom style="thin">
        <color auto="1"/>
      </bottom>
      <diagonal/>
    </border>
    <border>
      <left style="thin">
        <color auto="1"/>
      </left>
      <right style="thick">
        <color auto="1"/>
      </right>
      <top style="thin">
        <color indexed="64"/>
      </top>
      <bottom style="thin">
        <color indexed="64"/>
      </bottom>
      <diagonal/>
    </border>
    <border>
      <left style="thin">
        <color auto="1"/>
      </left>
      <right style="thick">
        <color auto="1"/>
      </right>
      <top style="thin">
        <color indexed="64"/>
      </top>
      <bottom style="thick">
        <color auto="1"/>
      </bottom>
      <diagonal/>
    </border>
    <border>
      <left style="thick">
        <color auto="1"/>
      </left>
      <right style="thin">
        <color auto="1"/>
      </right>
      <top style="medium">
        <color auto="1"/>
      </top>
      <bottom style="thin">
        <color auto="1"/>
      </bottom>
      <diagonal/>
    </border>
    <border>
      <left style="thin">
        <color auto="1"/>
      </left>
      <right style="thin">
        <color auto="1"/>
      </right>
      <top style="thin">
        <color auto="1"/>
      </top>
      <bottom style="thick">
        <color auto="1"/>
      </bottom>
      <diagonal/>
    </border>
    <border>
      <left style="thin">
        <color auto="1"/>
      </left>
      <right style="medium">
        <color auto="1"/>
      </right>
      <top style="thin">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thick">
        <color auto="1"/>
      </bottom>
      <diagonal/>
    </border>
    <border>
      <left style="medium">
        <color auto="1"/>
      </left>
      <right style="thin">
        <color auto="1"/>
      </right>
      <top style="thin">
        <color auto="1"/>
      </top>
      <bottom style="thick">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auto="1"/>
      </left>
      <right/>
      <top style="medium">
        <color auto="1"/>
      </top>
      <bottom style="thin">
        <color auto="1"/>
      </bottom>
      <diagonal/>
    </border>
    <border>
      <left style="thin">
        <color indexed="64"/>
      </left>
      <right/>
      <top style="thin">
        <color indexed="64"/>
      </top>
      <bottom style="medium">
        <color indexed="64"/>
      </bottom>
      <diagonal/>
    </border>
    <border>
      <left/>
      <right style="thick">
        <color auto="1"/>
      </right>
      <top style="thick">
        <color auto="1"/>
      </top>
      <bottom style="thin">
        <color auto="1"/>
      </bottom>
      <diagonal/>
    </border>
    <border>
      <left/>
      <right style="medium">
        <color auto="1"/>
      </right>
      <top style="medium">
        <color auto="1"/>
      </top>
      <bottom style="thin">
        <color auto="1"/>
      </bottom>
      <diagonal/>
    </border>
    <border>
      <left/>
      <right style="thin">
        <color indexed="64"/>
      </right>
      <top style="thin">
        <color indexed="64"/>
      </top>
      <bottom style="medium">
        <color indexed="64"/>
      </bottom>
      <diagonal/>
    </border>
    <border>
      <left style="medium">
        <color auto="1"/>
      </left>
      <right/>
      <top/>
      <bottom style="thin">
        <color auto="1"/>
      </bottom>
      <diagonal/>
    </border>
    <border>
      <left style="medium">
        <color auto="1"/>
      </left>
      <right style="thin">
        <color auto="1"/>
      </right>
      <top/>
      <bottom style="thin">
        <color indexed="64"/>
      </bottom>
      <diagonal/>
    </border>
    <border>
      <left style="thin">
        <color indexed="64"/>
      </left>
      <right style="thin">
        <color indexed="64"/>
      </right>
      <top/>
      <bottom style="thin">
        <color indexed="64"/>
      </bottom>
      <diagonal/>
    </border>
    <border>
      <left style="thin">
        <color auto="1"/>
      </left>
      <right style="medium">
        <color auto="1"/>
      </right>
      <top/>
      <bottom style="thin">
        <color auto="1"/>
      </bottom>
      <diagonal/>
    </border>
    <border>
      <left/>
      <right style="thin">
        <color indexed="64"/>
      </right>
      <top/>
      <bottom style="thin">
        <color indexed="64"/>
      </bottom>
      <diagonal/>
    </border>
    <border>
      <left style="thin">
        <color auto="1"/>
      </left>
      <right/>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style="medium">
        <color indexed="64"/>
      </bottom>
      <diagonal/>
    </border>
    <border>
      <left style="medium">
        <color indexed="64"/>
      </left>
      <right style="medium">
        <color indexed="64"/>
      </right>
      <top/>
      <bottom style="thin">
        <color auto="1"/>
      </bottom>
      <diagonal/>
    </border>
    <border>
      <left style="medium">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diagonalUp="1" diagonalDown="1">
      <left style="medium">
        <color auto="1"/>
      </left>
      <right style="medium">
        <color auto="1"/>
      </right>
      <top style="medium">
        <color auto="1"/>
      </top>
      <bottom style="medium">
        <color auto="1"/>
      </bottom>
      <diagonal style="thin">
        <color auto="1"/>
      </diagonal>
    </border>
    <border>
      <left/>
      <right style="thin">
        <color indexed="64"/>
      </right>
      <top style="thick">
        <color auto="1"/>
      </top>
      <bottom/>
      <diagonal/>
    </border>
    <border>
      <left/>
      <right style="thin">
        <color indexed="64"/>
      </right>
      <top/>
      <bottom style="thick">
        <color auto="1"/>
      </bottom>
      <diagonal/>
    </border>
    <border>
      <left style="thick">
        <color auto="1"/>
      </left>
      <right style="thin">
        <color indexed="64"/>
      </right>
      <top/>
      <bottom style="thick">
        <color auto="1"/>
      </bottom>
      <diagonal/>
    </border>
    <border>
      <left style="thick">
        <color auto="1"/>
      </left>
      <right style="thin">
        <color indexed="64"/>
      </right>
      <top style="thick">
        <color auto="1"/>
      </top>
      <bottom style="thin">
        <color auto="1"/>
      </bottom>
      <diagonal/>
    </border>
    <border>
      <left style="thin">
        <color indexed="64"/>
      </left>
      <right style="thin">
        <color indexed="64"/>
      </right>
      <top style="thick">
        <color auto="1"/>
      </top>
      <bottom style="thin">
        <color indexed="64"/>
      </bottom>
      <diagonal/>
    </border>
    <border>
      <left style="thin">
        <color indexed="64"/>
      </left>
      <right style="thin">
        <color indexed="64"/>
      </right>
      <top/>
      <bottom style="thick">
        <color auto="1"/>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right style="thin">
        <color indexed="64"/>
      </right>
      <top style="medium">
        <color indexed="64"/>
      </top>
      <bottom/>
      <diagonal/>
    </border>
    <border>
      <left/>
      <right style="thin">
        <color auto="1"/>
      </right>
      <top style="thin">
        <color auto="1"/>
      </top>
      <bottom style="thick">
        <color auto="1"/>
      </bottom>
      <diagonal/>
    </border>
    <border>
      <left/>
      <right/>
      <top style="thin">
        <color auto="1"/>
      </top>
      <bottom style="medium">
        <color indexed="64"/>
      </bottom>
      <diagonal/>
    </border>
    <border>
      <left style="medium">
        <color indexed="64"/>
      </left>
      <right style="thin">
        <color indexed="64"/>
      </right>
      <top/>
      <bottom style="medium">
        <color indexed="64"/>
      </bottom>
      <diagonal/>
    </border>
    <border>
      <left/>
      <right style="thick">
        <color auto="1"/>
      </right>
      <top style="medium">
        <color auto="1"/>
      </top>
      <bottom style="thin">
        <color auto="1"/>
      </bottom>
      <diagonal/>
    </border>
    <border>
      <left/>
      <right style="medium">
        <color auto="1"/>
      </right>
      <top style="thick">
        <color auto="1"/>
      </top>
      <bottom/>
      <diagonal/>
    </border>
    <border>
      <left/>
      <right style="medium">
        <color indexed="64"/>
      </right>
      <top/>
      <bottom style="thin">
        <color indexed="64"/>
      </bottom>
      <diagonal/>
    </border>
    <border>
      <left/>
      <right style="thin">
        <color indexed="64"/>
      </right>
      <top/>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top/>
      <bottom style="medium">
        <color auto="1"/>
      </bottom>
      <diagonal/>
    </border>
    <border>
      <left style="medium">
        <color auto="1"/>
      </left>
      <right style="medium">
        <color auto="1"/>
      </right>
      <top style="thin">
        <color auto="1"/>
      </top>
      <bottom/>
      <diagonal/>
    </border>
    <border>
      <left style="medium">
        <color auto="1"/>
      </left>
      <right/>
      <top style="thin">
        <color auto="1"/>
      </top>
      <bottom/>
      <diagonal/>
    </border>
    <border>
      <left style="thin">
        <color indexed="64"/>
      </left>
      <right style="thick">
        <color indexed="64"/>
      </right>
      <top style="thin">
        <color indexed="64"/>
      </top>
      <bottom/>
      <diagonal/>
    </border>
    <border>
      <left style="medium">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auto="1"/>
      </bottom>
      <diagonal/>
    </border>
    <border diagonalUp="1" diagonalDown="1">
      <left style="medium">
        <color auto="1"/>
      </left>
      <right/>
      <top style="medium">
        <color auto="1"/>
      </top>
      <bottom/>
      <diagonal style="thin">
        <color auto="1"/>
      </diagonal>
    </border>
    <border diagonalUp="1" diagonalDown="1">
      <left/>
      <right style="medium">
        <color auto="1"/>
      </right>
      <top style="medium">
        <color auto="1"/>
      </top>
      <bottom/>
      <diagonal style="thin">
        <color auto="1"/>
      </diagonal>
    </border>
    <border diagonalUp="1" diagonalDown="1">
      <left style="medium">
        <color auto="1"/>
      </left>
      <right/>
      <top/>
      <bottom style="medium">
        <color auto="1"/>
      </bottom>
      <diagonal style="thin">
        <color auto="1"/>
      </diagonal>
    </border>
    <border diagonalUp="1" diagonalDown="1">
      <left/>
      <right style="medium">
        <color auto="1"/>
      </right>
      <top/>
      <bottom style="medium">
        <color auto="1"/>
      </bottom>
      <diagonal style="thin">
        <color auto="1"/>
      </diagonal>
    </border>
  </borders>
  <cellStyleXfs count="4">
    <xf numFmtId="0" fontId="0" fillId="0" borderId="0"/>
    <xf numFmtId="43" fontId="16" fillId="0" borderId="0" applyFont="0" applyFill="0" applyBorder="0" applyAlignment="0" applyProtection="0"/>
    <xf numFmtId="9" fontId="16" fillId="0" borderId="0" applyFont="0" applyFill="0" applyBorder="0" applyAlignment="0" applyProtection="0"/>
    <xf numFmtId="0" fontId="20" fillId="0" borderId="0" applyNumberFormat="0" applyFill="0" applyBorder="0" applyAlignment="0" applyProtection="0"/>
  </cellStyleXfs>
  <cellXfs count="925">
    <xf numFmtId="0" fontId="0" fillId="0" borderId="0" xfId="0"/>
    <xf numFmtId="0" fontId="0" fillId="0" borderId="0" xfId="0" applyAlignment="1">
      <alignment horizontal="center"/>
    </xf>
    <xf numFmtId="0" fontId="0" fillId="2" borderId="0" xfId="0" applyFill="1"/>
    <xf numFmtId="0" fontId="1" fillId="0" borderId="0" xfId="0" applyFont="1"/>
    <xf numFmtId="0" fontId="1" fillId="0" borderId="5" xfId="0" applyFont="1" applyBorder="1" applyAlignment="1">
      <alignment vertical="center"/>
    </xf>
    <xf numFmtId="0" fontId="6" fillId="0" borderId="0" xfId="0" applyFont="1" applyAlignment="1">
      <alignment vertical="center"/>
    </xf>
    <xf numFmtId="0" fontId="6" fillId="0" borderId="8" xfId="0" applyFont="1" applyBorder="1" applyAlignment="1">
      <alignment vertical="center"/>
    </xf>
    <xf numFmtId="0" fontId="1" fillId="0" borderId="0" xfId="0" applyFont="1" applyAlignment="1">
      <alignment vertical="center"/>
    </xf>
    <xf numFmtId="0" fontId="1" fillId="0" borderId="27" xfId="0" applyFont="1" applyBorder="1" applyAlignment="1">
      <alignment vertical="center"/>
    </xf>
    <xf numFmtId="0" fontId="1" fillId="0" borderId="21" xfId="0" applyFont="1" applyBorder="1" applyAlignment="1">
      <alignment vertical="center"/>
    </xf>
    <xf numFmtId="0" fontId="1" fillId="0" borderId="18" xfId="0" applyFont="1" applyBorder="1" applyAlignment="1">
      <alignment vertical="center"/>
    </xf>
    <xf numFmtId="0" fontId="1" fillId="0" borderId="28" xfId="0" applyFont="1" applyBorder="1" applyAlignment="1">
      <alignment vertical="center"/>
    </xf>
    <xf numFmtId="0" fontId="1" fillId="0" borderId="29" xfId="0" applyFont="1" applyBorder="1" applyAlignment="1">
      <alignment vertical="center"/>
    </xf>
    <xf numFmtId="0" fontId="1" fillId="0" borderId="30" xfId="0" applyFont="1" applyBorder="1" applyAlignment="1">
      <alignment vertical="center"/>
    </xf>
    <xf numFmtId="0" fontId="10" fillId="0" borderId="0" xfId="0" applyFont="1"/>
    <xf numFmtId="0" fontId="14" fillId="0" borderId="0" xfId="0" applyFont="1"/>
    <xf numFmtId="0" fontId="15" fillId="0" borderId="0" xfId="0" applyFont="1"/>
    <xf numFmtId="0" fontId="5" fillId="0" borderId="0" xfId="0" applyFont="1" applyAlignment="1">
      <alignment horizontal="center" vertical="center"/>
    </xf>
    <xf numFmtId="0" fontId="5" fillId="0" borderId="23" xfId="0" applyFont="1" applyBorder="1" applyAlignment="1">
      <alignment horizontal="center" vertical="center"/>
    </xf>
    <xf numFmtId="0" fontId="5" fillId="0" borderId="8" xfId="0" applyFont="1" applyBorder="1" applyAlignment="1">
      <alignment horizontal="center" vertical="center"/>
    </xf>
    <xf numFmtId="0" fontId="5" fillId="0" borderId="20" xfId="0" applyFont="1" applyBorder="1" applyAlignment="1">
      <alignment horizontal="center" vertical="center"/>
    </xf>
    <xf numFmtId="0" fontId="1" fillId="0" borderId="3" xfId="0" applyFont="1" applyBorder="1" applyAlignment="1">
      <alignment vertical="center"/>
    </xf>
    <xf numFmtId="1" fontId="1" fillId="0" borderId="8" xfId="0" applyNumberFormat="1" applyFont="1" applyBorder="1" applyAlignment="1">
      <alignment vertical="center"/>
    </xf>
    <xf numFmtId="0" fontId="13" fillId="0" borderId="32" xfId="0" applyFont="1" applyBorder="1" applyAlignment="1">
      <alignment horizontal="center" vertical="center"/>
    </xf>
    <xf numFmtId="0" fontId="1" fillId="0" borderId="8" xfId="0" applyFont="1" applyBorder="1" applyAlignment="1">
      <alignment vertical="center"/>
    </xf>
    <xf numFmtId="0" fontId="3" fillId="0" borderId="0" xfId="0" applyFont="1" applyAlignment="1">
      <alignment horizontal="center" vertical="center"/>
    </xf>
    <xf numFmtId="0" fontId="18" fillId="0" borderId="0" xfId="0" applyFont="1"/>
    <xf numFmtId="0" fontId="0" fillId="0" borderId="0" xfId="0" applyAlignment="1">
      <alignment horizontal="center" vertical="center"/>
    </xf>
    <xf numFmtId="0" fontId="0" fillId="0" borderId="42" xfId="0" applyBorder="1" applyAlignment="1">
      <alignment horizontal="center" vertical="center"/>
    </xf>
    <xf numFmtId="0" fontId="0" fillId="0" borderId="49" xfId="0" applyBorder="1"/>
    <xf numFmtId="0" fontId="0" fillId="0" borderId="58" xfId="0" applyBorder="1" applyAlignment="1">
      <alignment horizontal="center" vertical="center"/>
    </xf>
    <xf numFmtId="0" fontId="0" fillId="0" borderId="65" xfId="0" applyBorder="1"/>
    <xf numFmtId="0" fontId="0" fillId="0" borderId="66" xfId="0" applyBorder="1" applyAlignment="1">
      <alignment horizontal="center" vertical="center"/>
    </xf>
    <xf numFmtId="0" fontId="0" fillId="0" borderId="67" xfId="0" applyBorder="1" applyAlignment="1">
      <alignment horizontal="center" vertical="center"/>
    </xf>
    <xf numFmtId="0" fontId="0" fillId="0" borderId="36" xfId="0" applyBorder="1"/>
    <xf numFmtId="0" fontId="0" fillId="0" borderId="68" xfId="0" applyBorder="1"/>
    <xf numFmtId="0" fontId="0" fillId="0" borderId="62" xfId="0" applyBorder="1" applyAlignment="1">
      <alignment horizontal="center" vertical="center"/>
    </xf>
    <xf numFmtId="0" fontId="18" fillId="0" borderId="51" xfId="0" applyFont="1" applyBorder="1"/>
    <xf numFmtId="0" fontId="18" fillId="0" borderId="64" xfId="0" applyFont="1" applyBorder="1"/>
    <xf numFmtId="0" fontId="18" fillId="0" borderId="47" xfId="0" applyFont="1" applyBorder="1" applyAlignment="1">
      <alignment horizontal="center" vertical="center"/>
    </xf>
    <xf numFmtId="0" fontId="18" fillId="0" borderId="52" xfId="0" applyFont="1" applyBorder="1" applyAlignment="1">
      <alignment horizontal="center" vertical="center"/>
    </xf>
    <xf numFmtId="0" fontId="18" fillId="0" borderId="69" xfId="0" applyFont="1" applyBorder="1" applyAlignment="1">
      <alignment horizontal="center" vertical="center"/>
    </xf>
    <xf numFmtId="0" fontId="18" fillId="0" borderId="0" xfId="0" applyFont="1" applyAlignment="1">
      <alignment horizontal="center" vertical="center"/>
    </xf>
    <xf numFmtId="0" fontId="0" fillId="0" borderId="70" xfId="0" applyBorder="1" applyAlignment="1">
      <alignment horizontal="center" vertical="center"/>
    </xf>
    <xf numFmtId="0" fontId="19" fillId="3" borderId="42" xfId="0" applyFont="1" applyFill="1" applyBorder="1" applyAlignment="1">
      <alignment horizontal="center" vertical="center"/>
    </xf>
    <xf numFmtId="0" fontId="0" fillId="0" borderId="64" xfId="0" applyBorder="1"/>
    <xf numFmtId="0" fontId="0" fillId="0" borderId="47" xfId="0" applyBorder="1" applyAlignment="1">
      <alignment horizontal="center" vertical="center"/>
    </xf>
    <xf numFmtId="0" fontId="0" fillId="0" borderId="52" xfId="0" applyBorder="1" applyAlignment="1">
      <alignment horizontal="center" vertical="center"/>
    </xf>
    <xf numFmtId="0" fontId="0" fillId="0" borderId="69" xfId="0" applyBorder="1" applyAlignment="1">
      <alignment horizontal="center" vertical="center"/>
    </xf>
    <xf numFmtId="0" fontId="4" fillId="0" borderId="3" xfId="0" applyFont="1" applyBorder="1" applyAlignment="1">
      <alignment horizontal="center" vertical="center"/>
    </xf>
    <xf numFmtId="0" fontId="1" fillId="0" borderId="28" xfId="0" applyFont="1" applyBorder="1" applyAlignment="1">
      <alignment horizontal="left" vertical="center"/>
    </xf>
    <xf numFmtId="0" fontId="1" fillId="0" borderId="29" xfId="0" applyFont="1" applyBorder="1" applyAlignment="1">
      <alignment horizontal="left" vertical="center"/>
    </xf>
    <xf numFmtId="9" fontId="0" fillId="0" borderId="0" xfId="0" applyNumberFormat="1" applyAlignment="1">
      <alignment horizontal="center" vertical="center"/>
    </xf>
    <xf numFmtId="0" fontId="6" fillId="0" borderId="2" xfId="0" applyFont="1" applyBorder="1" applyAlignment="1">
      <alignment vertical="center"/>
    </xf>
    <xf numFmtId="0" fontId="6" fillId="0" borderId="7" xfId="0" applyFont="1" applyBorder="1" applyAlignment="1">
      <alignment vertical="center"/>
    </xf>
    <xf numFmtId="0" fontId="12" fillId="0" borderId="0" xfId="0" applyFont="1" applyAlignment="1">
      <alignment vertical="center"/>
    </xf>
    <xf numFmtId="0" fontId="10" fillId="0" borderId="34" xfId="0" applyFont="1" applyBorder="1" applyAlignment="1">
      <alignment vertical="center"/>
    </xf>
    <xf numFmtId="0" fontId="10" fillId="0" borderId="42" xfId="0" applyFont="1" applyBorder="1" applyAlignment="1">
      <alignment vertical="center"/>
    </xf>
    <xf numFmtId="0" fontId="10" fillId="0" borderId="54" xfId="0" applyFont="1" applyBorder="1" applyAlignment="1">
      <alignment vertical="center"/>
    </xf>
    <xf numFmtId="0" fontId="10" fillId="0" borderId="57" xfId="0" applyFont="1" applyBorder="1" applyAlignment="1">
      <alignment vertical="center"/>
    </xf>
    <xf numFmtId="0" fontId="10" fillId="0" borderId="0" xfId="0" applyFont="1" applyAlignment="1">
      <alignment horizontal="center" vertical="center"/>
    </xf>
    <xf numFmtId="0" fontId="10" fillId="0" borderId="0" xfId="0" applyFont="1" applyAlignment="1">
      <alignment vertical="center"/>
    </xf>
    <xf numFmtId="0" fontId="10" fillId="0" borderId="5" xfId="0" applyFont="1" applyBorder="1" applyAlignment="1">
      <alignment horizontal="center" vertical="center"/>
    </xf>
    <xf numFmtId="0" fontId="10" fillId="0" borderId="6" xfId="0" applyFont="1" applyBorder="1" applyAlignment="1">
      <alignment horizontal="center" vertical="center"/>
    </xf>
    <xf numFmtId="0" fontId="10" fillId="0" borderId="0" xfId="0" applyFont="1" applyAlignment="1">
      <alignment horizontal="left" vertical="center"/>
    </xf>
    <xf numFmtId="0" fontId="10" fillId="0" borderId="0" xfId="0" applyFont="1" applyAlignment="1">
      <alignment horizontal="right" vertical="center"/>
    </xf>
    <xf numFmtId="0" fontId="4" fillId="0" borderId="0" xfId="0" applyFont="1" applyAlignment="1">
      <alignment vertical="center"/>
    </xf>
    <xf numFmtId="0" fontId="4" fillId="0" borderId="3" xfId="0" applyFont="1" applyBorder="1" applyAlignment="1">
      <alignment vertical="center"/>
    </xf>
    <xf numFmtId="0" fontId="1" fillId="0" borderId="4" xfId="0" applyFont="1" applyBorder="1" applyAlignment="1">
      <alignment vertical="center"/>
    </xf>
    <xf numFmtId="0" fontId="1" fillId="0" borderId="6" xfId="0" applyFont="1" applyBorder="1" applyAlignment="1">
      <alignment vertical="center"/>
    </xf>
    <xf numFmtId="0" fontId="10" fillId="0" borderId="5" xfId="0" applyFont="1" applyBorder="1" applyAlignment="1">
      <alignment vertical="center"/>
    </xf>
    <xf numFmtId="0" fontId="10" fillId="0" borderId="6" xfId="0" applyFont="1" applyBorder="1" applyAlignment="1">
      <alignment vertical="center"/>
    </xf>
    <xf numFmtId="0" fontId="1" fillId="0" borderId="9" xfId="0" applyFont="1" applyBorder="1" applyAlignment="1">
      <alignment vertical="center"/>
    </xf>
    <xf numFmtId="0" fontId="4" fillId="0" borderId="22" xfId="0" applyFont="1" applyBorder="1" applyAlignment="1">
      <alignment horizontal="center" vertical="center"/>
    </xf>
    <xf numFmtId="0" fontId="4" fillId="0" borderId="22" xfId="0" applyFont="1" applyBorder="1" applyAlignment="1">
      <alignment horizontal="left" vertical="center"/>
    </xf>
    <xf numFmtId="0" fontId="1" fillId="0" borderId="33" xfId="0" applyFont="1" applyBorder="1" applyAlignment="1">
      <alignment vertical="center"/>
    </xf>
    <xf numFmtId="0" fontId="1" fillId="0" borderId="7" xfId="0" applyFont="1" applyBorder="1" applyAlignment="1">
      <alignment vertical="center"/>
    </xf>
    <xf numFmtId="0" fontId="1" fillId="0" borderId="23" xfId="0" applyFont="1" applyBorder="1" applyAlignment="1">
      <alignment vertical="center"/>
    </xf>
    <xf numFmtId="0" fontId="1" fillId="0" borderId="31" xfId="0" applyFont="1" applyBorder="1" applyAlignment="1">
      <alignment vertical="center"/>
    </xf>
    <xf numFmtId="0" fontId="1" fillId="0" borderId="40" xfId="0" applyFont="1" applyBorder="1" applyAlignment="1">
      <alignment vertical="center"/>
    </xf>
    <xf numFmtId="0" fontId="10" fillId="0" borderId="7" xfId="0" applyFont="1" applyBorder="1" applyAlignment="1">
      <alignment vertical="center"/>
    </xf>
    <xf numFmtId="0" fontId="10" fillId="0" borderId="8" xfId="0" applyFont="1" applyBorder="1" applyAlignment="1">
      <alignment vertical="center"/>
    </xf>
    <xf numFmtId="0" fontId="10" fillId="0" borderId="9" xfId="0" applyFont="1" applyBorder="1" applyAlignment="1">
      <alignment vertical="center"/>
    </xf>
    <xf numFmtId="0" fontId="20" fillId="0" borderId="49" xfId="3" applyBorder="1"/>
    <xf numFmtId="0" fontId="0" fillId="5" borderId="0" xfId="0" applyFill="1"/>
    <xf numFmtId="0" fontId="21" fillId="5" borderId="42" xfId="0" applyFont="1" applyFill="1" applyBorder="1" applyAlignment="1">
      <alignment horizontal="center" vertical="center" wrapText="1"/>
    </xf>
    <xf numFmtId="0" fontId="0" fillId="5" borderId="42" xfId="0" applyFill="1" applyBorder="1" applyAlignment="1">
      <alignment horizontal="center" vertical="center"/>
    </xf>
    <xf numFmtId="0" fontId="0" fillId="5" borderId="0" xfId="0" applyFill="1" applyAlignment="1">
      <alignment horizontal="center"/>
    </xf>
    <xf numFmtId="9" fontId="21" fillId="5" borderId="42" xfId="0" applyNumberFormat="1" applyFont="1" applyFill="1" applyBorder="1" applyAlignment="1">
      <alignment horizontal="center" vertical="center" wrapText="1"/>
    </xf>
    <xf numFmtId="0" fontId="21" fillId="4" borderId="42" xfId="0" applyFont="1" applyFill="1" applyBorder="1" applyAlignment="1">
      <alignment horizontal="center" vertical="center" wrapText="1"/>
    </xf>
    <xf numFmtId="0" fontId="0" fillId="4" borderId="42" xfId="0" applyFill="1" applyBorder="1" applyAlignment="1">
      <alignment horizontal="center" vertical="center"/>
    </xf>
    <xf numFmtId="0" fontId="21" fillId="5" borderId="42" xfId="0" quotePrefix="1" applyFont="1" applyFill="1" applyBorder="1" applyAlignment="1">
      <alignment horizontal="center" vertical="center" wrapText="1"/>
    </xf>
    <xf numFmtId="0" fontId="0" fillId="5" borderId="42" xfId="0" applyFill="1" applyBorder="1"/>
    <xf numFmtId="0" fontId="0" fillId="0" borderId="47" xfId="0" applyBorder="1" applyAlignment="1">
      <alignment horizontal="center"/>
    </xf>
    <xf numFmtId="0" fontId="0" fillId="0" borderId="42" xfId="0" applyBorder="1" applyAlignment="1">
      <alignment horizontal="center"/>
    </xf>
    <xf numFmtId="0" fontId="0" fillId="0" borderId="58" xfId="0" applyBorder="1" applyAlignment="1">
      <alignment horizontal="center"/>
    </xf>
    <xf numFmtId="0" fontId="0" fillId="0" borderId="66" xfId="0" applyBorder="1" applyAlignment="1">
      <alignment horizontal="center"/>
    </xf>
    <xf numFmtId="0" fontId="18" fillId="5" borderId="36" xfId="0" applyFont="1" applyFill="1" applyBorder="1" applyAlignment="1">
      <alignment horizontal="center" vertical="center" wrapText="1"/>
    </xf>
    <xf numFmtId="0" fontId="18" fillId="5" borderId="68" xfId="0" applyFont="1" applyFill="1" applyBorder="1" applyAlignment="1">
      <alignment horizontal="center" vertical="center" wrapText="1"/>
    </xf>
    <xf numFmtId="0" fontId="0" fillId="0" borderId="63" xfId="0" applyBorder="1" applyAlignment="1">
      <alignment horizontal="center"/>
    </xf>
    <xf numFmtId="0" fontId="0" fillId="0" borderId="49" xfId="0" applyBorder="1" applyAlignment="1">
      <alignment horizontal="center"/>
    </xf>
    <xf numFmtId="0" fontId="0" fillId="0" borderId="65" xfId="0" applyBorder="1" applyAlignment="1">
      <alignment horizontal="center"/>
    </xf>
    <xf numFmtId="0" fontId="21" fillId="4" borderId="75" xfId="0" applyFont="1" applyFill="1" applyBorder="1" applyAlignment="1">
      <alignment horizontal="center" vertical="center" wrapText="1"/>
    </xf>
    <xf numFmtId="0" fontId="21" fillId="4" borderId="76" xfId="0" applyFont="1" applyFill="1" applyBorder="1" applyAlignment="1">
      <alignment horizontal="center" vertical="center" wrapText="1"/>
    </xf>
    <xf numFmtId="0" fontId="0" fillId="0" borderId="76" xfId="0" applyBorder="1" applyAlignment="1">
      <alignment horizontal="center"/>
    </xf>
    <xf numFmtId="0" fontId="21" fillId="4" borderId="77" xfId="0" applyFont="1" applyFill="1" applyBorder="1" applyAlignment="1">
      <alignment horizontal="center" vertical="center" wrapText="1"/>
    </xf>
    <xf numFmtId="0" fontId="21" fillId="4" borderId="78" xfId="0" applyFont="1" applyFill="1" applyBorder="1" applyAlignment="1">
      <alignment horizontal="center" vertical="center" wrapText="1"/>
    </xf>
    <xf numFmtId="0" fontId="18" fillId="0" borderId="68" xfId="0" applyFont="1" applyBorder="1"/>
    <xf numFmtId="0" fontId="18" fillId="0" borderId="66" xfId="0" applyFont="1" applyBorder="1" applyAlignment="1">
      <alignment horizontal="center"/>
    </xf>
    <xf numFmtId="0" fontId="18" fillId="0" borderId="67" xfId="0" applyFont="1" applyBorder="1" applyAlignment="1">
      <alignment horizontal="center"/>
    </xf>
    <xf numFmtId="0" fontId="18" fillId="0" borderId="73" xfId="0" applyFont="1" applyBorder="1" applyAlignment="1">
      <alignment horizontal="center"/>
    </xf>
    <xf numFmtId="0" fontId="0" fillId="4" borderId="42" xfId="0" applyFill="1" applyBorder="1" applyAlignment="1">
      <alignment horizontal="center"/>
    </xf>
    <xf numFmtId="0" fontId="0" fillId="4" borderId="63" xfId="0" applyFill="1" applyBorder="1" applyAlignment="1">
      <alignment horizontal="center"/>
    </xf>
    <xf numFmtId="0" fontId="0" fillId="4" borderId="58" xfId="0" applyFill="1" applyBorder="1" applyAlignment="1">
      <alignment horizontal="center"/>
    </xf>
    <xf numFmtId="0" fontId="0" fillId="4" borderId="66" xfId="0" applyFill="1" applyBorder="1" applyAlignment="1">
      <alignment horizontal="center"/>
    </xf>
    <xf numFmtId="0" fontId="0" fillId="4" borderId="67" xfId="0" applyFill="1" applyBorder="1" applyAlignment="1">
      <alignment horizontal="center"/>
    </xf>
    <xf numFmtId="0" fontId="18" fillId="0" borderId="70" xfId="0" applyFont="1" applyBorder="1" applyAlignment="1">
      <alignment horizontal="center"/>
    </xf>
    <xf numFmtId="0" fontId="0" fillId="0" borderId="62" xfId="0" applyBorder="1" applyAlignment="1">
      <alignment horizontal="center"/>
    </xf>
    <xf numFmtId="0" fontId="0" fillId="4" borderId="62" xfId="0" applyFill="1" applyBorder="1" applyAlignment="1">
      <alignment horizontal="center"/>
    </xf>
    <xf numFmtId="0" fontId="0" fillId="4" borderId="70" xfId="0" applyFill="1" applyBorder="1" applyAlignment="1">
      <alignment horizontal="center"/>
    </xf>
    <xf numFmtId="0" fontId="0" fillId="0" borderId="64" xfId="0" applyBorder="1" applyAlignment="1">
      <alignment horizontal="center"/>
    </xf>
    <xf numFmtId="0" fontId="23" fillId="0" borderId="0" xfId="0" applyFont="1"/>
    <xf numFmtId="0" fontId="18" fillId="0" borderId="80" xfId="0" applyFont="1" applyBorder="1" applyAlignment="1">
      <alignment horizontal="center"/>
    </xf>
    <xf numFmtId="0" fontId="18" fillId="0" borderId="81" xfId="0" applyFont="1" applyBorder="1" applyAlignment="1">
      <alignment horizontal="center"/>
    </xf>
    <xf numFmtId="0" fontId="18" fillId="0" borderId="82" xfId="0" applyFont="1" applyBorder="1" applyAlignment="1">
      <alignment horizontal="center"/>
    </xf>
    <xf numFmtId="0" fontId="21" fillId="4" borderId="52" xfId="0" applyFont="1" applyFill="1" applyBorder="1" applyAlignment="1">
      <alignment horizontal="center" vertical="center" wrapText="1"/>
    </xf>
    <xf numFmtId="49" fontId="0" fillId="0" borderId="0" xfId="0" applyNumberFormat="1" applyAlignment="1">
      <alignment horizontal="center" vertical="center"/>
    </xf>
    <xf numFmtId="164" fontId="0" fillId="0" borderId="0" xfId="1" applyNumberFormat="1" applyFont="1" applyAlignment="1">
      <alignment horizontal="center" vertical="center"/>
    </xf>
    <xf numFmtId="16" fontId="0" fillId="0" borderId="42" xfId="0" quotePrefix="1" applyNumberFormat="1" applyBorder="1" applyAlignment="1">
      <alignment horizontal="center" vertical="center"/>
    </xf>
    <xf numFmtId="9" fontId="0" fillId="0" borderId="42" xfId="2" applyFont="1" applyBorder="1" applyAlignment="1">
      <alignment horizontal="center" vertical="center"/>
    </xf>
    <xf numFmtId="16" fontId="0" fillId="0" borderId="66" xfId="0" quotePrefix="1" applyNumberFormat="1" applyBorder="1" applyAlignment="1">
      <alignment horizontal="center" vertical="center"/>
    </xf>
    <xf numFmtId="9" fontId="0" fillId="0" borderId="66" xfId="2" applyFont="1" applyBorder="1" applyAlignment="1">
      <alignment horizontal="center" vertical="center"/>
    </xf>
    <xf numFmtId="0" fontId="0" fillId="0" borderId="75" xfId="0" applyBorder="1"/>
    <xf numFmtId="0" fontId="0" fillId="0" borderId="76" xfId="0" applyBorder="1" applyAlignment="1">
      <alignment horizontal="center" vertical="center"/>
    </xf>
    <xf numFmtId="16" fontId="0" fillId="0" borderId="76" xfId="0" quotePrefix="1" applyNumberFormat="1" applyBorder="1" applyAlignment="1">
      <alignment horizontal="center" vertical="center"/>
    </xf>
    <xf numFmtId="9" fontId="0" fillId="0" borderId="76" xfId="2" applyFont="1" applyBorder="1" applyAlignment="1">
      <alignment horizontal="center" vertical="center"/>
    </xf>
    <xf numFmtId="0" fontId="0" fillId="0" borderId="77" xfId="0" applyBorder="1" applyAlignment="1">
      <alignment horizontal="center" vertical="center"/>
    </xf>
    <xf numFmtId="0" fontId="18" fillId="0" borderId="83" xfId="0" applyFont="1" applyBorder="1"/>
    <xf numFmtId="0" fontId="18" fillId="0" borderId="84" xfId="0" applyFont="1" applyBorder="1" applyAlignment="1">
      <alignment horizontal="center" vertical="center"/>
    </xf>
    <xf numFmtId="0" fontId="18" fillId="0" borderId="85" xfId="0" applyFont="1" applyBorder="1" applyAlignment="1">
      <alignment horizontal="center" vertical="center"/>
    </xf>
    <xf numFmtId="0" fontId="18" fillId="5" borderId="0" xfId="0" applyFont="1" applyFill="1" applyAlignment="1">
      <alignment wrapText="1"/>
    </xf>
    <xf numFmtId="0" fontId="18" fillId="5" borderId="42" xfId="0" applyFont="1" applyFill="1" applyBorder="1" applyAlignment="1">
      <alignment wrapText="1"/>
    </xf>
    <xf numFmtId="0" fontId="18" fillId="5" borderId="42" xfId="0" applyFont="1" applyFill="1" applyBorder="1" applyAlignment="1">
      <alignment horizontal="center" vertical="center" wrapText="1"/>
    </xf>
    <xf numFmtId="0" fontId="24" fillId="5" borderId="42" xfId="3" applyFont="1" applyFill="1" applyBorder="1" applyAlignment="1">
      <alignment vertical="top" wrapText="1"/>
    </xf>
    <xf numFmtId="0" fontId="18" fillId="5" borderId="0" xfId="0" applyFont="1" applyFill="1"/>
    <xf numFmtId="0" fontId="4" fillId="0" borderId="0" xfId="0" applyFont="1" applyAlignment="1">
      <alignment horizontal="center" vertical="center"/>
    </xf>
    <xf numFmtId="9" fontId="0" fillId="0" borderId="42" xfId="0" applyNumberFormat="1" applyBorder="1" applyAlignment="1">
      <alignment horizontal="center" vertical="center"/>
    </xf>
    <xf numFmtId="0" fontId="18" fillId="0" borderId="49" xfId="0" applyFont="1" applyBorder="1" applyAlignment="1">
      <alignment horizontal="center" vertical="center"/>
    </xf>
    <xf numFmtId="0" fontId="0" fillId="4" borderId="58" xfId="0" applyFill="1" applyBorder="1" applyAlignment="1">
      <alignment horizontal="center" vertical="center"/>
    </xf>
    <xf numFmtId="9" fontId="0" fillId="0" borderId="66" xfId="0" applyNumberFormat="1" applyBorder="1" applyAlignment="1">
      <alignment horizontal="center" vertical="center"/>
    </xf>
    <xf numFmtId="0" fontId="0" fillId="4" borderId="66" xfId="0" applyFill="1" applyBorder="1" applyAlignment="1">
      <alignment horizontal="center" vertical="center"/>
    </xf>
    <xf numFmtId="0" fontId="0" fillId="4" borderId="67" xfId="0" applyFill="1" applyBorder="1" applyAlignment="1">
      <alignment horizontal="center" vertical="center"/>
    </xf>
    <xf numFmtId="9" fontId="0" fillId="0" borderId="76" xfId="0" applyNumberFormat="1" applyBorder="1" applyAlignment="1">
      <alignment horizontal="center" vertical="center"/>
    </xf>
    <xf numFmtId="0" fontId="0" fillId="4" borderId="76" xfId="0" applyFill="1" applyBorder="1" applyAlignment="1">
      <alignment horizontal="center" vertical="center"/>
    </xf>
    <xf numFmtId="0" fontId="0" fillId="4" borderId="77" xfId="0" applyFill="1" applyBorder="1" applyAlignment="1">
      <alignment horizontal="center" vertical="center"/>
    </xf>
    <xf numFmtId="0" fontId="18" fillId="0" borderId="65" xfId="0" applyFont="1" applyBorder="1" applyAlignment="1">
      <alignment horizontal="center" vertical="center"/>
    </xf>
    <xf numFmtId="0" fontId="18" fillId="0" borderId="66" xfId="0" applyFont="1" applyBorder="1" applyAlignment="1">
      <alignment horizontal="center" vertical="center"/>
    </xf>
    <xf numFmtId="0" fontId="18" fillId="0" borderId="67" xfId="0" applyFont="1" applyBorder="1" applyAlignment="1">
      <alignment horizontal="center" vertical="center"/>
    </xf>
    <xf numFmtId="0" fontId="18" fillId="0" borderId="73" xfId="0" applyFont="1" applyBorder="1" applyAlignment="1">
      <alignment horizontal="center" vertical="center"/>
    </xf>
    <xf numFmtId="0" fontId="0" fillId="0" borderId="78" xfId="0" applyBorder="1"/>
    <xf numFmtId="0" fontId="0" fillId="0" borderId="63" xfId="0" applyBorder="1"/>
    <xf numFmtId="0" fontId="0" fillId="0" borderId="73" xfId="0" applyBorder="1"/>
    <xf numFmtId="9" fontId="0" fillId="4" borderId="42" xfId="0" applyNumberFormat="1" applyFill="1" applyBorder="1" applyAlignment="1">
      <alignment horizontal="center" vertical="center"/>
    </xf>
    <xf numFmtId="9" fontId="0" fillId="4" borderId="66" xfId="0" applyNumberFormat="1" applyFill="1" applyBorder="1" applyAlignment="1">
      <alignment horizontal="center" vertical="center"/>
    </xf>
    <xf numFmtId="9" fontId="0" fillId="4" borderId="76" xfId="0" applyNumberFormat="1" applyFill="1" applyBorder="1" applyAlignment="1">
      <alignment horizontal="center" vertical="center"/>
    </xf>
    <xf numFmtId="0" fontId="18" fillId="5" borderId="17" xfId="0" applyFont="1" applyFill="1" applyBorder="1"/>
    <xf numFmtId="0" fontId="18" fillId="5" borderId="21" xfId="0" applyFont="1" applyFill="1" applyBorder="1" applyAlignment="1">
      <alignment horizontal="center"/>
    </xf>
    <xf numFmtId="0" fontId="18" fillId="5" borderId="66" xfId="0" applyFont="1" applyFill="1" applyBorder="1" applyAlignment="1">
      <alignment horizontal="center" vertical="center" wrapText="1"/>
    </xf>
    <xf numFmtId="0" fontId="0" fillId="5" borderId="66" xfId="0" applyFill="1" applyBorder="1" applyAlignment="1">
      <alignment horizontal="center" vertical="center"/>
    </xf>
    <xf numFmtId="0" fontId="21" fillId="5" borderId="66" xfId="0" applyFont="1" applyFill="1" applyBorder="1" applyAlignment="1">
      <alignment horizontal="center" vertical="center" wrapText="1"/>
    </xf>
    <xf numFmtId="0" fontId="21" fillId="4" borderId="66" xfId="0" applyFont="1" applyFill="1" applyBorder="1" applyAlignment="1">
      <alignment horizontal="center" vertical="center" wrapText="1"/>
    </xf>
    <xf numFmtId="9" fontId="21" fillId="5" borderId="66" xfId="0" applyNumberFormat="1" applyFont="1" applyFill="1" applyBorder="1" applyAlignment="1">
      <alignment horizontal="center" vertical="center" wrapText="1"/>
    </xf>
    <xf numFmtId="0" fontId="18" fillId="5" borderId="70" xfId="0" applyFont="1" applyFill="1" applyBorder="1" applyAlignment="1">
      <alignment horizontal="center" vertical="center" wrapText="1"/>
    </xf>
    <xf numFmtId="0" fontId="0" fillId="0" borderId="79" xfId="0" applyBorder="1" applyAlignment="1">
      <alignment horizontal="center" vertical="center"/>
    </xf>
    <xf numFmtId="0" fontId="18" fillId="5" borderId="65" xfId="0" applyFont="1" applyFill="1" applyBorder="1" applyAlignment="1">
      <alignment horizontal="center" vertical="center" wrapText="1"/>
    </xf>
    <xf numFmtId="0" fontId="18" fillId="5" borderId="67" xfId="0" applyFont="1" applyFill="1" applyBorder="1" applyAlignment="1">
      <alignment horizontal="center" vertical="center" wrapText="1"/>
    </xf>
    <xf numFmtId="0" fontId="0" fillId="0" borderId="75" xfId="0" applyBorder="1" applyAlignment="1">
      <alignment horizontal="center" vertical="center"/>
    </xf>
    <xf numFmtId="0" fontId="21" fillId="4" borderId="49" xfId="0" applyFont="1" applyFill="1" applyBorder="1" applyAlignment="1">
      <alignment horizontal="center" vertical="center" wrapText="1"/>
    </xf>
    <xf numFmtId="0" fontId="21" fillId="4" borderId="58" xfId="0" applyFont="1" applyFill="1" applyBorder="1" applyAlignment="1">
      <alignment horizontal="center" vertical="center" wrapText="1"/>
    </xf>
    <xf numFmtId="0" fontId="0" fillId="0" borderId="49" xfId="0" applyBorder="1" applyAlignment="1">
      <alignment horizontal="center" vertical="center"/>
    </xf>
    <xf numFmtId="0" fontId="21" fillId="5" borderId="58" xfId="0" applyFont="1" applyFill="1" applyBorder="1" applyAlignment="1">
      <alignment horizontal="center" vertical="center" wrapText="1"/>
    </xf>
    <xf numFmtId="9" fontId="21" fillId="5" borderId="58" xfId="0" applyNumberFormat="1" applyFont="1" applyFill="1" applyBorder="1" applyAlignment="1">
      <alignment horizontal="center" vertical="center" wrapText="1"/>
    </xf>
    <xf numFmtId="0" fontId="21" fillId="4" borderId="65" xfId="0" applyFont="1" applyFill="1" applyBorder="1" applyAlignment="1">
      <alignment horizontal="center" vertical="center" wrapText="1"/>
    </xf>
    <xf numFmtId="0" fontId="21" fillId="4" borderId="67" xfId="0" applyFont="1" applyFill="1" applyBorder="1" applyAlignment="1">
      <alignment horizontal="center" vertical="center" wrapText="1"/>
    </xf>
    <xf numFmtId="9" fontId="21" fillId="5" borderId="49" xfId="0" applyNumberFormat="1" applyFont="1" applyFill="1" applyBorder="1" applyAlignment="1">
      <alignment horizontal="center" vertical="center" wrapText="1"/>
    </xf>
    <xf numFmtId="0" fontId="0" fillId="5" borderId="58" xfId="0" applyFill="1" applyBorder="1" applyAlignment="1">
      <alignment horizontal="center" vertical="center"/>
    </xf>
    <xf numFmtId="0" fontId="0" fillId="5" borderId="49" xfId="0" applyFill="1" applyBorder="1"/>
    <xf numFmtId="0" fontId="0" fillId="4" borderId="58" xfId="0" applyFill="1" applyBorder="1"/>
    <xf numFmtId="0" fontId="18" fillId="0" borderId="64" xfId="0" applyFont="1" applyBorder="1" applyAlignment="1">
      <alignment horizontal="center" vertical="center"/>
    </xf>
    <xf numFmtId="9" fontId="0" fillId="0" borderId="58" xfId="0" applyNumberFormat="1" applyBorder="1" applyAlignment="1">
      <alignment horizontal="center" vertical="center"/>
    </xf>
    <xf numFmtId="9" fontId="0" fillId="0" borderId="67" xfId="0" applyNumberFormat="1" applyBorder="1" applyAlignment="1">
      <alignment horizontal="center" vertical="center"/>
    </xf>
    <xf numFmtId="49" fontId="0" fillId="0" borderId="42" xfId="0" quotePrefix="1" applyNumberFormat="1" applyBorder="1" applyAlignment="1">
      <alignment horizontal="center" vertical="center"/>
    </xf>
    <xf numFmtId="9" fontId="18" fillId="0" borderId="49" xfId="0" applyNumberFormat="1" applyFont="1" applyBorder="1" applyAlignment="1">
      <alignment horizontal="center" vertical="center"/>
    </xf>
    <xf numFmtId="9" fontId="18" fillId="0" borderId="65" xfId="0" applyNumberFormat="1" applyFont="1" applyBorder="1" applyAlignment="1">
      <alignment horizontal="center" vertical="center"/>
    </xf>
    <xf numFmtId="49" fontId="0" fillId="0" borderId="66" xfId="0" quotePrefix="1" applyNumberFormat="1" applyBorder="1" applyAlignment="1">
      <alignment horizontal="center" vertical="center"/>
    </xf>
    <xf numFmtId="0" fontId="18" fillId="0" borderId="75" xfId="0" applyFont="1" applyBorder="1" applyAlignment="1">
      <alignment horizontal="center" vertical="center"/>
    </xf>
    <xf numFmtId="9" fontId="0" fillId="0" borderId="77" xfId="0" applyNumberFormat="1" applyBorder="1" applyAlignment="1">
      <alignment horizontal="center" vertical="center"/>
    </xf>
    <xf numFmtId="0" fontId="18" fillId="0" borderId="83" xfId="0" applyFont="1" applyBorder="1" applyAlignment="1">
      <alignment horizontal="center" vertical="center"/>
    </xf>
    <xf numFmtId="0" fontId="18" fillId="0" borderId="84" xfId="0" applyFont="1" applyBorder="1" applyAlignment="1">
      <alignment horizontal="center" vertical="center" wrapText="1"/>
    </xf>
    <xf numFmtId="0" fontId="18" fillId="0" borderId="85" xfId="0" applyFont="1" applyBorder="1" applyAlignment="1">
      <alignment horizontal="center" vertical="center" wrapText="1"/>
    </xf>
    <xf numFmtId="9" fontId="0" fillId="5" borderId="42" xfId="2" applyFont="1" applyFill="1" applyBorder="1" applyAlignment="1">
      <alignment horizontal="center"/>
    </xf>
    <xf numFmtId="9" fontId="0" fillId="4" borderId="42" xfId="2" applyFont="1" applyFill="1" applyBorder="1" applyAlignment="1">
      <alignment horizontal="center"/>
    </xf>
    <xf numFmtId="9" fontId="0" fillId="5" borderId="66" xfId="2" applyFont="1" applyFill="1" applyBorder="1" applyAlignment="1">
      <alignment horizontal="center"/>
    </xf>
    <xf numFmtId="0" fontId="18" fillId="0" borderId="83" xfId="0" applyFont="1" applyBorder="1" applyAlignment="1">
      <alignment horizontal="center" vertical="center" wrapText="1"/>
    </xf>
    <xf numFmtId="0" fontId="18" fillId="0" borderId="0" xfId="0" applyFont="1" applyAlignment="1">
      <alignment vertical="center"/>
    </xf>
    <xf numFmtId="0" fontId="18" fillId="0" borderId="86" xfId="0" applyFont="1" applyBorder="1" applyAlignment="1">
      <alignment horizontal="center" vertical="center"/>
    </xf>
    <xf numFmtId="0" fontId="18" fillId="0" borderId="87" xfId="0" applyFont="1" applyBorder="1" applyAlignment="1">
      <alignment horizontal="center" vertical="center"/>
    </xf>
    <xf numFmtId="0" fontId="18" fillId="0" borderId="87" xfId="0" applyFont="1" applyBorder="1" applyAlignment="1">
      <alignment horizontal="center" vertical="center" wrapText="1"/>
    </xf>
    <xf numFmtId="0" fontId="18" fillId="0" borderId="88" xfId="0" applyFont="1" applyBorder="1" applyAlignment="1">
      <alignment horizontal="center" vertical="center" wrapText="1"/>
    </xf>
    <xf numFmtId="9" fontId="0" fillId="0" borderId="47" xfId="0" applyNumberFormat="1" applyBorder="1" applyAlignment="1">
      <alignment horizontal="center" vertical="center"/>
    </xf>
    <xf numFmtId="0" fontId="0" fillId="4" borderId="47" xfId="0" applyFill="1" applyBorder="1" applyAlignment="1">
      <alignment horizontal="center" vertical="center"/>
    </xf>
    <xf numFmtId="0" fontId="0" fillId="4" borderId="52" xfId="0" applyFill="1" applyBorder="1" applyAlignment="1">
      <alignment horizontal="center" vertical="center"/>
    </xf>
    <xf numFmtId="0" fontId="0" fillId="0" borderId="0" xfId="0" applyAlignment="1">
      <alignment vertical="center"/>
    </xf>
    <xf numFmtId="0" fontId="0" fillId="0" borderId="65" xfId="0" applyBorder="1" applyAlignment="1">
      <alignment horizontal="center" vertical="center"/>
    </xf>
    <xf numFmtId="0" fontId="25" fillId="5" borderId="49" xfId="3" applyFont="1" applyFill="1" applyBorder="1" applyAlignment="1">
      <alignment vertical="top" wrapText="1"/>
    </xf>
    <xf numFmtId="0" fontId="25" fillId="5" borderId="65" xfId="3" applyFont="1" applyFill="1" applyBorder="1" applyAlignment="1">
      <alignment vertical="top" wrapText="1"/>
    </xf>
    <xf numFmtId="9" fontId="0" fillId="4" borderId="42" xfId="2" applyFont="1" applyFill="1" applyBorder="1"/>
    <xf numFmtId="9" fontId="0" fillId="5" borderId="42" xfId="2" applyFont="1" applyFill="1" applyBorder="1"/>
    <xf numFmtId="9" fontId="0" fillId="5" borderId="66" xfId="2" applyFont="1" applyFill="1" applyBorder="1"/>
    <xf numFmtId="0" fontId="0" fillId="4" borderId="67" xfId="0" applyFill="1" applyBorder="1"/>
    <xf numFmtId="0" fontId="18" fillId="5" borderId="0" xfId="0" applyFont="1" applyFill="1" applyAlignment="1">
      <alignment horizontal="center" vertical="center" wrapText="1"/>
    </xf>
    <xf numFmtId="0" fontId="18" fillId="0" borderId="89" xfId="0" applyFont="1" applyBorder="1" applyAlignment="1">
      <alignment horizontal="center" vertical="center" wrapText="1"/>
    </xf>
    <xf numFmtId="9" fontId="0" fillId="0" borderId="0" xfId="2" applyFont="1" applyBorder="1" applyAlignment="1">
      <alignment horizontal="center" vertical="center"/>
    </xf>
    <xf numFmtId="0" fontId="18" fillId="0" borderId="0" xfId="0" applyFont="1" applyAlignment="1">
      <alignment vertical="center" wrapText="1"/>
    </xf>
    <xf numFmtId="9" fontId="0" fillId="5" borderId="49" xfId="2" applyFont="1" applyFill="1" applyBorder="1" applyAlignment="1">
      <alignment horizontal="center" vertical="center"/>
    </xf>
    <xf numFmtId="9" fontId="0" fillId="5" borderId="42" xfId="2" applyFont="1" applyFill="1" applyBorder="1" applyAlignment="1">
      <alignment horizontal="center" vertical="center"/>
    </xf>
    <xf numFmtId="9" fontId="0" fillId="5" borderId="58" xfId="2" applyFont="1" applyFill="1" applyBorder="1" applyAlignment="1">
      <alignment horizontal="center" vertical="center"/>
    </xf>
    <xf numFmtId="0" fontId="4" fillId="0" borderId="29" xfId="0" applyFont="1" applyBorder="1" applyAlignment="1">
      <alignment horizontal="center" vertical="center"/>
    </xf>
    <xf numFmtId="0" fontId="0" fillId="0" borderId="0" xfId="0" applyAlignment="1">
      <alignment horizontal="left" vertical="center"/>
    </xf>
    <xf numFmtId="0" fontId="18" fillId="0" borderId="16" xfId="0" applyFont="1" applyBorder="1" applyAlignment="1">
      <alignment horizontal="left" vertical="center" wrapText="1"/>
    </xf>
    <xf numFmtId="0" fontId="0" fillId="0" borderId="59" xfId="0" applyBorder="1" applyAlignment="1">
      <alignment horizontal="left" vertical="center"/>
    </xf>
    <xf numFmtId="0" fontId="0" fillId="0" borderId="91" xfId="0" applyBorder="1" applyAlignment="1">
      <alignment horizontal="left" vertical="center"/>
    </xf>
    <xf numFmtId="0" fontId="18" fillId="0" borderId="64" xfId="0" applyFont="1" applyBorder="1" applyAlignment="1">
      <alignment horizontal="left" vertical="center"/>
    </xf>
    <xf numFmtId="0" fontId="18" fillId="0" borderId="83" xfId="0" applyFont="1" applyBorder="1" applyAlignment="1">
      <alignment horizontal="left" vertical="center"/>
    </xf>
    <xf numFmtId="0" fontId="3" fillId="0" borderId="0" xfId="0" applyFont="1" applyAlignment="1">
      <alignment vertical="center"/>
    </xf>
    <xf numFmtId="49" fontId="0" fillId="0" borderId="42" xfId="0" applyNumberFormat="1" applyBorder="1" applyAlignment="1">
      <alignment horizontal="center" vertical="center"/>
    </xf>
    <xf numFmtId="49" fontId="0" fillId="0" borderId="58" xfId="0" applyNumberFormat="1" applyBorder="1" applyAlignment="1">
      <alignment horizontal="center" vertical="center"/>
    </xf>
    <xf numFmtId="49" fontId="0" fillId="0" borderId="66" xfId="0" applyNumberFormat="1" applyBorder="1" applyAlignment="1">
      <alignment horizontal="center" vertical="center"/>
    </xf>
    <xf numFmtId="49" fontId="0" fillId="0" borderId="67" xfId="0" applyNumberFormat="1" applyBorder="1" applyAlignment="1">
      <alignment horizontal="center" vertical="center"/>
    </xf>
    <xf numFmtId="0" fontId="18" fillId="0" borderId="75" xfId="0" applyFont="1" applyBorder="1"/>
    <xf numFmtId="0" fontId="18" fillId="0" borderId="49" xfId="0" applyFont="1" applyBorder="1"/>
    <xf numFmtId="0" fontId="18" fillId="0" borderId="65" xfId="0" applyFont="1" applyBorder="1"/>
    <xf numFmtId="0" fontId="18" fillId="0" borderId="92" xfId="0" applyFont="1" applyBorder="1" applyAlignment="1">
      <alignment horizontal="center" vertical="center"/>
    </xf>
    <xf numFmtId="0" fontId="18" fillId="0" borderId="16" xfId="0" applyFont="1" applyBorder="1"/>
    <xf numFmtId="0" fontId="6" fillId="6" borderId="71" xfId="0" applyFont="1" applyFill="1" applyBorder="1" applyAlignment="1">
      <alignment horizontal="center" vertical="center"/>
    </xf>
    <xf numFmtId="0" fontId="8" fillId="6" borderId="9" xfId="0" applyFont="1" applyFill="1" applyBorder="1" applyAlignment="1">
      <alignment horizontal="center" vertical="center"/>
    </xf>
    <xf numFmtId="0" fontId="3" fillId="0" borderId="21" xfId="0" applyFont="1" applyBorder="1" applyAlignment="1">
      <alignment vertical="center"/>
    </xf>
    <xf numFmtId="0" fontId="0" fillId="0" borderId="73" xfId="0" applyBorder="1" applyAlignment="1">
      <alignment horizontal="center"/>
    </xf>
    <xf numFmtId="0" fontId="18" fillId="4" borderId="42" xfId="0" applyFont="1" applyFill="1" applyBorder="1" applyAlignment="1">
      <alignment horizontal="center" vertical="center" wrapText="1"/>
    </xf>
    <xf numFmtId="0" fontId="18" fillId="5" borderId="49" xfId="0" applyFont="1" applyFill="1" applyBorder="1" applyAlignment="1">
      <alignment horizontal="center" vertical="center" wrapText="1"/>
    </xf>
    <xf numFmtId="0" fontId="18" fillId="4" borderId="58" xfId="0" applyFont="1" applyFill="1" applyBorder="1" applyAlignment="1">
      <alignment horizontal="center" vertical="center" wrapText="1"/>
    </xf>
    <xf numFmtId="0" fontId="18" fillId="5" borderId="58" xfId="0" applyFont="1" applyFill="1" applyBorder="1" applyAlignment="1">
      <alignment horizontal="center" vertical="center" wrapText="1"/>
    </xf>
    <xf numFmtId="0" fontId="18" fillId="5" borderId="75" xfId="0" applyFont="1" applyFill="1" applyBorder="1" applyAlignment="1">
      <alignment horizontal="center" vertical="center" wrapText="1"/>
    </xf>
    <xf numFmtId="0" fontId="18" fillId="5" borderId="76" xfId="0" applyFont="1" applyFill="1" applyBorder="1" applyAlignment="1">
      <alignment horizontal="center" vertical="center" wrapText="1"/>
    </xf>
    <xf numFmtId="0" fontId="18" fillId="4" borderId="76" xfId="0" applyFont="1" applyFill="1" applyBorder="1" applyAlignment="1">
      <alignment horizontal="center" vertical="center" wrapText="1"/>
    </xf>
    <xf numFmtId="0" fontId="18" fillId="4" borderId="77" xfId="0" applyFont="1" applyFill="1" applyBorder="1" applyAlignment="1">
      <alignment horizontal="center" vertical="center" wrapText="1"/>
    </xf>
    <xf numFmtId="0" fontId="9" fillId="0" borderId="0" xfId="0" applyFont="1" applyAlignment="1">
      <alignment vertical="center"/>
    </xf>
    <xf numFmtId="0" fontId="1" fillId="0" borderId="22" xfId="0" applyFont="1" applyBorder="1" applyAlignment="1">
      <alignment horizontal="right" vertical="center"/>
    </xf>
    <xf numFmtId="164" fontId="0" fillId="0" borderId="42" xfId="1" applyNumberFormat="1" applyFont="1" applyBorder="1" applyAlignment="1">
      <alignment horizontal="center" vertical="center"/>
    </xf>
    <xf numFmtId="164" fontId="0" fillId="0" borderId="58" xfId="1" applyNumberFormat="1" applyFont="1" applyBorder="1" applyAlignment="1">
      <alignment horizontal="center" vertical="center"/>
    </xf>
    <xf numFmtId="164" fontId="0" fillId="0" borderId="66" xfId="1" applyNumberFormat="1" applyFont="1" applyBorder="1" applyAlignment="1">
      <alignment horizontal="center" vertical="center"/>
    </xf>
    <xf numFmtId="164" fontId="0" fillId="0" borderId="76" xfId="1" applyNumberFormat="1" applyFont="1" applyBorder="1" applyAlignment="1">
      <alignment horizontal="center" vertical="center"/>
    </xf>
    <xf numFmtId="164" fontId="0" fillId="0" borderId="77" xfId="1" applyNumberFormat="1" applyFont="1" applyBorder="1" applyAlignment="1">
      <alignment horizontal="center" vertical="center"/>
    </xf>
    <xf numFmtId="0" fontId="18" fillId="5" borderId="64" xfId="0" applyFont="1" applyFill="1" applyBorder="1"/>
    <xf numFmtId="0" fontId="18" fillId="5" borderId="47" xfId="0" applyFont="1" applyFill="1" applyBorder="1"/>
    <xf numFmtId="0" fontId="18" fillId="5" borderId="52" xfId="0" applyFont="1" applyFill="1" applyBorder="1"/>
    <xf numFmtId="0" fontId="6" fillId="0" borderId="94" xfId="0" applyFont="1" applyBorder="1" applyAlignment="1">
      <alignment vertical="center"/>
    </xf>
    <xf numFmtId="0" fontId="6" fillId="0" borderId="95" xfId="0" applyFont="1" applyBorder="1" applyAlignment="1">
      <alignment vertical="center"/>
    </xf>
    <xf numFmtId="0" fontId="6" fillId="6" borderId="98" xfId="0" applyFont="1" applyFill="1" applyBorder="1" applyAlignment="1">
      <alignment horizontal="center" vertical="center"/>
    </xf>
    <xf numFmtId="0" fontId="8" fillId="6" borderId="99" xfId="0" applyFont="1" applyFill="1" applyBorder="1" applyAlignment="1">
      <alignment horizontal="center" vertical="center"/>
    </xf>
    <xf numFmtId="0" fontId="25" fillId="5" borderId="64" xfId="3" applyFont="1" applyFill="1" applyBorder="1" applyAlignment="1">
      <alignment vertical="top" wrapText="1"/>
    </xf>
    <xf numFmtId="0" fontId="21" fillId="5" borderId="47" xfId="0" applyFont="1" applyFill="1" applyBorder="1" applyAlignment="1">
      <alignment horizontal="center" vertical="center" wrapText="1"/>
    </xf>
    <xf numFmtId="0" fontId="21" fillId="4" borderId="47" xfId="0" applyFont="1" applyFill="1" applyBorder="1" applyAlignment="1">
      <alignment horizontal="center" vertical="center" wrapText="1"/>
    </xf>
    <xf numFmtId="9" fontId="0" fillId="4" borderId="76" xfId="2" applyFont="1" applyFill="1" applyBorder="1" applyAlignment="1">
      <alignment horizontal="center"/>
    </xf>
    <xf numFmtId="9" fontId="0" fillId="5" borderId="76" xfId="2" applyFont="1" applyFill="1" applyBorder="1" applyAlignment="1">
      <alignment horizontal="center"/>
    </xf>
    <xf numFmtId="9" fontId="0" fillId="4" borderId="76" xfId="2" applyFont="1" applyFill="1" applyBorder="1"/>
    <xf numFmtId="0" fontId="0" fillId="4" borderId="77" xfId="0" applyFill="1" applyBorder="1"/>
    <xf numFmtId="0" fontId="18" fillId="5" borderId="100" xfId="0" applyFont="1" applyFill="1" applyBorder="1" applyAlignment="1">
      <alignment horizontal="center" vertical="center" wrapText="1"/>
    </xf>
    <xf numFmtId="0" fontId="18" fillId="5" borderId="101" xfId="0" applyFont="1" applyFill="1" applyBorder="1" applyAlignment="1">
      <alignment horizontal="center" vertical="center"/>
    </xf>
    <xf numFmtId="0" fontId="21" fillId="0" borderId="42" xfId="0" applyFont="1" applyBorder="1" applyAlignment="1">
      <alignment horizontal="center" vertical="center" wrapText="1"/>
    </xf>
    <xf numFmtId="9" fontId="21" fillId="5" borderId="64" xfId="0" applyNumberFormat="1" applyFont="1" applyFill="1" applyBorder="1" applyAlignment="1">
      <alignment horizontal="center" vertical="center" wrapText="1"/>
    </xf>
    <xf numFmtId="9" fontId="21" fillId="5" borderId="47" xfId="0" applyNumberFormat="1" applyFont="1" applyFill="1" applyBorder="1" applyAlignment="1">
      <alignment horizontal="center" vertical="center" wrapText="1"/>
    </xf>
    <xf numFmtId="0" fontId="21" fillId="0" borderId="66" xfId="0" applyFont="1" applyBorder="1" applyAlignment="1">
      <alignment horizontal="center" vertical="center" wrapText="1"/>
    </xf>
    <xf numFmtId="0" fontId="18" fillId="5" borderId="102" xfId="0" applyFont="1" applyFill="1" applyBorder="1" applyAlignment="1">
      <alignment horizontal="center" vertical="center" wrapText="1"/>
    </xf>
    <xf numFmtId="9" fontId="0" fillId="5" borderId="78" xfId="2" applyFont="1" applyFill="1" applyBorder="1" applyAlignment="1">
      <alignment horizontal="center"/>
    </xf>
    <xf numFmtId="9" fontId="0" fillId="5" borderId="63" xfId="2" applyFont="1" applyFill="1" applyBorder="1" applyAlignment="1">
      <alignment horizontal="center"/>
    </xf>
    <xf numFmtId="9" fontId="0" fillId="4" borderId="63" xfId="2" applyFont="1" applyFill="1" applyBorder="1" applyAlignment="1">
      <alignment horizontal="center"/>
    </xf>
    <xf numFmtId="9" fontId="0" fillId="5" borderId="73" xfId="2" applyFont="1" applyFill="1" applyBorder="1" applyAlignment="1">
      <alignment horizontal="center"/>
    </xf>
    <xf numFmtId="0" fontId="25" fillId="5" borderId="90" xfId="3" applyFont="1" applyFill="1" applyBorder="1" applyAlignment="1">
      <alignment vertical="top" wrapText="1"/>
    </xf>
    <xf numFmtId="0" fontId="25" fillId="5" borderId="59" xfId="3" applyFont="1" applyFill="1" applyBorder="1" applyAlignment="1">
      <alignment vertical="top" wrapText="1"/>
    </xf>
    <xf numFmtId="0" fontId="25" fillId="5" borderId="91" xfId="3" applyFont="1" applyFill="1" applyBorder="1" applyAlignment="1">
      <alignment vertical="top" wrapText="1"/>
    </xf>
    <xf numFmtId="0" fontId="18" fillId="5" borderId="103" xfId="0" applyFont="1" applyFill="1" applyBorder="1" applyAlignment="1">
      <alignment horizontal="center" vertical="center" wrapText="1"/>
    </xf>
    <xf numFmtId="0" fontId="18" fillId="5" borderId="16" xfId="0" applyFont="1" applyFill="1" applyBorder="1"/>
    <xf numFmtId="0" fontId="13" fillId="0" borderId="16" xfId="0" applyFont="1" applyBorder="1" applyAlignment="1">
      <alignment horizontal="center" vertical="center"/>
    </xf>
    <xf numFmtId="0" fontId="0" fillId="0" borderId="48" xfId="0" applyBorder="1" applyAlignment="1">
      <alignment horizontal="center" vertical="center"/>
    </xf>
    <xf numFmtId="0" fontId="0" fillId="0" borderId="63" xfId="0" applyBorder="1" applyAlignment="1">
      <alignment horizontal="center" vertical="center"/>
    </xf>
    <xf numFmtId="0" fontId="0" fillId="0" borderId="73" xfId="0" applyBorder="1" applyAlignment="1">
      <alignment horizontal="center" vertical="center"/>
    </xf>
    <xf numFmtId="0" fontId="18" fillId="0" borderId="16" xfId="0" applyFont="1" applyBorder="1" applyAlignment="1">
      <alignment horizontal="left" vertical="center"/>
    </xf>
    <xf numFmtId="0" fontId="0" fillId="0" borderId="50" xfId="0" applyBorder="1" applyAlignment="1">
      <alignment horizontal="left" vertical="center"/>
    </xf>
    <xf numFmtId="0" fontId="18" fillId="0" borderId="49" xfId="0" applyFont="1" applyBorder="1" applyAlignment="1">
      <alignment horizontal="left" vertical="center"/>
    </xf>
    <xf numFmtId="0" fontId="18" fillId="0" borderId="65" xfId="0" applyFont="1" applyBorder="1" applyAlignment="1">
      <alignment horizontal="left" vertical="center"/>
    </xf>
    <xf numFmtId="0" fontId="0" fillId="0" borderId="64" xfId="0" applyBorder="1" applyAlignment="1">
      <alignment horizontal="center" vertical="center"/>
    </xf>
    <xf numFmtId="0" fontId="18" fillId="0" borderId="88" xfId="0" applyFont="1" applyBorder="1" applyAlignment="1">
      <alignment horizontal="center" vertical="center"/>
    </xf>
    <xf numFmtId="0" fontId="20" fillId="5" borderId="74" xfId="3" applyFill="1" applyBorder="1" applyAlignment="1">
      <alignment horizontal="center" vertical="center" wrapText="1"/>
    </xf>
    <xf numFmtId="0" fontId="20" fillId="5" borderId="36" xfId="3" applyFill="1" applyBorder="1" applyAlignment="1">
      <alignment horizontal="center" vertical="center" wrapText="1"/>
    </xf>
    <xf numFmtId="0" fontId="18" fillId="0" borderId="89" xfId="0" applyFont="1" applyBorder="1" applyAlignment="1">
      <alignment horizontal="center" vertical="center"/>
    </xf>
    <xf numFmtId="164" fontId="0" fillId="0" borderId="62" xfId="1" applyNumberFormat="1" applyFont="1" applyBorder="1" applyAlignment="1">
      <alignment horizontal="center" vertical="center"/>
    </xf>
    <xf numFmtId="164" fontId="0" fillId="0" borderId="70" xfId="1" applyNumberFormat="1" applyFont="1" applyBorder="1" applyAlignment="1">
      <alignment horizontal="center" vertical="center"/>
    </xf>
    <xf numFmtId="0" fontId="0" fillId="5" borderId="58" xfId="0" applyFill="1" applyBorder="1"/>
    <xf numFmtId="49" fontId="0" fillId="0" borderId="64" xfId="0" applyNumberFormat="1" applyBorder="1" applyAlignment="1">
      <alignment horizontal="center" vertical="center"/>
    </xf>
    <xf numFmtId="49" fontId="0" fillId="0" borderId="47" xfId="0" applyNumberFormat="1" applyBorder="1" applyAlignment="1">
      <alignment horizontal="center" vertical="center"/>
    </xf>
    <xf numFmtId="49" fontId="0" fillId="0" borderId="52" xfId="0" applyNumberFormat="1" applyBorder="1" applyAlignment="1">
      <alignment horizontal="center" vertical="center"/>
    </xf>
    <xf numFmtId="49" fontId="0" fillId="0" borderId="49" xfId="0" applyNumberFormat="1" applyBorder="1" applyAlignment="1">
      <alignment horizontal="center" vertical="center"/>
    </xf>
    <xf numFmtId="49" fontId="0" fillId="0" borderId="65" xfId="0" applyNumberFormat="1" applyBorder="1" applyAlignment="1">
      <alignment horizontal="center" vertical="center"/>
    </xf>
    <xf numFmtId="0" fontId="0" fillId="0" borderId="59" xfId="0" applyBorder="1"/>
    <xf numFmtId="0" fontId="0" fillId="0" borderId="91" xfId="0" applyBorder="1"/>
    <xf numFmtId="0" fontId="0" fillId="0" borderId="90" xfId="0" applyBorder="1"/>
    <xf numFmtId="0" fontId="18" fillId="0" borderId="75" xfId="0" applyFont="1" applyBorder="1" applyAlignment="1">
      <alignment horizontal="left" vertical="center"/>
    </xf>
    <xf numFmtId="0" fontId="21" fillId="4" borderId="64" xfId="0" applyFont="1" applyFill="1" applyBorder="1" applyAlignment="1">
      <alignment horizontal="center" vertical="center" wrapText="1"/>
    </xf>
    <xf numFmtId="0" fontId="21" fillId="4" borderId="69" xfId="0" applyFont="1" applyFill="1" applyBorder="1" applyAlignment="1">
      <alignment horizontal="center" vertical="center" wrapText="1"/>
    </xf>
    <xf numFmtId="0" fontId="0" fillId="0" borderId="52" xfId="0" applyBorder="1" applyAlignment="1">
      <alignment horizontal="center"/>
    </xf>
    <xf numFmtId="0" fontId="0" fillId="4" borderId="49" xfId="0" applyFill="1" applyBorder="1" applyAlignment="1">
      <alignment horizontal="center"/>
    </xf>
    <xf numFmtId="0" fontId="0" fillId="4" borderId="65" xfId="0" applyFill="1" applyBorder="1" applyAlignment="1">
      <alignment horizontal="center"/>
    </xf>
    <xf numFmtId="0" fontId="18" fillId="0" borderId="0" xfId="0" applyFont="1" applyAlignment="1">
      <alignment horizontal="left" vertical="center"/>
    </xf>
    <xf numFmtId="0" fontId="18" fillId="0" borderId="90" xfId="0" applyFont="1" applyBorder="1" applyAlignment="1">
      <alignment horizontal="left" vertical="center"/>
    </xf>
    <xf numFmtId="0" fontId="18" fillId="0" borderId="59" xfId="0" applyFont="1" applyBorder="1" applyAlignment="1">
      <alignment horizontal="left" vertical="center"/>
    </xf>
    <xf numFmtId="0" fontId="0" fillId="0" borderId="70" xfId="0" applyBorder="1" applyAlignment="1">
      <alignment horizontal="center"/>
    </xf>
    <xf numFmtId="0" fontId="18" fillId="4" borderId="16" xfId="0" applyFont="1" applyFill="1" applyBorder="1"/>
    <xf numFmtId="0" fontId="18" fillId="4" borderId="92" xfId="0" applyFont="1" applyFill="1" applyBorder="1" applyAlignment="1">
      <alignment horizontal="center" vertical="center"/>
    </xf>
    <xf numFmtId="0" fontId="18" fillId="4" borderId="84" xfId="0" applyFont="1" applyFill="1" applyBorder="1" applyAlignment="1">
      <alignment horizontal="center" vertical="center"/>
    </xf>
    <xf numFmtId="0" fontId="18" fillId="4" borderId="85" xfId="0" applyFont="1" applyFill="1" applyBorder="1" applyAlignment="1">
      <alignment horizontal="center" vertical="center"/>
    </xf>
    <xf numFmtId="0" fontId="18" fillId="4" borderId="90" xfId="0" applyFont="1" applyFill="1" applyBorder="1"/>
    <xf numFmtId="49" fontId="0" fillId="4" borderId="64" xfId="0" applyNumberFormat="1" applyFill="1" applyBorder="1" applyAlignment="1">
      <alignment horizontal="center" vertical="center"/>
    </xf>
    <xf numFmtId="49" fontId="0" fillId="4" borderId="47" xfId="0" applyNumberFormat="1" applyFill="1" applyBorder="1" applyAlignment="1">
      <alignment horizontal="center" vertical="center"/>
    </xf>
    <xf numFmtId="49" fontId="0" fillId="4" borderId="52" xfId="0" applyNumberFormat="1" applyFill="1" applyBorder="1" applyAlignment="1">
      <alignment horizontal="center" vertical="center"/>
    </xf>
    <xf numFmtId="0" fontId="18" fillId="4" borderId="59" xfId="0" applyFont="1" applyFill="1" applyBorder="1"/>
    <xf numFmtId="49" fontId="0" fillId="4" borderId="49" xfId="0" applyNumberFormat="1" applyFill="1" applyBorder="1" applyAlignment="1">
      <alignment horizontal="center" vertical="center"/>
    </xf>
    <xf numFmtId="49" fontId="0" fillId="4" borderId="42" xfId="0" applyNumberFormat="1" applyFill="1" applyBorder="1" applyAlignment="1">
      <alignment horizontal="center" vertical="center"/>
    </xf>
    <xf numFmtId="49" fontId="0" fillId="4" borderId="58" xfId="0" applyNumberFormat="1" applyFill="1" applyBorder="1" applyAlignment="1">
      <alignment horizontal="center" vertical="center"/>
    </xf>
    <xf numFmtId="0" fontId="18" fillId="4" borderId="91" xfId="0" applyFont="1" applyFill="1" applyBorder="1"/>
    <xf numFmtId="49" fontId="0" fillId="4" borderId="65" xfId="0" applyNumberFormat="1" applyFill="1" applyBorder="1" applyAlignment="1">
      <alignment horizontal="center" vertical="center"/>
    </xf>
    <xf numFmtId="49" fontId="0" fillId="4" borderId="66" xfId="0" applyNumberFormat="1" applyFill="1" applyBorder="1" applyAlignment="1">
      <alignment horizontal="center" vertical="center"/>
    </xf>
    <xf numFmtId="49" fontId="0" fillId="4" borderId="67" xfId="0" applyNumberFormat="1" applyFill="1" applyBorder="1" applyAlignment="1">
      <alignment horizontal="center" vertical="center"/>
    </xf>
    <xf numFmtId="0" fontId="18" fillId="0" borderId="74" xfId="0" applyFont="1" applyBorder="1"/>
    <xf numFmtId="0" fontId="18" fillId="0" borderId="36" xfId="0" applyFont="1" applyBorder="1"/>
    <xf numFmtId="0" fontId="18" fillId="0" borderId="104" xfId="0" applyFont="1" applyBorder="1" applyAlignment="1">
      <alignment horizontal="center" vertical="center"/>
    </xf>
    <xf numFmtId="0" fontId="31" fillId="5" borderId="36" xfId="3" applyFont="1" applyFill="1" applyBorder="1" applyAlignment="1">
      <alignment horizontal="center" vertical="center" wrapText="1"/>
    </xf>
    <xf numFmtId="9" fontId="26" fillId="0" borderId="12" xfId="0" applyNumberFormat="1" applyFont="1" applyBorder="1" applyAlignment="1" applyProtection="1">
      <alignment horizontal="center" vertical="center"/>
      <protection locked="0"/>
    </xf>
    <xf numFmtId="0" fontId="3" fillId="0" borderId="51" xfId="0" applyFont="1" applyBorder="1" applyAlignment="1">
      <alignment horizontal="center" vertical="center"/>
    </xf>
    <xf numFmtId="0" fontId="0" fillId="2" borderId="0" xfId="0" applyFill="1" applyAlignment="1">
      <alignment horizontal="center" vertical="center"/>
    </xf>
    <xf numFmtId="0" fontId="18" fillId="2" borderId="84" xfId="0" applyFont="1" applyFill="1" applyBorder="1" applyAlignment="1">
      <alignment horizontal="center" vertical="center"/>
    </xf>
    <xf numFmtId="0" fontId="0" fillId="2" borderId="47" xfId="0" applyFill="1" applyBorder="1" applyAlignment="1">
      <alignment horizontal="center" vertical="center"/>
    </xf>
    <xf numFmtId="0" fontId="0" fillId="2" borderId="42" xfId="0" applyFill="1" applyBorder="1" applyAlignment="1">
      <alignment horizontal="center" vertical="center"/>
    </xf>
    <xf numFmtId="0" fontId="0" fillId="2" borderId="66" xfId="0" applyFill="1" applyBorder="1" applyAlignment="1">
      <alignment horizontal="center" vertical="center"/>
    </xf>
    <xf numFmtId="0" fontId="10" fillId="0" borderId="59" xfId="0" applyFont="1" applyBorder="1" applyAlignment="1">
      <alignment horizontal="center" vertical="center"/>
    </xf>
    <xf numFmtId="0" fontId="10" fillId="0" borderId="49" xfId="0" applyFont="1" applyBorder="1" applyAlignment="1">
      <alignment horizontal="center" vertical="center"/>
    </xf>
    <xf numFmtId="0" fontId="10" fillId="0" borderId="62" xfId="0" applyFont="1" applyBorder="1" applyAlignment="1">
      <alignment horizontal="center" vertical="center"/>
    </xf>
    <xf numFmtId="0" fontId="10" fillId="0" borderId="63" xfId="0" applyFont="1" applyBorder="1" applyAlignment="1">
      <alignment horizontal="center" vertical="center"/>
    </xf>
    <xf numFmtId="0" fontId="10" fillId="0" borderId="42" xfId="0" applyFont="1" applyBorder="1" applyAlignment="1">
      <alignment horizontal="center" vertical="center"/>
    </xf>
    <xf numFmtId="0" fontId="10" fillId="0" borderId="10" xfId="0" applyFont="1" applyBorder="1" applyAlignment="1">
      <alignment horizontal="center" vertical="center"/>
    </xf>
    <xf numFmtId="0" fontId="10" fillId="0" borderId="35" xfId="0" applyFont="1" applyBorder="1" applyAlignment="1">
      <alignment horizontal="center" vertical="center"/>
    </xf>
    <xf numFmtId="0" fontId="10" fillId="0" borderId="36" xfId="0" applyFont="1" applyBorder="1" applyAlignment="1">
      <alignment horizontal="center" vertical="center"/>
    </xf>
    <xf numFmtId="0" fontId="10" fillId="0" borderId="34" xfId="0" applyFont="1" applyBorder="1" applyAlignment="1">
      <alignment horizontal="center" vertical="center"/>
    </xf>
    <xf numFmtId="0" fontId="10" fillId="0" borderId="58" xfId="0" applyFont="1" applyBorder="1" applyAlignment="1">
      <alignment horizontal="center" vertical="center"/>
    </xf>
    <xf numFmtId="0" fontId="18" fillId="0" borderId="0" xfId="0" applyFont="1" applyAlignment="1">
      <alignment horizontal="center"/>
    </xf>
    <xf numFmtId="164" fontId="0" fillId="0" borderId="0" xfId="1" applyNumberFormat="1" applyFont="1" applyBorder="1" applyAlignment="1">
      <alignment horizontal="center" vertical="center"/>
    </xf>
    <xf numFmtId="0" fontId="10" fillId="0" borderId="63" xfId="0" applyFont="1" applyBorder="1" applyAlignment="1">
      <alignment vertical="center"/>
    </xf>
    <xf numFmtId="0" fontId="10" fillId="6" borderId="42" xfId="0" applyFont="1" applyFill="1" applyBorder="1" applyAlignment="1">
      <alignment horizontal="center" vertical="center"/>
    </xf>
    <xf numFmtId="0" fontId="10" fillId="0" borderId="105" xfId="0" applyFont="1" applyBorder="1" applyAlignment="1">
      <alignment vertical="center"/>
    </xf>
    <xf numFmtId="0" fontId="10" fillId="0" borderId="58" xfId="0" applyFont="1" applyBorder="1" applyAlignment="1">
      <alignment vertical="center"/>
    </xf>
    <xf numFmtId="0" fontId="10" fillId="0" borderId="66" xfId="0" applyFont="1" applyBorder="1" applyAlignment="1">
      <alignment vertical="center"/>
    </xf>
    <xf numFmtId="0" fontId="10" fillId="0" borderId="67" xfId="0" applyFont="1" applyBorder="1" applyAlignment="1">
      <alignment vertical="center"/>
    </xf>
    <xf numFmtId="0" fontId="3" fillId="0" borderId="27" xfId="0" applyFont="1" applyBorder="1" applyAlignment="1">
      <alignment horizontal="center" vertical="center" wrapText="1"/>
    </xf>
    <xf numFmtId="0" fontId="3" fillId="0" borderId="48" xfId="0" applyFont="1" applyBorder="1" applyAlignment="1">
      <alignment horizontal="center" vertical="center"/>
    </xf>
    <xf numFmtId="0" fontId="3" fillId="0" borderId="47" xfId="0" applyFont="1" applyBorder="1" applyAlignment="1">
      <alignment horizontal="center" vertical="center"/>
    </xf>
    <xf numFmtId="0" fontId="3" fillId="0" borderId="52" xfId="0" applyFont="1" applyBorder="1" applyAlignment="1">
      <alignment horizontal="center" vertical="center"/>
    </xf>
    <xf numFmtId="0" fontId="3" fillId="0" borderId="56" xfId="0" applyFont="1" applyBorder="1" applyAlignment="1">
      <alignment horizontal="center" vertical="center"/>
    </xf>
    <xf numFmtId="0" fontId="3" fillId="0" borderId="47" xfId="0" applyFont="1" applyBorder="1" applyAlignment="1">
      <alignment horizontal="center" vertical="center" wrapText="1"/>
    </xf>
    <xf numFmtId="0" fontId="3" fillId="0" borderId="53" xfId="0" applyFont="1" applyBorder="1" applyAlignment="1">
      <alignment horizontal="center" vertical="center"/>
    </xf>
    <xf numFmtId="0" fontId="10" fillId="4" borderId="27" xfId="0" applyFont="1" applyFill="1" applyBorder="1" applyAlignment="1">
      <alignment horizontal="center" vertical="center" wrapText="1"/>
    </xf>
    <xf numFmtId="0" fontId="10" fillId="4" borderId="51" xfId="0" applyFont="1" applyFill="1" applyBorder="1" applyAlignment="1">
      <alignment horizontal="center" vertical="center"/>
    </xf>
    <xf numFmtId="0" fontId="10" fillId="4" borderId="48" xfId="0" applyFont="1" applyFill="1" applyBorder="1" applyAlignment="1">
      <alignment horizontal="center" vertical="center"/>
    </xf>
    <xf numFmtId="0" fontId="10" fillId="4" borderId="47" xfId="0" applyFont="1" applyFill="1" applyBorder="1" applyAlignment="1">
      <alignment horizontal="center" vertical="center"/>
    </xf>
    <xf numFmtId="0" fontId="10" fillId="4" borderId="53" xfId="0" applyFont="1" applyFill="1" applyBorder="1" applyAlignment="1">
      <alignment horizontal="center" vertical="center"/>
    </xf>
    <xf numFmtId="0" fontId="10" fillId="4" borderId="34" xfId="0" applyFont="1" applyFill="1" applyBorder="1" applyAlignment="1">
      <alignment vertical="center"/>
    </xf>
    <xf numFmtId="0" fontId="10" fillId="4" borderId="42" xfId="0" applyFont="1" applyFill="1" applyBorder="1" applyAlignment="1">
      <alignment vertical="center"/>
    </xf>
    <xf numFmtId="0" fontId="10" fillId="4" borderId="54" xfId="0" applyFont="1" applyFill="1" applyBorder="1" applyAlignment="1">
      <alignment vertical="center"/>
    </xf>
    <xf numFmtId="0" fontId="4" fillId="0" borderId="5" xfId="0" applyFont="1" applyBorder="1" applyAlignment="1">
      <alignment vertical="center"/>
    </xf>
    <xf numFmtId="0" fontId="0" fillId="0" borderId="42" xfId="0" applyBorder="1"/>
    <xf numFmtId="0" fontId="10" fillId="6" borderId="76" xfId="0" applyFont="1" applyFill="1" applyBorder="1" applyAlignment="1">
      <alignment horizontal="center" vertical="center"/>
    </xf>
    <xf numFmtId="0" fontId="0" fillId="0" borderId="58" xfId="0" applyBorder="1"/>
    <xf numFmtId="0" fontId="0" fillId="0" borderId="66" xfId="0" applyBorder="1"/>
    <xf numFmtId="0" fontId="0" fillId="0" borderId="67" xfId="0" applyBorder="1"/>
    <xf numFmtId="0" fontId="0" fillId="0" borderId="76" xfId="0" applyBorder="1"/>
    <xf numFmtId="0" fontId="0" fillId="0" borderId="77" xfId="0" applyBorder="1"/>
    <xf numFmtId="0" fontId="18" fillId="0" borderId="84" xfId="0" applyFont="1" applyBorder="1"/>
    <xf numFmtId="0" fontId="18" fillId="0" borderId="85" xfId="0" applyFont="1" applyBorder="1"/>
    <xf numFmtId="0" fontId="0" fillId="0" borderId="78" xfId="0" applyBorder="1" applyAlignment="1">
      <alignment horizontal="center" vertical="center"/>
    </xf>
    <xf numFmtId="0" fontId="18" fillId="0" borderId="90" xfId="0" applyFont="1" applyBorder="1"/>
    <xf numFmtId="0" fontId="18" fillId="0" borderId="59" xfId="0" applyFont="1" applyBorder="1"/>
    <xf numFmtId="0" fontId="18" fillId="0" borderId="91" xfId="0" applyFont="1" applyBorder="1"/>
    <xf numFmtId="164" fontId="0" fillId="0" borderId="78" xfId="1" applyNumberFormat="1" applyFont="1" applyBorder="1" applyAlignment="1">
      <alignment horizontal="center" vertical="center"/>
    </xf>
    <xf numFmtId="164" fontId="0" fillId="0" borderId="63" xfId="1" applyNumberFormat="1" applyFont="1" applyBorder="1" applyAlignment="1">
      <alignment horizontal="center" vertical="center"/>
    </xf>
    <xf numFmtId="164" fontId="0" fillId="0" borderId="73" xfId="1" applyNumberFormat="1" applyFont="1" applyBorder="1" applyAlignment="1">
      <alignment horizontal="center" vertical="center"/>
    </xf>
    <xf numFmtId="0" fontId="18" fillId="0" borderId="107" xfId="0" applyFont="1" applyBorder="1"/>
    <xf numFmtId="9" fontId="0" fillId="0" borderId="78" xfId="0" applyNumberFormat="1" applyBorder="1" applyAlignment="1">
      <alignment horizontal="center" vertical="center"/>
    </xf>
    <xf numFmtId="9" fontId="0" fillId="0" borderId="63" xfId="0" applyNumberFormat="1" applyBorder="1" applyAlignment="1">
      <alignment horizontal="center" vertical="center"/>
    </xf>
    <xf numFmtId="9" fontId="0" fillId="0" borderId="73" xfId="0" applyNumberFormat="1" applyBorder="1" applyAlignment="1">
      <alignment horizontal="center" vertical="center"/>
    </xf>
    <xf numFmtId="0" fontId="18" fillId="0" borderId="103" xfId="0" applyFont="1" applyBorder="1" applyAlignment="1">
      <alignment horizontal="center" vertical="center"/>
    </xf>
    <xf numFmtId="0" fontId="18" fillId="0" borderId="50" xfId="0" applyFont="1" applyBorder="1"/>
    <xf numFmtId="0" fontId="0" fillId="4" borderId="78" xfId="0" applyFill="1" applyBorder="1" applyAlignment="1">
      <alignment horizontal="center" vertical="center"/>
    </xf>
    <xf numFmtId="0" fontId="0" fillId="4" borderId="63" xfId="0" applyFill="1" applyBorder="1" applyAlignment="1">
      <alignment horizontal="center" vertical="center"/>
    </xf>
    <xf numFmtId="0" fontId="0" fillId="4" borderId="73" xfId="0" applyFill="1" applyBorder="1" applyAlignment="1">
      <alignment horizontal="center" vertical="center"/>
    </xf>
    <xf numFmtId="0" fontId="18" fillId="0" borderId="21" xfId="0" applyFont="1" applyBorder="1" applyAlignment="1">
      <alignment horizontal="center" vertical="center"/>
    </xf>
    <xf numFmtId="0" fontId="18" fillId="0" borderId="25" xfId="0" applyFont="1" applyBorder="1"/>
    <xf numFmtId="0" fontId="1" fillId="0" borderId="24" xfId="0" applyFont="1" applyBorder="1" applyAlignment="1">
      <alignment vertical="center"/>
    </xf>
    <xf numFmtId="0" fontId="1" fillId="0" borderId="24" xfId="0" applyFont="1" applyBorder="1" applyAlignment="1">
      <alignment horizontal="right" vertical="center"/>
    </xf>
    <xf numFmtId="0" fontId="29" fillId="6" borderId="38" xfId="0" applyFont="1" applyFill="1" applyBorder="1" applyAlignment="1">
      <alignment vertical="center"/>
    </xf>
    <xf numFmtId="0" fontId="3" fillId="0" borderId="39" xfId="0" applyFont="1" applyBorder="1" applyAlignment="1">
      <alignment vertical="center"/>
    </xf>
    <xf numFmtId="0" fontId="4" fillId="6" borderId="3" xfId="0" applyFont="1" applyFill="1" applyBorder="1" applyAlignment="1">
      <alignment horizontal="center" vertical="center"/>
    </xf>
    <xf numFmtId="0" fontId="4" fillId="6" borderId="4" xfId="0" applyFont="1" applyFill="1" applyBorder="1" applyAlignment="1">
      <alignment horizontal="center" vertical="center"/>
    </xf>
    <xf numFmtId="0" fontId="1" fillId="0" borderId="109" xfId="0" applyFont="1" applyBorder="1" applyAlignment="1">
      <alignment vertical="center"/>
    </xf>
    <xf numFmtId="0" fontId="1" fillId="0" borderId="20" xfId="0" applyFont="1" applyBorder="1" applyAlignment="1">
      <alignment vertical="center"/>
    </xf>
    <xf numFmtId="0" fontId="14" fillId="0" borderId="3" xfId="0" applyFont="1" applyBorder="1" applyAlignment="1">
      <alignment vertical="center"/>
    </xf>
    <xf numFmtId="0" fontId="7" fillId="0" borderId="0" xfId="0" applyFont="1" applyAlignment="1" applyProtection="1">
      <alignment vertical="center"/>
      <protection locked="0"/>
    </xf>
    <xf numFmtId="0" fontId="3" fillId="0" borderId="2" xfId="0" applyFont="1" applyBorder="1" applyAlignment="1">
      <alignment vertical="center"/>
    </xf>
    <xf numFmtId="0" fontId="10" fillId="4" borderId="5" xfId="0" applyFont="1" applyFill="1" applyBorder="1" applyAlignment="1">
      <alignment vertical="center"/>
    </xf>
    <xf numFmtId="0" fontId="10" fillId="4" borderId="0" xfId="0" applyFont="1" applyFill="1" applyAlignment="1">
      <alignment horizontal="center" vertical="center"/>
    </xf>
    <xf numFmtId="0" fontId="10" fillId="4" borderId="0" xfId="0" applyFont="1" applyFill="1" applyAlignment="1">
      <alignment vertical="center"/>
    </xf>
    <xf numFmtId="0" fontId="1" fillId="6" borderId="110" xfId="0" applyFont="1" applyFill="1" applyBorder="1" applyAlignment="1">
      <alignment horizontal="center" vertical="center"/>
    </xf>
    <xf numFmtId="0" fontId="1" fillId="6" borderId="35" xfId="0" applyFont="1" applyFill="1" applyBorder="1" applyAlignment="1">
      <alignment horizontal="center" vertical="center"/>
    </xf>
    <xf numFmtId="0" fontId="1" fillId="6" borderId="112" xfId="0" applyFont="1" applyFill="1" applyBorder="1" applyAlignment="1">
      <alignment horizontal="center" vertical="center"/>
    </xf>
    <xf numFmtId="0" fontId="7" fillId="0" borderId="2" xfId="0" applyFont="1" applyBorder="1" applyAlignment="1">
      <alignment horizontal="left" vertical="center"/>
    </xf>
    <xf numFmtId="0" fontId="8" fillId="0" borderId="0" xfId="0" applyFont="1" applyAlignment="1">
      <alignment vertical="center" textRotation="90"/>
    </xf>
    <xf numFmtId="0" fontId="8" fillId="0" borderId="8" xfId="0" applyFont="1" applyBorder="1" applyAlignment="1">
      <alignment vertical="center" textRotation="90"/>
    </xf>
    <xf numFmtId="0" fontId="18" fillId="7" borderId="92" xfId="0" applyFont="1" applyFill="1" applyBorder="1" applyAlignment="1">
      <alignment horizontal="center" vertical="center"/>
    </xf>
    <xf numFmtId="0" fontId="18" fillId="7" borderId="84" xfId="0" applyFont="1" applyFill="1" applyBorder="1" applyAlignment="1">
      <alignment horizontal="center" vertical="center"/>
    </xf>
    <xf numFmtId="0" fontId="18" fillId="8" borderId="92" xfId="0" applyFont="1" applyFill="1" applyBorder="1" applyAlignment="1">
      <alignment horizontal="center" vertical="center"/>
    </xf>
    <xf numFmtId="0" fontId="18" fillId="8" borderId="84" xfId="0" applyFont="1" applyFill="1" applyBorder="1" applyAlignment="1">
      <alignment horizontal="center" vertical="center"/>
    </xf>
    <xf numFmtId="0" fontId="0" fillId="0" borderId="33" xfId="0" applyBorder="1" applyAlignment="1">
      <alignment horizontal="center" vertical="center"/>
    </xf>
    <xf numFmtId="0" fontId="0" fillId="0" borderId="23" xfId="0" applyBorder="1" applyAlignment="1">
      <alignment horizontal="center" vertical="center"/>
    </xf>
    <xf numFmtId="0" fontId="18" fillId="8" borderId="83" xfId="0" applyFont="1" applyFill="1" applyBorder="1" applyAlignment="1">
      <alignment horizontal="center" vertical="center"/>
    </xf>
    <xf numFmtId="0" fontId="18" fillId="8" borderId="85" xfId="0" applyFont="1" applyFill="1" applyBorder="1" applyAlignment="1">
      <alignment horizontal="center" vertical="center"/>
    </xf>
    <xf numFmtId="0" fontId="0" fillId="0" borderId="75" xfId="0" quotePrefix="1" applyBorder="1" applyAlignment="1">
      <alignment horizontal="center" vertical="center"/>
    </xf>
    <xf numFmtId="0" fontId="18" fillId="0" borderId="0" xfId="0" applyFont="1" applyAlignment="1">
      <alignment horizontal="center" vertical="center" wrapText="1"/>
    </xf>
    <xf numFmtId="0" fontId="19" fillId="3" borderId="42" xfId="0" applyFont="1" applyFill="1" applyBorder="1" applyAlignment="1">
      <alignment horizontal="center" vertical="top" wrapText="1"/>
    </xf>
    <xf numFmtId="0" fontId="19" fillId="3" borderId="42" xfId="0" quotePrefix="1" applyFont="1" applyFill="1" applyBorder="1" applyAlignment="1">
      <alignment horizontal="center" vertical="top" wrapText="1"/>
    </xf>
    <xf numFmtId="0" fontId="19" fillId="3" borderId="66" xfId="0" applyFont="1" applyFill="1" applyBorder="1" applyAlignment="1">
      <alignment horizontal="center" vertical="top" wrapText="1"/>
    </xf>
    <xf numFmtId="0" fontId="19" fillId="4" borderId="42" xfId="0" applyFont="1" applyFill="1" applyBorder="1" applyAlignment="1">
      <alignment horizontal="center" vertical="top" wrapText="1"/>
    </xf>
    <xf numFmtId="0" fontId="19" fillId="3" borderId="58" xfId="0" applyFont="1" applyFill="1" applyBorder="1" applyAlignment="1">
      <alignment horizontal="center" vertical="top" wrapText="1"/>
    </xf>
    <xf numFmtId="0" fontId="19" fillId="3" borderId="67" xfId="0" applyFont="1" applyFill="1" applyBorder="1" applyAlignment="1">
      <alignment horizontal="center" vertical="top" wrapText="1"/>
    </xf>
    <xf numFmtId="0" fontId="19" fillId="3" borderId="76" xfId="0" applyFont="1" applyFill="1" applyBorder="1" applyAlignment="1">
      <alignment horizontal="center" vertical="top" wrapText="1"/>
    </xf>
    <xf numFmtId="0" fontId="19" fillId="3" borderId="77" xfId="0" applyFont="1" applyFill="1" applyBorder="1" applyAlignment="1">
      <alignment horizontal="center" vertical="top" wrapText="1"/>
    </xf>
    <xf numFmtId="0" fontId="38" fillId="3" borderId="84" xfId="0" applyFont="1" applyFill="1" applyBorder="1" applyAlignment="1">
      <alignment horizontal="center" vertical="top" wrapText="1"/>
    </xf>
    <xf numFmtId="0" fontId="38" fillId="3" borderId="85" xfId="0" applyFont="1" applyFill="1" applyBorder="1" applyAlignment="1">
      <alignment horizontal="center" vertical="top" wrapText="1"/>
    </xf>
    <xf numFmtId="0" fontId="19" fillId="3" borderId="81" xfId="0" applyFont="1" applyFill="1" applyBorder="1" applyAlignment="1">
      <alignment horizontal="center" vertical="top" wrapText="1"/>
    </xf>
    <xf numFmtId="0" fontId="19" fillId="3" borderId="82" xfId="0" applyFont="1" applyFill="1" applyBorder="1" applyAlignment="1">
      <alignment horizontal="center" vertical="top" wrapText="1"/>
    </xf>
    <xf numFmtId="0" fontId="19" fillId="3" borderId="47" xfId="0" applyFont="1" applyFill="1" applyBorder="1" applyAlignment="1">
      <alignment horizontal="center" vertical="top" wrapText="1"/>
    </xf>
    <xf numFmtId="0" fontId="19" fillId="3" borderId="52" xfId="0" applyFont="1" applyFill="1" applyBorder="1" applyAlignment="1">
      <alignment horizontal="center" vertical="top" wrapText="1"/>
    </xf>
    <xf numFmtId="0" fontId="40" fillId="3" borderId="49" xfId="3" applyNumberFormat="1" applyFont="1" applyFill="1" applyBorder="1" applyAlignment="1">
      <alignment vertical="top" wrapText="1"/>
    </xf>
    <xf numFmtId="0" fontId="40" fillId="3" borderId="65" xfId="3" applyNumberFormat="1" applyFont="1" applyFill="1" applyBorder="1" applyAlignment="1">
      <alignment vertical="top" wrapText="1"/>
    </xf>
    <xf numFmtId="0" fontId="40" fillId="3" borderId="64" xfId="3" applyNumberFormat="1" applyFont="1" applyFill="1" applyBorder="1" applyAlignment="1">
      <alignment vertical="top" wrapText="1"/>
    </xf>
    <xf numFmtId="0" fontId="19" fillId="4" borderId="76" xfId="0" applyFont="1" applyFill="1" applyBorder="1" applyAlignment="1">
      <alignment horizontal="center" vertical="top" wrapText="1"/>
    </xf>
    <xf numFmtId="0" fontId="0" fillId="0" borderId="107" xfId="0" applyBorder="1" applyAlignment="1">
      <alignment horizontal="center" vertical="center"/>
    </xf>
    <xf numFmtId="0" fontId="0" fillId="0" borderId="100" xfId="0" applyBorder="1" applyAlignment="1">
      <alignment horizontal="center" vertical="center"/>
    </xf>
    <xf numFmtId="0" fontId="0" fillId="0" borderId="115" xfId="0" applyBorder="1" applyAlignment="1">
      <alignment horizontal="center" vertical="center"/>
    </xf>
    <xf numFmtId="9" fontId="0" fillId="5" borderId="107" xfId="2" applyFont="1" applyFill="1" applyBorder="1" applyAlignment="1">
      <alignment horizontal="center" vertical="center"/>
    </xf>
    <xf numFmtId="9" fontId="0" fillId="5" borderId="100" xfId="2" applyFont="1" applyFill="1" applyBorder="1" applyAlignment="1">
      <alignment horizontal="center" vertical="center"/>
    </xf>
    <xf numFmtId="9" fontId="0" fillId="5" borderId="101" xfId="2" applyFont="1" applyFill="1" applyBorder="1" applyAlignment="1">
      <alignment horizontal="center" vertical="center"/>
    </xf>
    <xf numFmtId="0" fontId="18" fillId="0" borderId="103" xfId="0" applyFont="1" applyBorder="1" applyAlignment="1">
      <alignment horizontal="left" vertical="center"/>
    </xf>
    <xf numFmtId="0" fontId="40" fillId="3" borderId="63" xfId="3" applyNumberFormat="1" applyFont="1" applyFill="1" applyBorder="1" applyAlignment="1">
      <alignment vertical="top" wrapText="1"/>
    </xf>
    <xf numFmtId="0" fontId="40" fillId="3" borderId="73" xfId="3" applyNumberFormat="1" applyFont="1" applyFill="1" applyBorder="1" applyAlignment="1">
      <alignment vertical="top" wrapText="1"/>
    </xf>
    <xf numFmtId="0" fontId="40" fillId="3" borderId="48" xfId="3" applyNumberFormat="1" applyFont="1" applyFill="1" applyBorder="1" applyAlignment="1">
      <alignment vertical="top" wrapText="1"/>
    </xf>
    <xf numFmtId="0" fontId="25" fillId="3" borderId="63" xfId="3" applyNumberFormat="1" applyFont="1" applyFill="1" applyBorder="1" applyAlignment="1">
      <alignment horizontal="center" vertical="center" wrapText="1"/>
    </xf>
    <xf numFmtId="0" fontId="25" fillId="3" borderId="78" xfId="3" applyNumberFormat="1" applyFont="1" applyFill="1" applyBorder="1" applyAlignment="1">
      <alignment horizontal="center" vertical="center" wrapText="1"/>
    </xf>
    <xf numFmtId="0" fontId="39" fillId="3" borderId="92" xfId="0" applyFont="1" applyFill="1" applyBorder="1" applyAlignment="1">
      <alignment horizontal="center" vertical="center" wrapText="1"/>
    </xf>
    <xf numFmtId="0" fontId="38" fillId="3" borderId="84" xfId="0" applyFont="1" applyFill="1" applyBorder="1" applyAlignment="1">
      <alignment horizontal="center" vertical="center" wrapText="1"/>
    </xf>
    <xf numFmtId="0" fontId="38" fillId="3" borderId="85" xfId="0" applyFont="1" applyFill="1" applyBorder="1" applyAlignment="1">
      <alignment horizontal="center" vertical="center" wrapText="1"/>
    </xf>
    <xf numFmtId="0" fontId="25" fillId="3" borderId="111" xfId="3" applyNumberFormat="1" applyFont="1" applyFill="1" applyBorder="1" applyAlignment="1">
      <alignment horizontal="center" vertical="center" wrapText="1"/>
    </xf>
    <xf numFmtId="0" fontId="19" fillId="4" borderId="81" xfId="0" applyFont="1" applyFill="1" applyBorder="1" applyAlignment="1">
      <alignment horizontal="center" vertical="top" wrapText="1"/>
    </xf>
    <xf numFmtId="0" fontId="25" fillId="3" borderId="92" xfId="3" applyNumberFormat="1" applyFont="1" applyFill="1" applyBorder="1" applyAlignment="1">
      <alignment horizontal="center" vertical="center" wrapText="1"/>
    </xf>
    <xf numFmtId="0" fontId="25" fillId="3" borderId="48" xfId="3" applyNumberFormat="1" applyFont="1" applyFill="1" applyBorder="1" applyAlignment="1">
      <alignment horizontal="center" vertical="center" wrapText="1"/>
    </xf>
    <xf numFmtId="0" fontId="19" fillId="4" borderId="47" xfId="0" applyFont="1" applyFill="1" applyBorder="1" applyAlignment="1">
      <alignment horizontal="center" vertical="top" wrapText="1"/>
    </xf>
    <xf numFmtId="0" fontId="25" fillId="3" borderId="102" xfId="3" applyNumberFormat="1" applyFont="1" applyFill="1" applyBorder="1" applyAlignment="1">
      <alignment horizontal="center" vertical="center" wrapText="1"/>
    </xf>
    <xf numFmtId="0" fontId="39" fillId="3" borderId="16" xfId="0" applyFont="1" applyFill="1" applyBorder="1" applyAlignment="1">
      <alignment horizontal="left" vertical="center" wrapText="1"/>
    </xf>
    <xf numFmtId="0" fontId="40" fillId="3" borderId="59" xfId="3" applyNumberFormat="1" applyFont="1" applyFill="1" applyBorder="1" applyAlignment="1">
      <alignment vertical="top" wrapText="1"/>
    </xf>
    <xf numFmtId="0" fontId="40" fillId="3" borderId="90" xfId="3" applyNumberFormat="1" applyFont="1" applyFill="1" applyBorder="1" applyAlignment="1">
      <alignment vertical="top" wrapText="1"/>
    </xf>
    <xf numFmtId="0" fontId="40" fillId="3" borderId="116" xfId="3" applyNumberFormat="1" applyFont="1" applyFill="1" applyBorder="1" applyAlignment="1">
      <alignment vertical="top" wrapText="1"/>
    </xf>
    <xf numFmtId="0" fontId="39" fillId="3" borderId="16" xfId="0" applyFont="1" applyFill="1" applyBorder="1" applyAlignment="1">
      <alignment horizontal="left" vertical="top" wrapText="1"/>
    </xf>
    <xf numFmtId="0" fontId="40" fillId="3" borderId="50" xfId="3" applyNumberFormat="1" applyFont="1" applyFill="1" applyBorder="1" applyAlignment="1">
      <alignment vertical="top" wrapText="1"/>
    </xf>
    <xf numFmtId="0" fontId="40" fillId="3" borderId="91" xfId="3" applyNumberFormat="1" applyFont="1" applyFill="1" applyBorder="1" applyAlignment="1">
      <alignment vertical="top" wrapText="1"/>
    </xf>
    <xf numFmtId="0" fontId="3" fillId="0" borderId="25" xfId="0" applyFont="1" applyBorder="1" applyAlignment="1">
      <alignment horizontal="center" vertical="center"/>
    </xf>
    <xf numFmtId="0" fontId="3" fillId="6" borderId="25" xfId="0" applyFont="1" applyFill="1" applyBorder="1" applyAlignment="1">
      <alignment horizontal="center" vertical="center"/>
    </xf>
    <xf numFmtId="0" fontId="13" fillId="7" borderId="16" xfId="0" applyFont="1" applyFill="1" applyBorder="1" applyAlignment="1" applyProtection="1">
      <alignment horizontal="center" vertical="center"/>
      <protection locked="0"/>
    </xf>
    <xf numFmtId="0" fontId="13" fillId="0" borderId="0" xfId="0" applyFont="1" applyAlignment="1">
      <alignment vertical="center"/>
    </xf>
    <xf numFmtId="0" fontId="13" fillId="6" borderId="16" xfId="0" applyFont="1" applyFill="1" applyBorder="1" applyAlignment="1">
      <alignment horizontal="center" vertical="center"/>
    </xf>
    <xf numFmtId="0" fontId="1" fillId="0" borderId="32" xfId="0" applyFont="1" applyBorder="1" applyAlignment="1">
      <alignment horizontal="center" vertical="center"/>
    </xf>
    <xf numFmtId="0" fontId="1" fillId="6" borderId="32" xfId="0" applyFont="1" applyFill="1" applyBorder="1" applyAlignment="1">
      <alignment horizontal="center" vertical="center"/>
    </xf>
    <xf numFmtId="0" fontId="1" fillId="0" borderId="16" xfId="0" applyFont="1" applyBorder="1" applyAlignment="1">
      <alignment horizontal="center" vertical="center"/>
    </xf>
    <xf numFmtId="0" fontId="19" fillId="2" borderId="42" xfId="0" applyFont="1" applyFill="1" applyBorder="1" applyAlignment="1">
      <alignment horizontal="center" vertical="top" wrapText="1"/>
    </xf>
    <xf numFmtId="0" fontId="19" fillId="2" borderId="58" xfId="0" applyFont="1" applyFill="1" applyBorder="1" applyAlignment="1">
      <alignment horizontal="center" vertical="top" wrapText="1"/>
    </xf>
    <xf numFmtId="0" fontId="4" fillId="7" borderId="85" xfId="0" applyFont="1" applyFill="1" applyBorder="1" applyAlignment="1" applyProtection="1">
      <alignment horizontal="center" vertical="center"/>
      <protection locked="0"/>
    </xf>
    <xf numFmtId="0" fontId="4" fillId="0" borderId="25" xfId="0" applyFont="1" applyBorder="1" applyAlignment="1">
      <alignment vertical="center"/>
    </xf>
    <xf numFmtId="0" fontId="4" fillId="0" borderId="22" xfId="0" applyFont="1" applyBorder="1" applyAlignment="1">
      <alignment vertical="center"/>
    </xf>
    <xf numFmtId="0" fontId="26" fillId="6" borderId="22" xfId="0" applyFont="1" applyFill="1" applyBorder="1" applyAlignment="1">
      <alignment horizontal="center"/>
    </xf>
    <xf numFmtId="0" fontId="26" fillId="6" borderId="32" xfId="0" applyFont="1" applyFill="1" applyBorder="1" applyAlignment="1">
      <alignment horizontal="center"/>
    </xf>
    <xf numFmtId="0" fontId="22" fillId="0" borderId="0" xfId="0" applyFont="1"/>
    <xf numFmtId="0" fontId="21" fillId="6" borderId="42" xfId="0" applyFont="1" applyFill="1" applyBorder="1" applyAlignment="1">
      <alignment horizontal="center" vertical="center" wrapText="1"/>
    </xf>
    <xf numFmtId="0" fontId="18" fillId="7" borderId="66" xfId="0" applyFont="1" applyFill="1" applyBorder="1" applyAlignment="1">
      <alignment horizontal="center" vertical="center" wrapText="1"/>
    </xf>
    <xf numFmtId="1" fontId="1" fillId="6" borderId="80" xfId="0" applyNumberFormat="1" applyFont="1" applyFill="1" applyBorder="1" applyAlignment="1">
      <alignment vertical="center"/>
    </xf>
    <xf numFmtId="0" fontId="1" fillId="6" borderId="54" xfId="0" applyFont="1" applyFill="1" applyBorder="1" applyAlignment="1">
      <alignment vertical="center"/>
    </xf>
    <xf numFmtId="0" fontId="18" fillId="7" borderId="67" xfId="0" applyFont="1" applyFill="1" applyBorder="1" applyAlignment="1">
      <alignment horizontal="center" vertical="center" wrapText="1"/>
    </xf>
    <xf numFmtId="0" fontId="1" fillId="9" borderId="0" xfId="0" applyFont="1" applyFill="1" applyAlignment="1">
      <alignment vertical="center"/>
    </xf>
    <xf numFmtId="0" fontId="41" fillId="6" borderId="2" xfId="0" applyFont="1" applyFill="1" applyBorder="1" applyAlignment="1" applyProtection="1">
      <alignment horizontal="left" vertical="top"/>
      <protection hidden="1"/>
    </xf>
    <xf numFmtId="0" fontId="37" fillId="5" borderId="25" xfId="0" applyFont="1" applyFill="1" applyBorder="1" applyAlignment="1" applyProtection="1">
      <alignment horizontal="center" vertical="center"/>
      <protection locked="0"/>
    </xf>
    <xf numFmtId="0" fontId="37" fillId="5" borderId="84" xfId="0" applyFont="1" applyFill="1" applyBorder="1" applyAlignment="1" applyProtection="1">
      <alignment horizontal="center" vertical="center"/>
      <protection locked="0"/>
    </xf>
    <xf numFmtId="0" fontId="37" fillId="5" borderId="26" xfId="0" applyFont="1" applyFill="1" applyBorder="1" applyAlignment="1" applyProtection="1">
      <alignment horizontal="center" vertical="center"/>
      <protection locked="0"/>
    </xf>
    <xf numFmtId="0" fontId="1" fillId="6" borderId="16" xfId="0" applyFont="1" applyFill="1" applyBorder="1" applyAlignment="1">
      <alignment horizontal="center" vertical="center"/>
    </xf>
    <xf numFmtId="0" fontId="13" fillId="6" borderId="25" xfId="0" applyFont="1" applyFill="1" applyBorder="1" applyAlignment="1">
      <alignment horizontal="center" vertical="center"/>
    </xf>
    <xf numFmtId="0" fontId="18" fillId="5" borderId="42" xfId="0" applyFont="1" applyFill="1" applyBorder="1"/>
    <xf numFmtId="0" fontId="0" fillId="5" borderId="42" xfId="0" applyFill="1" applyBorder="1" applyAlignment="1">
      <alignment horizontal="center"/>
    </xf>
    <xf numFmtId="0" fontId="18" fillId="0" borderId="42" xfId="0" applyFont="1" applyBorder="1"/>
    <xf numFmtId="0" fontId="18" fillId="7" borderId="42" xfId="0" applyFont="1" applyFill="1" applyBorder="1"/>
    <xf numFmtId="0" fontId="0" fillId="7" borderId="42" xfId="0" applyFill="1" applyBorder="1" applyAlignment="1">
      <alignment horizontal="center"/>
    </xf>
    <xf numFmtId="0" fontId="0" fillId="5" borderId="42" xfId="0" applyFill="1" applyBorder="1" applyAlignment="1">
      <alignment horizontal="left"/>
    </xf>
    <xf numFmtId="0" fontId="18" fillId="5" borderId="42" xfId="0" applyFont="1" applyFill="1" applyBorder="1" applyAlignment="1">
      <alignment horizontal="center"/>
    </xf>
    <xf numFmtId="0" fontId="18" fillId="5" borderId="0" xfId="0" applyFont="1" applyFill="1" applyAlignment="1">
      <alignment horizontal="center"/>
    </xf>
    <xf numFmtId="0" fontId="18" fillId="5" borderId="42" xfId="0" applyFont="1" applyFill="1" applyBorder="1" applyAlignment="1">
      <alignment horizontal="left"/>
    </xf>
    <xf numFmtId="0" fontId="18" fillId="10" borderId="42" xfId="0" applyFont="1" applyFill="1" applyBorder="1" applyAlignment="1">
      <alignment horizontal="left"/>
    </xf>
    <xf numFmtId="9" fontId="26" fillId="0" borderId="0" xfId="2" applyFont="1" applyAlignment="1">
      <alignment vertical="center"/>
    </xf>
    <xf numFmtId="0" fontId="4" fillId="0" borderId="7" xfId="0" applyFont="1" applyBorder="1" applyAlignment="1">
      <alignment vertical="center"/>
    </xf>
    <xf numFmtId="0" fontId="4" fillId="0" borderId="8" xfId="0" applyFont="1" applyBorder="1" applyAlignment="1">
      <alignment vertical="center"/>
    </xf>
    <xf numFmtId="0" fontId="7" fillId="0" borderId="2" xfId="0" applyFont="1" applyBorder="1" applyAlignment="1">
      <alignment vertical="center"/>
    </xf>
    <xf numFmtId="0" fontId="6" fillId="0" borderId="0" xfId="0" applyFont="1" applyAlignment="1">
      <alignment horizontal="center" vertical="center"/>
    </xf>
    <xf numFmtId="0" fontId="7" fillId="0" borderId="0" xfId="0" applyFont="1" applyAlignment="1">
      <alignment vertical="center"/>
    </xf>
    <xf numFmtId="0" fontId="11" fillId="0" borderId="0" xfId="0" applyFont="1" applyAlignment="1">
      <alignment vertical="center"/>
    </xf>
    <xf numFmtId="0" fontId="7" fillId="0" borderId="41" xfId="0" applyFont="1" applyBorder="1" applyAlignment="1">
      <alignment vertical="center"/>
    </xf>
    <xf numFmtId="0" fontId="0" fillId="7" borderId="0" xfId="0" applyFill="1"/>
    <xf numFmtId="0" fontId="1" fillId="6" borderId="0" xfId="0" applyFont="1" applyFill="1"/>
    <xf numFmtId="0" fontId="44" fillId="0" borderId="0" xfId="0" applyFont="1"/>
    <xf numFmtId="0" fontId="18" fillId="4" borderId="0" xfId="0" applyFont="1" applyFill="1" applyAlignment="1">
      <alignment horizontal="left" vertical="center"/>
    </xf>
    <xf numFmtId="0" fontId="0" fillId="4" borderId="0" xfId="0" applyFill="1" applyAlignment="1">
      <alignment horizontal="center" vertical="center"/>
    </xf>
    <xf numFmtId="0" fontId="18" fillId="4" borderId="0" xfId="0" applyFont="1" applyFill="1" applyAlignment="1">
      <alignment horizontal="center" vertical="center"/>
    </xf>
    <xf numFmtId="0" fontId="0" fillId="4" borderId="0" xfId="0" applyFill="1"/>
    <xf numFmtId="0" fontId="39" fillId="4" borderId="25" xfId="0" applyFont="1" applyFill="1" applyBorder="1" applyAlignment="1">
      <alignment horizontal="left" vertical="center" wrapText="1"/>
    </xf>
    <xf numFmtId="0" fontId="39" fillId="4" borderId="83" xfId="0" applyFont="1" applyFill="1" applyBorder="1" applyAlignment="1">
      <alignment horizontal="center" vertical="center" wrapText="1"/>
    </xf>
    <xf numFmtId="0" fontId="18" fillId="4" borderId="85" xfId="0" applyFont="1" applyFill="1" applyBorder="1"/>
    <xf numFmtId="0" fontId="40" fillId="4" borderId="74" xfId="3" applyNumberFormat="1" applyFont="1" applyFill="1" applyBorder="1" applyAlignment="1">
      <alignment vertical="top" wrapText="1"/>
    </xf>
    <xf numFmtId="0" fontId="25" fillId="4" borderId="75" xfId="3" applyNumberFormat="1" applyFont="1" applyFill="1" applyBorder="1" applyAlignment="1">
      <alignment horizontal="center" vertical="center" wrapText="1"/>
    </xf>
    <xf numFmtId="0" fontId="18" fillId="4" borderId="76" xfId="0" applyFont="1" applyFill="1" applyBorder="1" applyAlignment="1">
      <alignment horizontal="center" vertical="center"/>
    </xf>
    <xf numFmtId="0" fontId="0" fillId="4" borderId="76" xfId="0" applyFill="1" applyBorder="1"/>
    <xf numFmtId="0" fontId="25" fillId="4" borderId="49" xfId="3" applyNumberFormat="1" applyFont="1" applyFill="1" applyBorder="1" applyAlignment="1">
      <alignment horizontal="center" vertical="center" wrapText="1"/>
    </xf>
    <xf numFmtId="0" fontId="18" fillId="4" borderId="42" xfId="0" applyFont="1" applyFill="1" applyBorder="1" applyAlignment="1">
      <alignment horizontal="center" vertical="center"/>
    </xf>
    <xf numFmtId="0" fontId="0" fillId="4" borderId="42" xfId="0" applyFill="1" applyBorder="1"/>
    <xf numFmtId="0" fontId="40" fillId="4" borderId="36" xfId="3" applyNumberFormat="1" applyFont="1" applyFill="1" applyBorder="1" applyAlignment="1">
      <alignment vertical="top" wrapText="1"/>
    </xf>
    <xf numFmtId="0" fontId="40" fillId="4" borderId="117" xfId="3" applyNumberFormat="1" applyFont="1" applyFill="1" applyBorder="1" applyAlignment="1">
      <alignment vertical="top" wrapText="1"/>
    </xf>
    <xf numFmtId="0" fontId="39" fillId="4" borderId="25" xfId="0" applyFont="1" applyFill="1" applyBorder="1" applyAlignment="1">
      <alignment horizontal="left" vertical="top" wrapText="1"/>
    </xf>
    <xf numFmtId="0" fontId="40" fillId="4" borderId="68" xfId="3" applyNumberFormat="1" applyFont="1" applyFill="1" applyBorder="1" applyAlignment="1">
      <alignment vertical="top" wrapText="1"/>
    </xf>
    <xf numFmtId="0" fontId="25" fillId="4" borderId="65" xfId="3" applyNumberFormat="1" applyFont="1" applyFill="1" applyBorder="1" applyAlignment="1">
      <alignment horizontal="center" vertical="center" wrapText="1"/>
    </xf>
    <xf numFmtId="0" fontId="18" fillId="4" borderId="66" xfId="0" applyFont="1" applyFill="1" applyBorder="1" applyAlignment="1">
      <alignment horizontal="center" vertical="center"/>
    </xf>
    <xf numFmtId="0" fontId="0" fillId="4" borderId="66" xfId="0" applyFill="1" applyBorder="1"/>
    <xf numFmtId="0" fontId="0" fillId="0" borderId="46" xfId="0" applyBorder="1" applyAlignment="1">
      <alignment horizontal="center" vertical="center"/>
    </xf>
    <xf numFmtId="0" fontId="0" fillId="0" borderId="10" xfId="0" applyBorder="1" applyAlignment="1">
      <alignment horizontal="center" vertical="center"/>
    </xf>
    <xf numFmtId="0" fontId="0" fillId="0" borderId="106" xfId="0" applyBorder="1" applyAlignment="1">
      <alignment horizontal="center" vertical="center"/>
    </xf>
    <xf numFmtId="0" fontId="45" fillId="0" borderId="2" xfId="0" applyFont="1" applyBorder="1" applyAlignment="1">
      <alignment vertical="center"/>
    </xf>
    <xf numFmtId="0" fontId="47" fillId="0" borderId="0" xfId="0" applyFont="1"/>
    <xf numFmtId="0" fontId="48" fillId="0" borderId="0" xfId="0" applyFont="1"/>
    <xf numFmtId="0" fontId="0" fillId="11" borderId="0" xfId="0" applyFill="1"/>
    <xf numFmtId="0" fontId="2" fillId="0" borderId="0" xfId="0" applyFont="1" applyAlignment="1">
      <alignment horizontal="left"/>
    </xf>
    <xf numFmtId="0" fontId="8" fillId="0" borderId="113" xfId="0" applyFont="1" applyBorder="1" applyAlignment="1">
      <alignment horizontal="center" vertical="center" textRotation="90"/>
    </xf>
    <xf numFmtId="0" fontId="8" fillId="0" borderId="103" xfId="0" applyFont="1" applyBorder="1" applyAlignment="1">
      <alignment horizontal="center" vertical="center" textRotation="90"/>
    </xf>
    <xf numFmtId="0" fontId="8" fillId="0" borderId="114" xfId="0" applyFont="1" applyBorder="1" applyAlignment="1">
      <alignment horizontal="center" vertical="center" textRotation="90"/>
    </xf>
    <xf numFmtId="0" fontId="12" fillId="6" borderId="17" xfId="0" quotePrefix="1" applyFont="1" applyFill="1" applyBorder="1" applyAlignment="1">
      <alignment horizontal="center" vertical="center"/>
    </xf>
    <xf numFmtId="0" fontId="12" fillId="6" borderId="18" xfId="0" quotePrefix="1" applyFont="1" applyFill="1" applyBorder="1" applyAlignment="1">
      <alignment horizontal="center" vertical="center"/>
    </xf>
    <xf numFmtId="0" fontId="12" fillId="6" borderId="31" xfId="0" quotePrefix="1" applyFont="1" applyFill="1" applyBorder="1" applyAlignment="1">
      <alignment horizontal="center" vertical="center"/>
    </xf>
    <xf numFmtId="0" fontId="12" fillId="6" borderId="30" xfId="0" quotePrefix="1" applyFont="1" applyFill="1" applyBorder="1" applyAlignment="1">
      <alignment horizontal="center" vertical="center"/>
    </xf>
    <xf numFmtId="0" fontId="12" fillId="6" borderId="39" xfId="0" quotePrefix="1" applyFont="1" applyFill="1" applyBorder="1" applyAlignment="1">
      <alignment horizontal="center" vertical="center"/>
    </xf>
    <xf numFmtId="0" fontId="12" fillId="6" borderId="40" xfId="0" quotePrefix="1" applyFont="1" applyFill="1" applyBorder="1" applyAlignment="1">
      <alignment horizontal="center" vertical="center"/>
    </xf>
    <xf numFmtId="0" fontId="1" fillId="0" borderId="115" xfId="0" applyFont="1" applyBorder="1" applyAlignment="1">
      <alignment horizontal="center" vertical="center"/>
    </xf>
    <xf numFmtId="0" fontId="1" fillId="0" borderId="40" xfId="0" applyFont="1" applyBorder="1" applyAlignment="1">
      <alignment horizontal="center" vertical="center"/>
    </xf>
    <xf numFmtId="0" fontId="1" fillId="0" borderId="31" xfId="0" applyFont="1" applyBorder="1" applyAlignment="1">
      <alignment horizontal="center" vertical="center"/>
    </xf>
    <xf numFmtId="0" fontId="1" fillId="0" borderId="102" xfId="0" applyFont="1" applyBorder="1" applyAlignment="1">
      <alignment horizontal="center" vertical="center"/>
    </xf>
    <xf numFmtId="0" fontId="1" fillId="0" borderId="25" xfId="0" applyFont="1" applyBorder="1" applyAlignment="1">
      <alignment horizontal="center" vertical="center"/>
    </xf>
    <xf numFmtId="0" fontId="1" fillId="0" borderId="22" xfId="0" applyFont="1" applyBorder="1" applyAlignment="1">
      <alignment horizontal="center" vertical="center"/>
    </xf>
    <xf numFmtId="0" fontId="1" fillId="0" borderId="32" xfId="0" applyFont="1" applyBorder="1" applyAlignment="1">
      <alignment horizontal="center" vertical="center"/>
    </xf>
    <xf numFmtId="0" fontId="8" fillId="7" borderId="33" xfId="0" applyFont="1" applyFill="1" applyBorder="1" applyAlignment="1" applyProtection="1">
      <alignment horizontal="center" vertical="center"/>
      <protection locked="0"/>
    </xf>
    <xf numFmtId="0" fontId="8" fillId="7" borderId="0" xfId="0" applyFont="1" applyFill="1" applyAlignment="1" applyProtection="1">
      <alignment horizontal="center" vertical="center"/>
      <protection locked="0"/>
    </xf>
    <xf numFmtId="0" fontId="8" fillId="7" borderId="23" xfId="0" applyFont="1" applyFill="1" applyBorder="1" applyAlignment="1" applyProtection="1">
      <alignment horizontal="center" vertical="center"/>
      <protection locked="0"/>
    </xf>
    <xf numFmtId="0" fontId="8" fillId="7" borderId="31" xfId="0" applyFont="1" applyFill="1" applyBorder="1" applyAlignment="1" applyProtection="1">
      <alignment horizontal="center" vertical="center"/>
      <protection locked="0"/>
    </xf>
    <xf numFmtId="0" fontId="8" fillId="7" borderId="29" xfId="0" applyFont="1" applyFill="1" applyBorder="1" applyAlignment="1" applyProtection="1">
      <alignment horizontal="center" vertical="center"/>
      <protection locked="0"/>
    </xf>
    <xf numFmtId="0" fontId="8" fillId="7" borderId="30" xfId="0" applyFont="1" applyFill="1" applyBorder="1" applyAlignment="1" applyProtection="1">
      <alignment horizontal="center" vertical="center"/>
      <protection locked="0"/>
    </xf>
    <xf numFmtId="0" fontId="1" fillId="7" borderId="25" xfId="0" applyFont="1" applyFill="1" applyBorder="1" applyAlignment="1" applyProtection="1">
      <alignment horizontal="center" vertical="center"/>
      <protection locked="0"/>
    </xf>
    <xf numFmtId="0" fontId="1" fillId="7" borderId="22" xfId="0" applyFont="1" applyFill="1" applyBorder="1" applyAlignment="1" applyProtection="1">
      <alignment horizontal="center" vertical="center"/>
      <protection locked="0"/>
    </xf>
    <xf numFmtId="0" fontId="1" fillId="7" borderId="92" xfId="0" applyFont="1" applyFill="1" applyBorder="1" applyAlignment="1" applyProtection="1">
      <alignment horizontal="center" vertical="center"/>
      <protection locked="0"/>
    </xf>
    <xf numFmtId="0" fontId="1" fillId="6" borderId="25" xfId="0" applyFont="1" applyFill="1" applyBorder="1" applyAlignment="1">
      <alignment horizontal="center" vertical="center"/>
    </xf>
    <xf numFmtId="0" fontId="1" fillId="6" borderId="32" xfId="0" applyFont="1" applyFill="1" applyBorder="1" applyAlignment="1">
      <alignment horizontal="center" vertical="center"/>
    </xf>
    <xf numFmtId="0" fontId="1" fillId="0" borderId="17" xfId="0" applyFont="1" applyBorder="1" applyAlignment="1">
      <alignment horizontal="center" vertical="center"/>
    </xf>
    <xf numFmtId="0" fontId="1" fillId="0" borderId="21" xfId="0" applyFont="1" applyBorder="1" applyAlignment="1">
      <alignment horizontal="center" vertical="center"/>
    </xf>
    <xf numFmtId="0" fontId="1" fillId="0" borderId="18" xfId="0" applyFont="1" applyBorder="1" applyAlignment="1">
      <alignment horizontal="center" vertical="center"/>
    </xf>
    <xf numFmtId="0" fontId="1" fillId="7" borderId="31" xfId="0" applyFont="1" applyFill="1" applyBorder="1" applyAlignment="1" applyProtection="1">
      <alignment horizontal="center" vertical="center"/>
      <protection locked="0"/>
    </xf>
    <xf numFmtId="0" fontId="1" fillId="7" borderId="29" xfId="0" applyFont="1" applyFill="1" applyBorder="1" applyAlignment="1" applyProtection="1">
      <alignment horizontal="center" vertical="center"/>
      <protection locked="0"/>
    </xf>
    <xf numFmtId="0" fontId="1" fillId="7" borderId="30" xfId="0" applyFont="1" applyFill="1" applyBorder="1" applyAlignment="1" applyProtection="1">
      <alignment horizontal="center" vertical="center"/>
      <protection locked="0"/>
    </xf>
    <xf numFmtId="0" fontId="4" fillId="0" borderId="17" xfId="0" applyFont="1" applyBorder="1" applyAlignment="1">
      <alignment horizontal="center" vertical="center"/>
    </xf>
    <xf numFmtId="0" fontId="4" fillId="0" borderId="21" xfId="0" applyFont="1" applyBorder="1" applyAlignment="1">
      <alignment horizontal="center" vertical="center"/>
    </xf>
    <xf numFmtId="0" fontId="4" fillId="0" borderId="18" xfId="0" applyFont="1" applyBorder="1" applyAlignment="1">
      <alignment horizontal="center" vertical="center"/>
    </xf>
    <xf numFmtId="0" fontId="4" fillId="0" borderId="39" xfId="0" applyFont="1" applyBorder="1" applyAlignment="1">
      <alignment horizontal="center" vertical="center"/>
    </xf>
    <xf numFmtId="0" fontId="3" fillId="6" borderId="0" xfId="0" applyFont="1" applyFill="1" applyAlignment="1">
      <alignment horizontal="center" vertical="center"/>
    </xf>
    <xf numFmtId="0" fontId="3" fillId="6" borderId="6" xfId="0" applyFont="1" applyFill="1" applyBorder="1" applyAlignment="1">
      <alignment horizontal="center" vertical="center"/>
    </xf>
    <xf numFmtId="0" fontId="4" fillId="6" borderId="3" xfId="0" applyFont="1" applyFill="1" applyBorder="1" applyAlignment="1">
      <alignment horizontal="center" vertical="center"/>
    </xf>
    <xf numFmtId="0" fontId="1" fillId="6" borderId="8" xfId="0" applyFont="1" applyFill="1" applyBorder="1" applyAlignment="1">
      <alignment horizontal="center" vertical="center"/>
    </xf>
    <xf numFmtId="0" fontId="1" fillId="6" borderId="0" xfId="0" applyFont="1" applyFill="1" applyAlignment="1">
      <alignment horizontal="center" vertical="center"/>
    </xf>
    <xf numFmtId="3" fontId="3" fillId="0" borderId="51" xfId="0" applyNumberFormat="1" applyFont="1" applyBorder="1" applyAlignment="1">
      <alignment horizontal="center" vertical="center"/>
    </xf>
    <xf numFmtId="3" fontId="3" fillId="0" borderId="46" xfId="0" applyNumberFormat="1" applyFont="1" applyBorder="1" applyAlignment="1">
      <alignment horizontal="center" vertical="center"/>
    </xf>
    <xf numFmtId="3" fontId="3" fillId="0" borderId="72" xfId="0" applyNumberFormat="1" applyFont="1" applyBorder="1" applyAlignment="1">
      <alignment horizontal="center" vertical="center"/>
    </xf>
    <xf numFmtId="0" fontId="3" fillId="0" borderId="51" xfId="0" applyFont="1" applyBorder="1" applyAlignment="1">
      <alignment horizontal="center" vertical="center"/>
    </xf>
    <xf numFmtId="0" fontId="3" fillId="0" borderId="108" xfId="0" applyFont="1" applyBorder="1" applyAlignment="1">
      <alignment horizontal="center" vertical="center"/>
    </xf>
    <xf numFmtId="0" fontId="10" fillId="0" borderId="0" xfId="0" applyFont="1" applyAlignment="1">
      <alignment horizontal="center" vertical="center" wrapText="1"/>
    </xf>
    <xf numFmtId="0" fontId="10" fillId="0" borderId="23"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30"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21" xfId="0" applyFont="1" applyBorder="1" applyAlignment="1">
      <alignment horizontal="center" vertical="center"/>
    </xf>
    <xf numFmtId="0" fontId="10" fillId="0" borderId="18" xfId="0" applyFont="1" applyBorder="1" applyAlignment="1">
      <alignment horizontal="center" vertical="center"/>
    </xf>
    <xf numFmtId="0" fontId="10" fillId="0" borderId="29" xfId="0" applyFont="1" applyBorder="1" applyAlignment="1">
      <alignment horizontal="center" vertical="center"/>
    </xf>
    <xf numFmtId="0" fontId="10" fillId="0" borderId="30" xfId="0" applyFont="1" applyBorder="1" applyAlignment="1">
      <alignment horizontal="center" vertical="center"/>
    </xf>
    <xf numFmtId="0" fontId="10" fillId="0" borderId="8" xfId="0" applyFont="1" applyBorder="1" applyAlignment="1">
      <alignment horizontal="center" vertical="center" wrapText="1"/>
    </xf>
    <xf numFmtId="0" fontId="10" fillId="0" borderId="20" xfId="0" applyFont="1" applyBorder="1" applyAlignment="1">
      <alignment horizontal="center" vertical="center" wrapText="1"/>
    </xf>
    <xf numFmtId="0" fontId="3" fillId="0" borderId="15" xfId="0" applyFont="1" applyBorder="1" applyAlignment="1">
      <alignment horizontal="center" vertical="center"/>
    </xf>
    <xf numFmtId="0" fontId="3" fillId="0" borderId="13" xfId="0" applyFont="1" applyBorder="1" applyAlignment="1">
      <alignment horizontal="center" vertical="center"/>
    </xf>
    <xf numFmtId="9" fontId="3" fillId="6" borderId="41" xfId="0" applyNumberFormat="1" applyFont="1" applyFill="1" applyBorder="1" applyAlignment="1">
      <alignment horizontal="center" vertical="center"/>
    </xf>
    <xf numFmtId="9" fontId="3" fillId="6" borderId="4" xfId="0" applyNumberFormat="1" applyFont="1" applyFill="1" applyBorder="1" applyAlignment="1">
      <alignment horizontal="center" vertical="center"/>
    </xf>
    <xf numFmtId="9" fontId="3" fillId="6" borderId="31" xfId="0" applyNumberFormat="1" applyFont="1" applyFill="1" applyBorder="1" applyAlignment="1">
      <alignment horizontal="center" vertical="center"/>
    </xf>
    <xf numFmtId="9" fontId="3" fillId="6" borderId="40" xfId="0" applyNumberFormat="1" applyFont="1" applyFill="1" applyBorder="1" applyAlignment="1">
      <alignment horizontal="center" vertical="center"/>
    </xf>
    <xf numFmtId="9" fontId="3" fillId="6" borderId="17" xfId="0" applyNumberFormat="1" applyFont="1" applyFill="1" applyBorder="1" applyAlignment="1">
      <alignment horizontal="center" vertical="center"/>
    </xf>
    <xf numFmtId="9" fontId="3" fillId="6" borderId="39" xfId="0" applyNumberFormat="1" applyFont="1" applyFill="1" applyBorder="1" applyAlignment="1">
      <alignment horizontal="center" vertical="center"/>
    </xf>
    <xf numFmtId="9" fontId="3" fillId="6" borderId="19" xfId="0" applyNumberFormat="1" applyFont="1" applyFill="1" applyBorder="1" applyAlignment="1">
      <alignment horizontal="center" vertical="center"/>
    </xf>
    <xf numFmtId="9" fontId="3" fillId="6" borderId="9" xfId="0" applyNumberFormat="1" applyFont="1" applyFill="1" applyBorder="1" applyAlignment="1">
      <alignment horizontal="center" vertical="center"/>
    </xf>
    <xf numFmtId="0" fontId="4" fillId="0" borderId="25" xfId="0" applyFont="1" applyBorder="1" applyAlignment="1">
      <alignment horizontal="center" vertical="center"/>
    </xf>
    <xf numFmtId="0" fontId="4" fillId="0" borderId="22" xfId="0" applyFont="1" applyBorder="1" applyAlignment="1">
      <alignment horizontal="center" vertical="center"/>
    </xf>
    <xf numFmtId="0" fontId="4" fillId="0" borderId="32" xfId="0" applyFont="1" applyBorder="1" applyAlignment="1">
      <alignment horizontal="center" vertical="center"/>
    </xf>
    <xf numFmtId="9" fontId="3" fillId="6" borderId="18" xfId="0" applyNumberFormat="1" applyFont="1" applyFill="1" applyBorder="1" applyAlignment="1">
      <alignment horizontal="center" vertical="center"/>
    </xf>
    <xf numFmtId="9" fontId="3" fillId="6" borderId="30" xfId="0" applyNumberFormat="1" applyFont="1" applyFill="1" applyBorder="1" applyAlignment="1">
      <alignment horizontal="center" vertical="center"/>
    </xf>
    <xf numFmtId="9" fontId="3" fillId="6" borderId="20" xfId="0" applyNumberFormat="1" applyFont="1" applyFill="1" applyBorder="1" applyAlignment="1">
      <alignment horizontal="center" vertical="center"/>
    </xf>
    <xf numFmtId="0" fontId="3" fillId="6" borderId="25" xfId="0" applyFont="1" applyFill="1" applyBorder="1" applyAlignment="1">
      <alignment horizontal="center" vertical="center"/>
    </xf>
    <xf numFmtId="0" fontId="3" fillId="6" borderId="32" xfId="0" applyFont="1" applyFill="1" applyBorder="1" applyAlignment="1">
      <alignment horizontal="center" vertical="center"/>
    </xf>
    <xf numFmtId="0" fontId="3" fillId="0" borderId="25" xfId="0" applyFont="1" applyBorder="1" applyAlignment="1">
      <alignment horizontal="center" vertical="center"/>
    </xf>
    <xf numFmtId="0" fontId="3" fillId="0" borderId="32" xfId="0" applyFont="1" applyBorder="1" applyAlignment="1">
      <alignment horizontal="center" vertical="center"/>
    </xf>
    <xf numFmtId="0" fontId="8" fillId="0" borderId="5" xfId="0" applyFont="1" applyBorder="1" applyAlignment="1">
      <alignment horizontal="center" vertical="center"/>
    </xf>
    <xf numFmtId="0" fontId="8" fillId="0" borderId="0" xfId="0" applyFont="1" applyAlignment="1">
      <alignment horizontal="center" vertical="center"/>
    </xf>
    <xf numFmtId="0" fontId="3" fillId="6" borderId="31" xfId="0" applyFont="1" applyFill="1" applyBorder="1" applyAlignment="1">
      <alignment horizontal="center" vertical="center"/>
    </xf>
    <xf numFmtId="0" fontId="3" fillId="6" borderId="29" xfId="0" applyFont="1" applyFill="1" applyBorder="1" applyAlignment="1">
      <alignment horizontal="center" vertical="center"/>
    </xf>
    <xf numFmtId="0" fontId="3" fillId="6" borderId="30" xfId="0" applyFont="1" applyFill="1" applyBorder="1" applyAlignment="1">
      <alignment horizontal="center" vertical="center"/>
    </xf>
    <xf numFmtId="0" fontId="35" fillId="5" borderId="5" xfId="0" applyFont="1" applyFill="1" applyBorder="1" applyAlignment="1">
      <alignment horizontal="center" vertical="center"/>
    </xf>
    <xf numFmtId="0" fontId="35" fillId="5" borderId="23" xfId="0" applyFont="1" applyFill="1" applyBorder="1" applyAlignment="1">
      <alignment horizontal="center" vertical="center"/>
    </xf>
    <xf numFmtId="0" fontId="35" fillId="5" borderId="7" xfId="0" applyFont="1" applyFill="1" applyBorder="1" applyAlignment="1">
      <alignment horizontal="center" vertical="center"/>
    </xf>
    <xf numFmtId="0" fontId="35" fillId="5" borderId="20" xfId="0" applyFont="1" applyFill="1" applyBorder="1" applyAlignment="1">
      <alignment horizontal="center" vertical="center"/>
    </xf>
    <xf numFmtId="0" fontId="7" fillId="0" borderId="37" xfId="0" applyFont="1" applyBorder="1" applyAlignment="1">
      <alignment horizontal="center" vertical="center"/>
    </xf>
    <xf numFmtId="0" fontId="7" fillId="0" borderId="24" xfId="0" applyFont="1" applyBorder="1" applyAlignment="1">
      <alignment horizontal="center" vertical="center"/>
    </xf>
    <xf numFmtId="0" fontId="1" fillId="0" borderId="33" xfId="0" applyFont="1" applyBorder="1" applyAlignment="1">
      <alignment horizontal="center" vertical="center"/>
    </xf>
    <xf numFmtId="0" fontId="1" fillId="0" borderId="0" xfId="0" applyFont="1" applyAlignment="1">
      <alignment horizontal="center" vertical="center"/>
    </xf>
    <xf numFmtId="0" fontId="1" fillId="0" borderId="29" xfId="0" applyFont="1" applyBorder="1" applyAlignment="1">
      <alignment horizontal="center" vertical="center"/>
    </xf>
    <xf numFmtId="0" fontId="1" fillId="0" borderId="89" xfId="0" applyFont="1" applyBorder="1" applyAlignment="1">
      <alignment horizontal="center" vertical="center"/>
    </xf>
    <xf numFmtId="0" fontId="1" fillId="0" borderId="92" xfId="0" applyFont="1" applyBorder="1" applyAlignment="1">
      <alignment horizontal="center" vertical="center"/>
    </xf>
    <xf numFmtId="0" fontId="33" fillId="0" borderId="17" xfId="0" applyFont="1" applyBorder="1" applyAlignment="1">
      <alignment horizontal="center" vertical="center"/>
    </xf>
    <xf numFmtId="0" fontId="33" fillId="0" borderId="21" xfId="0" applyFont="1" applyBorder="1" applyAlignment="1">
      <alignment horizontal="center" vertical="center"/>
    </xf>
    <xf numFmtId="0" fontId="33" fillId="0" borderId="33" xfId="0" applyFont="1" applyBorder="1" applyAlignment="1">
      <alignment horizontal="center" vertical="center"/>
    </xf>
    <xf numFmtId="0" fontId="33" fillId="0" borderId="0" xfId="0" applyFont="1" applyAlignment="1">
      <alignment horizontal="center" vertical="center"/>
    </xf>
    <xf numFmtId="0" fontId="34" fillId="5" borderId="5" xfId="0" applyFont="1" applyFill="1" applyBorder="1" applyAlignment="1">
      <alignment horizontal="center" vertical="center"/>
    </xf>
    <xf numFmtId="0" fontId="34" fillId="5" borderId="23" xfId="0" applyFont="1" applyFill="1" applyBorder="1" applyAlignment="1">
      <alignment horizontal="center" vertical="center"/>
    </xf>
    <xf numFmtId="0" fontId="14" fillId="5" borderId="5" xfId="0" applyFont="1" applyFill="1" applyBorder="1" applyAlignment="1">
      <alignment horizontal="center" vertical="center"/>
    </xf>
    <xf numFmtId="0" fontId="14" fillId="5" borderId="0" xfId="0" applyFont="1" applyFill="1" applyAlignment="1">
      <alignment horizontal="center" vertical="center"/>
    </xf>
    <xf numFmtId="0" fontId="3" fillId="6" borderId="40" xfId="0" applyFont="1" applyFill="1" applyBorder="1" applyAlignment="1">
      <alignment horizontal="center" vertical="center"/>
    </xf>
    <xf numFmtId="0" fontId="1" fillId="0" borderId="5" xfId="0" applyFont="1" applyBorder="1" applyAlignment="1">
      <alignment horizontal="center" vertical="center"/>
    </xf>
    <xf numFmtId="0" fontId="7" fillId="0" borderId="21" xfId="0" applyFont="1" applyBorder="1" applyAlignment="1" applyProtection="1">
      <alignment horizontal="center" vertical="center"/>
      <protection locked="0"/>
    </xf>
    <xf numFmtId="0" fontId="7" fillId="0" borderId="18" xfId="0" applyFont="1" applyBorder="1" applyAlignment="1" applyProtection="1">
      <alignment horizontal="center" vertical="center"/>
      <protection locked="0"/>
    </xf>
    <xf numFmtId="0" fontId="7" fillId="0" borderId="0" xfId="0" applyFont="1" applyAlignment="1" applyProtection="1">
      <alignment horizontal="center" vertical="center"/>
      <protection locked="0"/>
    </xf>
    <xf numFmtId="0" fontId="7" fillId="0" borderId="23" xfId="0" applyFont="1" applyBorder="1" applyAlignment="1" applyProtection="1">
      <alignment horizontal="center" vertical="center"/>
      <protection locked="0"/>
    </xf>
    <xf numFmtId="0" fontId="7" fillId="0" borderId="29" xfId="0" applyFont="1" applyBorder="1" applyAlignment="1" applyProtection="1">
      <alignment horizontal="center" vertical="center"/>
      <protection locked="0"/>
    </xf>
    <xf numFmtId="0" fontId="7" fillId="0" borderId="30" xfId="0" applyFont="1" applyBorder="1" applyAlignment="1" applyProtection="1">
      <alignment horizontal="center" vertical="center"/>
      <protection locked="0"/>
    </xf>
    <xf numFmtId="0" fontId="42" fillId="0" borderId="21" xfId="0" applyFont="1" applyBorder="1" applyAlignment="1">
      <alignment horizontal="left" vertical="center"/>
    </xf>
    <xf numFmtId="0" fontId="1" fillId="0" borderId="33" xfId="0" applyFont="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1" fillId="0" borderId="23" xfId="0" applyFont="1" applyBorder="1" applyAlignment="1" applyProtection="1">
      <alignment horizontal="center" vertical="center" wrapText="1"/>
      <protection locked="0"/>
    </xf>
    <xf numFmtId="0" fontId="1" fillId="0" borderId="31" xfId="0" applyFont="1" applyBorder="1" applyAlignment="1" applyProtection="1">
      <alignment horizontal="center" vertical="center" wrapText="1"/>
      <protection locked="0"/>
    </xf>
    <xf numFmtId="0" fontId="1" fillId="0" borderId="29" xfId="0" applyFont="1" applyBorder="1" applyAlignment="1" applyProtection="1">
      <alignment horizontal="center" vertical="center" wrapText="1"/>
      <protection locked="0"/>
    </xf>
    <xf numFmtId="0" fontId="1" fillId="0" borderId="30" xfId="0" applyFont="1" applyBorder="1" applyAlignment="1" applyProtection="1">
      <alignment horizontal="center" vertical="center" wrapText="1"/>
      <protection locked="0"/>
    </xf>
    <xf numFmtId="0" fontId="1" fillId="5" borderId="17" xfId="0" applyFont="1" applyFill="1" applyBorder="1" applyAlignment="1" applyProtection="1">
      <alignment horizontal="center" vertical="center"/>
      <protection locked="0"/>
    </xf>
    <xf numFmtId="0" fontId="1" fillId="5" borderId="21" xfId="0" applyFont="1" applyFill="1" applyBorder="1" applyAlignment="1" applyProtection="1">
      <alignment horizontal="center" vertical="center"/>
      <protection locked="0"/>
    </xf>
    <xf numFmtId="0" fontId="1" fillId="5" borderId="18" xfId="0" applyFont="1" applyFill="1" applyBorder="1" applyAlignment="1" applyProtection="1">
      <alignment horizontal="center" vertical="center"/>
      <protection locked="0"/>
    </xf>
    <xf numFmtId="0" fontId="1" fillId="5" borderId="33" xfId="0" applyFont="1" applyFill="1" applyBorder="1" applyAlignment="1" applyProtection="1">
      <alignment horizontal="center" vertical="center"/>
      <protection locked="0"/>
    </xf>
    <xf numFmtId="0" fontId="1" fillId="5" borderId="0" xfId="0" applyFont="1" applyFill="1" applyAlignment="1" applyProtection="1">
      <alignment horizontal="center" vertical="center"/>
      <protection locked="0"/>
    </xf>
    <xf numFmtId="0" fontId="1" fillId="5" borderId="23" xfId="0" applyFont="1" applyFill="1" applyBorder="1" applyAlignment="1" applyProtection="1">
      <alignment horizontal="center" vertical="center"/>
      <protection locked="0"/>
    </xf>
    <xf numFmtId="0" fontId="1" fillId="5" borderId="31" xfId="0" applyFont="1" applyFill="1" applyBorder="1" applyAlignment="1" applyProtection="1">
      <alignment horizontal="center" vertical="center"/>
      <protection locked="0"/>
    </xf>
    <xf numFmtId="0" fontId="1" fillId="5" borderId="29" xfId="0" applyFont="1" applyFill="1" applyBorder="1" applyAlignment="1" applyProtection="1">
      <alignment horizontal="center" vertical="center"/>
      <protection locked="0"/>
    </xf>
    <xf numFmtId="0" fontId="1" fillId="5" borderId="30" xfId="0" applyFont="1" applyFill="1" applyBorder="1" applyAlignment="1" applyProtection="1">
      <alignment horizontal="center" vertical="center"/>
      <protection locked="0"/>
    </xf>
    <xf numFmtId="0" fontId="7" fillId="0" borderId="17" xfId="0" applyFont="1" applyBorder="1" applyAlignment="1">
      <alignment horizontal="center" vertical="center"/>
    </xf>
    <xf numFmtId="0" fontId="7" fillId="0" borderId="21" xfId="0" applyFont="1" applyBorder="1" applyAlignment="1">
      <alignment horizontal="center" vertical="center"/>
    </xf>
    <xf numFmtId="0" fontId="7" fillId="0" borderId="18" xfId="0" applyFont="1" applyBorder="1" applyAlignment="1">
      <alignment horizontal="center" vertical="center"/>
    </xf>
    <xf numFmtId="0" fontId="36" fillId="5" borderId="17" xfId="0" applyFont="1" applyFill="1" applyBorder="1" applyAlignment="1" applyProtection="1">
      <alignment horizontal="center" vertical="center"/>
      <protection locked="0"/>
    </xf>
    <xf numFmtId="0" fontId="36" fillId="5" borderId="21" xfId="0" applyFont="1" applyFill="1" applyBorder="1" applyAlignment="1" applyProtection="1">
      <alignment horizontal="center" vertical="center"/>
      <protection locked="0"/>
    </xf>
    <xf numFmtId="0" fontId="36" fillId="5" borderId="39" xfId="0" applyFont="1" applyFill="1" applyBorder="1" applyAlignment="1" applyProtection="1">
      <alignment horizontal="center" vertical="center"/>
      <protection locked="0"/>
    </xf>
    <xf numFmtId="0" fontId="36" fillId="5" borderId="31" xfId="0" applyFont="1" applyFill="1" applyBorder="1" applyAlignment="1" applyProtection="1">
      <alignment horizontal="center" vertical="center"/>
      <protection locked="0"/>
    </xf>
    <xf numFmtId="0" fontId="36" fillId="5" borderId="29" xfId="0" applyFont="1" applyFill="1" applyBorder="1" applyAlignment="1" applyProtection="1">
      <alignment horizontal="center" vertical="center"/>
      <protection locked="0"/>
    </xf>
    <xf numFmtId="0" fontId="36" fillId="5" borderId="40" xfId="0" applyFont="1" applyFill="1" applyBorder="1" applyAlignment="1" applyProtection="1">
      <alignment horizontal="center" vertical="center"/>
      <protection locked="0"/>
    </xf>
    <xf numFmtId="0" fontId="7" fillId="5" borderId="2" xfId="0" applyFont="1" applyFill="1" applyBorder="1" applyAlignment="1">
      <alignment horizontal="center" vertical="center"/>
    </xf>
    <xf numFmtId="0" fontId="7" fillId="5" borderId="3" xfId="0" applyFont="1" applyFill="1" applyBorder="1" applyAlignment="1">
      <alignment horizontal="center" vertical="center"/>
    </xf>
    <xf numFmtId="0" fontId="7" fillId="5" borderId="4" xfId="0" applyFont="1" applyFill="1" applyBorder="1" applyAlignment="1">
      <alignment horizontal="center" vertical="center"/>
    </xf>
    <xf numFmtId="3" fontId="10" fillId="0" borderId="29" xfId="0" applyNumberFormat="1" applyFont="1" applyBorder="1" applyAlignment="1">
      <alignment horizontal="center" vertical="center"/>
    </xf>
    <xf numFmtId="3" fontId="10" fillId="0" borderId="30" xfId="0" applyNumberFormat="1" applyFont="1" applyBorder="1" applyAlignment="1">
      <alignment horizontal="center" vertical="center"/>
    </xf>
    <xf numFmtId="0" fontId="10" fillId="7" borderId="22" xfId="0" applyFont="1" applyFill="1" applyBorder="1" applyAlignment="1" applyProtection="1">
      <alignment horizontal="center" vertical="center"/>
      <protection locked="0"/>
    </xf>
    <xf numFmtId="0" fontId="33" fillId="7" borderId="21" xfId="0" applyFont="1" applyFill="1" applyBorder="1" applyAlignment="1" applyProtection="1">
      <alignment horizontal="center" vertical="center"/>
      <protection locked="0"/>
    </xf>
    <xf numFmtId="0" fontId="33" fillId="7" borderId="18" xfId="0" applyFont="1" applyFill="1" applyBorder="1" applyAlignment="1" applyProtection="1">
      <alignment horizontal="center" vertical="center"/>
      <protection locked="0"/>
    </xf>
    <xf numFmtId="0" fontId="33" fillId="7" borderId="0" xfId="0" applyFont="1" applyFill="1" applyAlignment="1" applyProtection="1">
      <alignment horizontal="center" vertical="center"/>
      <protection locked="0"/>
    </xf>
    <xf numFmtId="0" fontId="33" fillId="7" borderId="23" xfId="0" applyFont="1" applyFill="1" applyBorder="1" applyAlignment="1" applyProtection="1">
      <alignment horizontal="center" vertical="center"/>
      <protection locked="0"/>
    </xf>
    <xf numFmtId="0" fontId="17" fillId="0" borderId="17" xfId="0" applyFont="1" applyBorder="1" applyAlignment="1" applyProtection="1">
      <alignment horizontal="center" vertical="center"/>
      <protection locked="0"/>
    </xf>
    <xf numFmtId="0" fontId="17" fillId="0" borderId="21" xfId="0" applyFont="1" applyBorder="1" applyAlignment="1" applyProtection="1">
      <alignment horizontal="center" vertical="center"/>
      <protection locked="0"/>
    </xf>
    <xf numFmtId="0" fontId="17" fillId="0" borderId="18" xfId="0" applyFont="1" applyBorder="1" applyAlignment="1" applyProtection="1">
      <alignment horizontal="center" vertical="center"/>
      <protection locked="0"/>
    </xf>
    <xf numFmtId="0" fontId="17" fillId="0" borderId="33" xfId="0" applyFont="1" applyBorder="1" applyAlignment="1" applyProtection="1">
      <alignment horizontal="center" vertical="center"/>
      <protection locked="0"/>
    </xf>
    <xf numFmtId="0" fontId="17" fillId="0" borderId="0" xfId="0" applyFont="1" applyAlignment="1" applyProtection="1">
      <alignment horizontal="center" vertical="center"/>
      <protection locked="0"/>
    </xf>
    <xf numFmtId="0" fontId="17" fillId="0" borderId="23" xfId="0" applyFont="1" applyBorder="1" applyAlignment="1" applyProtection="1">
      <alignment horizontal="center" vertical="center"/>
      <protection locked="0"/>
    </xf>
    <xf numFmtId="0" fontId="17" fillId="0" borderId="31" xfId="0" applyFont="1" applyBorder="1" applyAlignment="1" applyProtection="1">
      <alignment horizontal="center" vertical="center"/>
      <protection locked="0"/>
    </xf>
    <xf numFmtId="0" fontId="17" fillId="0" borderId="29" xfId="0" applyFont="1" applyBorder="1" applyAlignment="1" applyProtection="1">
      <alignment horizontal="center" vertical="center"/>
      <protection locked="0"/>
    </xf>
    <xf numFmtId="0" fontId="17" fillId="0" borderId="30" xfId="0" applyFont="1" applyBorder="1" applyAlignment="1" applyProtection="1">
      <alignment horizontal="center" vertical="center"/>
      <protection locked="0"/>
    </xf>
    <xf numFmtId="0" fontId="28" fillId="6" borderId="27" xfId="0" applyFont="1" applyFill="1" applyBorder="1" applyAlignment="1">
      <alignment horizontal="center" vertical="center"/>
    </xf>
    <xf numFmtId="0" fontId="28" fillId="6" borderId="21" xfId="0" applyFont="1" applyFill="1" applyBorder="1" applyAlignment="1">
      <alignment horizontal="center" vertical="center"/>
    </xf>
    <xf numFmtId="0" fontId="28" fillId="6" borderId="0" xfId="0" applyFont="1" applyFill="1" applyAlignment="1">
      <alignment horizontal="center" vertical="center"/>
    </xf>
    <xf numFmtId="3" fontId="10" fillId="6" borderId="0" xfId="0" applyNumberFormat="1" applyFont="1" applyFill="1" applyAlignment="1">
      <alignment horizontal="center" vertical="center"/>
    </xf>
    <xf numFmtId="0" fontId="5" fillId="0" borderId="2" xfId="0" applyFont="1" applyBorder="1" applyAlignment="1" applyProtection="1">
      <alignment horizontal="center" vertical="center"/>
      <protection locked="0"/>
    </xf>
    <xf numFmtId="0" fontId="5" fillId="0" borderId="4"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9" xfId="0" applyFont="1" applyBorder="1" applyAlignment="1" applyProtection="1">
      <alignment horizontal="center" vertical="center"/>
      <protection locked="0"/>
    </xf>
    <xf numFmtId="0" fontId="7" fillId="0" borderId="0" xfId="0" applyFont="1" applyAlignment="1">
      <alignment horizontal="center" vertical="center"/>
    </xf>
    <xf numFmtId="0" fontId="7" fillId="0" borderId="6" xfId="0" applyFont="1" applyBorder="1" applyAlignment="1">
      <alignment horizontal="center" vertical="center"/>
    </xf>
    <xf numFmtId="0" fontId="6" fillId="0" borderId="2" xfId="0" applyFont="1" applyBorder="1" applyAlignment="1">
      <alignment horizontal="center" vertical="center"/>
    </xf>
    <xf numFmtId="0" fontId="6" fillId="0" borderId="94" xfId="0" applyFont="1" applyBorder="1" applyAlignment="1">
      <alignment horizontal="center" vertical="center"/>
    </xf>
    <xf numFmtId="0" fontId="7" fillId="6" borderId="3" xfId="0" applyFont="1" applyFill="1" applyBorder="1" applyAlignment="1">
      <alignment horizontal="center" vertical="center"/>
    </xf>
    <xf numFmtId="0" fontId="7" fillId="6" borderId="4" xfId="0" applyFont="1" applyFill="1" applyBorder="1" applyAlignment="1">
      <alignment horizontal="center" vertical="center"/>
    </xf>
    <xf numFmtId="0" fontId="7" fillId="6" borderId="8" xfId="0" applyFont="1" applyFill="1" applyBorder="1" applyAlignment="1">
      <alignment horizontal="center" vertical="center"/>
    </xf>
    <xf numFmtId="0" fontId="7" fillId="6" borderId="9" xfId="0" applyFont="1" applyFill="1" applyBorder="1" applyAlignment="1">
      <alignment horizontal="center" vertical="center"/>
    </xf>
    <xf numFmtId="9" fontId="7" fillId="6" borderId="3" xfId="0" applyNumberFormat="1" applyFont="1" applyFill="1" applyBorder="1" applyAlignment="1">
      <alignment horizontal="center" vertical="center"/>
    </xf>
    <xf numFmtId="9" fontId="7" fillId="6" borderId="4" xfId="0" applyNumberFormat="1" applyFont="1" applyFill="1" applyBorder="1" applyAlignment="1">
      <alignment horizontal="center" vertical="center"/>
    </xf>
    <xf numFmtId="9" fontId="7" fillId="6" borderId="8" xfId="0" applyNumberFormat="1" applyFont="1" applyFill="1" applyBorder="1" applyAlignment="1">
      <alignment horizontal="center" vertical="center"/>
    </xf>
    <xf numFmtId="9" fontId="7" fillId="6" borderId="9" xfId="0" applyNumberFormat="1" applyFont="1" applyFill="1" applyBorder="1" applyAlignment="1">
      <alignment horizontal="center" vertical="center"/>
    </xf>
    <xf numFmtId="0" fontId="10" fillId="0" borderId="59" xfId="0" applyFont="1" applyBorder="1" applyAlignment="1">
      <alignment horizontal="center" vertical="center"/>
    </xf>
    <xf numFmtId="0" fontId="10" fillId="0" borderId="49" xfId="0" applyFont="1" applyBorder="1" applyAlignment="1">
      <alignment horizontal="center" vertical="center"/>
    </xf>
    <xf numFmtId="0" fontId="10" fillId="0" borderId="62" xfId="0" applyFont="1" applyBorder="1" applyAlignment="1">
      <alignment horizontal="center" vertical="center"/>
    </xf>
    <xf numFmtId="0" fontId="10" fillId="0" borderId="63" xfId="0" applyFont="1" applyBorder="1" applyAlignment="1">
      <alignment horizontal="center" vertical="center"/>
    </xf>
    <xf numFmtId="0" fontId="10" fillId="0" borderId="42" xfId="0" applyFont="1" applyBorder="1" applyAlignment="1">
      <alignment horizontal="center" vertical="center"/>
    </xf>
    <xf numFmtId="0" fontId="3" fillId="0" borderId="12" xfId="0" applyFont="1" applyBorder="1" applyAlignment="1">
      <alignment horizontal="center" vertical="center"/>
    </xf>
    <xf numFmtId="0" fontId="12" fillId="7" borderId="0" xfId="0" applyFont="1" applyFill="1" applyAlignment="1">
      <alignment horizontal="center" vertical="center"/>
    </xf>
    <xf numFmtId="0" fontId="12" fillId="7" borderId="6" xfId="0" applyFont="1" applyFill="1" applyBorder="1" applyAlignment="1">
      <alignment horizontal="center" vertical="center"/>
    </xf>
    <xf numFmtId="0" fontId="12" fillId="7" borderId="8" xfId="0" applyFont="1" applyFill="1" applyBorder="1" applyAlignment="1">
      <alignment horizontal="center" vertical="center"/>
    </xf>
    <xf numFmtId="0" fontId="12" fillId="7" borderId="9" xfId="0" applyFont="1" applyFill="1" applyBorder="1" applyAlignment="1">
      <alignment horizontal="center" vertical="center"/>
    </xf>
    <xf numFmtId="0" fontId="10" fillId="0" borderId="10" xfId="0" applyFont="1" applyBorder="1" applyAlignment="1">
      <alignment horizontal="center" vertical="center"/>
    </xf>
    <xf numFmtId="0" fontId="10" fillId="0" borderId="35" xfId="0" applyFont="1" applyBorder="1" applyAlignment="1">
      <alignment horizontal="center" vertical="center"/>
    </xf>
    <xf numFmtId="0" fontId="10" fillId="0" borderId="36" xfId="0" applyFont="1" applyBorder="1" applyAlignment="1">
      <alignment horizontal="center" vertical="center"/>
    </xf>
    <xf numFmtId="0" fontId="10" fillId="0" borderId="34" xfId="0" applyFont="1" applyBorder="1" applyAlignment="1">
      <alignment horizontal="center" vertical="center"/>
    </xf>
    <xf numFmtId="0" fontId="10" fillId="0" borderId="58" xfId="0" applyFont="1" applyBorder="1" applyAlignment="1">
      <alignment horizontal="center" vertical="center"/>
    </xf>
    <xf numFmtId="0" fontId="10" fillId="4" borderId="36" xfId="0" applyFont="1" applyFill="1" applyBorder="1" applyAlignment="1">
      <alignment horizontal="center" vertical="center"/>
    </xf>
    <xf numFmtId="0" fontId="10" fillId="4" borderId="63" xfId="0" applyFont="1" applyFill="1" applyBorder="1" applyAlignment="1">
      <alignment horizontal="center" vertical="center"/>
    </xf>
    <xf numFmtId="0" fontId="10" fillId="4" borderId="42" xfId="0" applyFont="1" applyFill="1" applyBorder="1" applyAlignment="1">
      <alignment horizontal="center" vertical="center"/>
    </xf>
    <xf numFmtId="0" fontId="10" fillId="4" borderId="10" xfId="0" applyFont="1" applyFill="1" applyBorder="1" applyAlignment="1">
      <alignment horizontal="center" vertical="center"/>
    </xf>
    <xf numFmtId="0" fontId="10" fillId="4" borderId="35" xfId="0" applyFont="1" applyFill="1" applyBorder="1" applyAlignment="1">
      <alignment horizontal="center" vertical="center"/>
    </xf>
    <xf numFmtId="0" fontId="3" fillId="0" borderId="8" xfId="0" applyFont="1" applyBorder="1" applyAlignment="1">
      <alignment horizontal="center" vertical="center"/>
    </xf>
    <xf numFmtId="0" fontId="10" fillId="0" borderId="68" xfId="0" applyFont="1" applyBorder="1" applyAlignment="1">
      <alignment horizontal="center" vertical="center"/>
    </xf>
    <xf numFmtId="0" fontId="10" fillId="0" borderId="106" xfId="0" applyFont="1" applyBorder="1" applyAlignment="1">
      <alignment horizontal="center" vertical="center"/>
    </xf>
    <xf numFmtId="0" fontId="10" fillId="0" borderId="66" xfId="0" applyFont="1" applyBorder="1" applyAlignment="1">
      <alignment horizontal="center" vertical="center"/>
    </xf>
    <xf numFmtId="0" fontId="10" fillId="0" borderId="60" xfId="0" applyFont="1" applyBorder="1" applyAlignment="1">
      <alignment horizontal="center" vertical="center"/>
    </xf>
    <xf numFmtId="0" fontId="10" fillId="0" borderId="61" xfId="0" applyFont="1" applyBorder="1" applyAlignment="1">
      <alignment horizontal="center" vertical="center"/>
    </xf>
    <xf numFmtId="0" fontId="7" fillId="6" borderId="43" xfId="0" applyFont="1" applyFill="1" applyBorder="1" applyAlignment="1">
      <alignment horizontal="center" vertical="center"/>
    </xf>
    <xf numFmtId="0" fontId="7" fillId="6" borderId="26" xfId="0" applyFont="1" applyFill="1" applyBorder="1" applyAlignment="1">
      <alignment horizontal="center" vertical="center"/>
    </xf>
    <xf numFmtId="0" fontId="7" fillId="6" borderId="45" xfId="0" applyFont="1" applyFill="1" applyBorder="1" applyAlignment="1">
      <alignment horizontal="center" vertical="center"/>
    </xf>
    <xf numFmtId="0" fontId="7" fillId="6" borderId="44" xfId="0" applyFont="1" applyFill="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3" fillId="0" borderId="46" xfId="0" applyFont="1" applyBorder="1" applyAlignment="1">
      <alignment horizontal="center" vertical="center"/>
    </xf>
    <xf numFmtId="0" fontId="3" fillId="0" borderId="47" xfId="0" applyFont="1" applyBorder="1" applyAlignment="1">
      <alignment horizontal="center" vertical="center"/>
    </xf>
    <xf numFmtId="0" fontId="3" fillId="0" borderId="52" xfId="0" applyFont="1" applyBorder="1" applyAlignment="1">
      <alignment horizontal="center" vertical="center"/>
    </xf>
    <xf numFmtId="0" fontId="3" fillId="0" borderId="50"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1" fillId="6" borderId="9" xfId="0" applyFont="1" applyFill="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5" fillId="6" borderId="17" xfId="0" applyFont="1" applyFill="1" applyBorder="1" applyAlignment="1">
      <alignment horizontal="center" vertical="center"/>
    </xf>
    <xf numFmtId="0" fontId="5" fillId="6" borderId="18" xfId="0" applyFont="1" applyFill="1" applyBorder="1" applyAlignment="1">
      <alignment horizontal="center" vertical="center"/>
    </xf>
    <xf numFmtId="0" fontId="5" fillId="6" borderId="19" xfId="0" applyFont="1" applyFill="1" applyBorder="1" applyAlignment="1">
      <alignment horizontal="center" vertical="center"/>
    </xf>
    <xf numFmtId="0" fontId="5" fillId="6" borderId="20" xfId="0" applyFont="1" applyFill="1" applyBorder="1" applyAlignment="1">
      <alignment horizontal="center" vertical="center"/>
    </xf>
    <xf numFmtId="0" fontId="5" fillId="6" borderId="21" xfId="0" applyFont="1" applyFill="1" applyBorder="1" applyAlignment="1">
      <alignment horizontal="center" vertical="center"/>
    </xf>
    <xf numFmtId="0" fontId="5" fillId="6" borderId="8" xfId="0" applyFont="1" applyFill="1" applyBorder="1" applyAlignment="1">
      <alignment horizontal="center" vertical="center"/>
    </xf>
    <xf numFmtId="0" fontId="1" fillId="6" borderId="6" xfId="0" applyFont="1" applyFill="1" applyBorder="1" applyAlignment="1">
      <alignment horizontal="center" vertical="center"/>
    </xf>
    <xf numFmtId="0" fontId="1" fillId="0" borderId="17" xfId="0" applyFont="1" applyBorder="1" applyAlignment="1" applyProtection="1">
      <alignment horizontal="center" vertical="center"/>
      <protection locked="0"/>
    </xf>
    <xf numFmtId="0" fontId="1" fillId="0" borderId="21" xfId="0" applyFont="1" applyBorder="1" applyAlignment="1" applyProtection="1">
      <alignment horizontal="center" vertical="center"/>
      <protection locked="0"/>
    </xf>
    <xf numFmtId="0" fontId="1" fillId="0" borderId="18" xfId="0" applyFont="1" applyBorder="1" applyAlignment="1" applyProtection="1">
      <alignment horizontal="center" vertical="center"/>
      <protection locked="0"/>
    </xf>
    <xf numFmtId="0" fontId="1" fillId="0" borderId="31" xfId="0" applyFont="1" applyBorder="1" applyAlignment="1" applyProtection="1">
      <alignment horizontal="center" vertical="center"/>
      <protection locked="0"/>
    </xf>
    <xf numFmtId="0" fontId="1" fillId="0" borderId="29" xfId="0" applyFont="1" applyBorder="1" applyAlignment="1" applyProtection="1">
      <alignment horizontal="center" vertical="center"/>
      <protection locked="0"/>
    </xf>
    <xf numFmtId="0" fontId="1" fillId="0" borderId="30" xfId="0" applyFont="1" applyBorder="1" applyAlignment="1" applyProtection="1">
      <alignment horizontal="center" vertical="center"/>
      <protection locked="0"/>
    </xf>
    <xf numFmtId="0" fontId="2" fillId="0" borderId="93" xfId="0" applyFont="1" applyBorder="1" applyAlignment="1">
      <alignment horizontal="center" vertical="center"/>
    </xf>
    <xf numFmtId="0" fontId="2" fillId="7" borderId="16" xfId="0" applyFont="1" applyFill="1" applyBorder="1" applyAlignment="1" applyProtection="1">
      <alignment horizontal="center" vertical="center"/>
      <protection locked="0"/>
    </xf>
    <xf numFmtId="0" fontId="10" fillId="4" borderId="46" xfId="0" applyFont="1" applyFill="1" applyBorder="1" applyAlignment="1">
      <alignment horizontal="center" vertical="center"/>
    </xf>
    <xf numFmtId="0" fontId="10" fillId="4" borderId="47" xfId="0" applyFont="1" applyFill="1" applyBorder="1" applyAlignment="1">
      <alignment horizontal="center" vertical="center"/>
    </xf>
    <xf numFmtId="0" fontId="10" fillId="7" borderId="16" xfId="0" applyFont="1" applyFill="1" applyBorder="1" applyAlignment="1" applyProtection="1">
      <alignment horizontal="center" vertical="center"/>
      <protection locked="0"/>
    </xf>
    <xf numFmtId="0" fontId="8" fillId="0" borderId="5" xfId="0" applyFont="1" applyBorder="1" applyAlignment="1">
      <alignment horizontal="center" vertical="center" wrapText="1"/>
    </xf>
    <xf numFmtId="0" fontId="8" fillId="0" borderId="0" xfId="0" applyFont="1" applyAlignment="1">
      <alignment horizontal="center" vertical="center" wrapText="1"/>
    </xf>
    <xf numFmtId="0" fontId="2" fillId="6" borderId="17"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31" xfId="0" applyFont="1" applyFill="1" applyBorder="1" applyAlignment="1">
      <alignment horizontal="center" vertical="center"/>
    </xf>
    <xf numFmtId="0" fontId="2" fillId="6" borderId="30" xfId="0" applyFont="1" applyFill="1" applyBorder="1" applyAlignment="1">
      <alignment horizontal="center" vertical="center"/>
    </xf>
    <xf numFmtId="0" fontId="2" fillId="0" borderId="121" xfId="0" applyFont="1" applyBorder="1" applyAlignment="1">
      <alignment horizontal="center" vertical="center"/>
    </xf>
    <xf numFmtId="0" fontId="2" fillId="0" borderId="122" xfId="0" applyFont="1" applyBorder="1" applyAlignment="1">
      <alignment horizontal="center" vertical="center"/>
    </xf>
    <xf numFmtId="0" fontId="2" fillId="0" borderId="123" xfId="0" applyFont="1" applyBorder="1" applyAlignment="1">
      <alignment horizontal="center" vertical="center"/>
    </xf>
    <xf numFmtId="0" fontId="2" fillId="0" borderId="124" xfId="0" applyFont="1" applyBorder="1" applyAlignment="1">
      <alignment horizontal="center" vertical="center"/>
    </xf>
    <xf numFmtId="0" fontId="2" fillId="6" borderId="16" xfId="0" applyFont="1" applyFill="1" applyBorder="1" applyAlignment="1">
      <alignment horizontal="center" vertical="center"/>
    </xf>
    <xf numFmtId="0" fontId="1" fillId="0" borderId="64" xfId="0" applyFont="1" applyBorder="1" applyAlignment="1">
      <alignment horizontal="center" vertical="center"/>
    </xf>
    <xf numFmtId="0" fontId="1" fillId="0" borderId="53" xfId="0" applyFont="1" applyBorder="1" applyAlignment="1">
      <alignment horizontal="center" vertical="center"/>
    </xf>
    <xf numFmtId="9" fontId="3" fillId="6" borderId="33" xfId="0" applyNumberFormat="1" applyFont="1" applyFill="1" applyBorder="1" applyAlignment="1">
      <alignment horizontal="center" vertical="center"/>
    </xf>
    <xf numFmtId="9" fontId="3" fillId="6" borderId="23" xfId="0" applyNumberFormat="1" applyFont="1" applyFill="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1" fontId="7" fillId="6" borderId="41" xfId="0" applyNumberFormat="1" applyFont="1" applyFill="1" applyBorder="1" applyAlignment="1">
      <alignment horizontal="center" vertical="center"/>
    </xf>
    <xf numFmtId="0" fontId="7" fillId="6" borderId="109" xfId="0" applyFont="1" applyFill="1" applyBorder="1" applyAlignment="1">
      <alignment horizontal="center" vertical="center"/>
    </xf>
    <xf numFmtId="0" fontId="7" fillId="6" borderId="31" xfId="0" applyFont="1" applyFill="1" applyBorder="1" applyAlignment="1">
      <alignment horizontal="center" vertical="center"/>
    </xf>
    <xf numFmtId="0" fontId="7" fillId="6" borderId="30" xfId="0" applyFont="1" applyFill="1" applyBorder="1" applyAlignment="1">
      <alignment horizontal="center" vertical="center"/>
    </xf>
    <xf numFmtId="0" fontId="1" fillId="0" borderId="119" xfId="0" applyFont="1" applyBorder="1" applyAlignment="1">
      <alignment horizontal="center" vertical="center"/>
    </xf>
    <xf numFmtId="0" fontId="1" fillId="0" borderId="120" xfId="0" applyFont="1" applyBorder="1" applyAlignment="1">
      <alignment horizontal="center" vertical="center"/>
    </xf>
    <xf numFmtId="9" fontId="7" fillId="6" borderId="3" xfId="2" applyFont="1" applyFill="1" applyBorder="1" applyAlignment="1">
      <alignment horizontal="center" vertical="center"/>
    </xf>
    <xf numFmtId="9" fontId="7" fillId="6" borderId="4" xfId="2" applyFont="1" applyFill="1" applyBorder="1" applyAlignment="1">
      <alignment horizontal="center" vertical="center"/>
    </xf>
    <xf numFmtId="9" fontId="7" fillId="6" borderId="8" xfId="2" applyFont="1" applyFill="1" applyBorder="1" applyAlignment="1">
      <alignment horizontal="center" vertical="center"/>
    </xf>
    <xf numFmtId="9" fontId="7" fillId="6" borderId="9" xfId="2" applyFont="1" applyFill="1" applyBorder="1" applyAlignment="1">
      <alignment horizontal="center" vertical="center"/>
    </xf>
    <xf numFmtId="0" fontId="6" fillId="0" borderId="7" xfId="0" applyFont="1" applyBorder="1" applyAlignment="1">
      <alignment horizontal="center" vertical="center"/>
    </xf>
    <xf numFmtId="0" fontId="6" fillId="0" borderId="95" xfId="0" applyFont="1" applyBorder="1" applyAlignment="1">
      <alignment horizontal="center" vertical="center"/>
    </xf>
    <xf numFmtId="0" fontId="30" fillId="0" borderId="33" xfId="0" applyFont="1" applyBorder="1" applyAlignment="1" applyProtection="1">
      <alignment horizontal="center" vertical="center"/>
      <protection locked="0"/>
    </xf>
    <xf numFmtId="0" fontId="30" fillId="0" borderId="6" xfId="0" applyFont="1" applyBorder="1" applyAlignment="1" applyProtection="1">
      <alignment horizontal="center" vertical="center"/>
      <protection locked="0"/>
    </xf>
    <xf numFmtId="0" fontId="30" fillId="0" borderId="19" xfId="0" applyFont="1" applyBorder="1" applyAlignment="1" applyProtection="1">
      <alignment horizontal="center" vertical="center"/>
      <protection locked="0"/>
    </xf>
    <xf numFmtId="0" fontId="30" fillId="0" borderId="9" xfId="0" applyFont="1" applyBorder="1" applyAlignment="1" applyProtection="1">
      <alignment horizontal="center" vertical="center"/>
      <protection locked="0"/>
    </xf>
    <xf numFmtId="0" fontId="1" fillId="9" borderId="61" xfId="0" applyFont="1" applyFill="1" applyBorder="1" applyAlignment="1">
      <alignment horizontal="center" vertical="center"/>
    </xf>
    <xf numFmtId="0" fontId="1" fillId="9" borderId="55" xfId="0" applyFont="1" applyFill="1" applyBorder="1" applyAlignment="1">
      <alignment horizontal="center" vertical="center"/>
    </xf>
    <xf numFmtId="0" fontId="36" fillId="0" borderId="33" xfId="0" applyFont="1" applyBorder="1" applyAlignment="1" applyProtection="1">
      <alignment horizontal="center" vertical="center"/>
      <protection locked="0"/>
    </xf>
    <xf numFmtId="0" fontId="36" fillId="0" borderId="6" xfId="0" applyFont="1" applyBorder="1" applyAlignment="1" applyProtection="1">
      <alignment horizontal="center" vertical="center"/>
      <protection locked="0"/>
    </xf>
    <xf numFmtId="0" fontId="36" fillId="0" borderId="31" xfId="0" applyFont="1" applyBorder="1" applyAlignment="1" applyProtection="1">
      <alignment horizontal="center" vertical="center"/>
      <protection locked="0"/>
    </xf>
    <xf numFmtId="0" fontId="36" fillId="0" borderId="40" xfId="0" applyFont="1" applyBorder="1" applyAlignment="1" applyProtection="1">
      <alignment horizontal="center" vertical="center"/>
      <protection locked="0"/>
    </xf>
    <xf numFmtId="0" fontId="3" fillId="6" borderId="33" xfId="0" applyFont="1" applyFill="1" applyBorder="1" applyAlignment="1">
      <alignment horizontal="center" vertical="center"/>
    </xf>
    <xf numFmtId="0" fontId="3" fillId="6" borderId="23" xfId="0" applyFont="1" applyFill="1" applyBorder="1" applyAlignment="1">
      <alignment horizontal="center" vertical="center"/>
    </xf>
    <xf numFmtId="0" fontId="3" fillId="6" borderId="19" xfId="0" applyFont="1" applyFill="1" applyBorder="1" applyAlignment="1">
      <alignment horizontal="center" vertical="center"/>
    </xf>
    <xf numFmtId="0" fontId="3" fillId="6" borderId="8" xfId="0" applyFont="1" applyFill="1" applyBorder="1" applyAlignment="1">
      <alignment horizontal="center" vertical="center"/>
    </xf>
    <xf numFmtId="0" fontId="3" fillId="6" borderId="20" xfId="0" applyFont="1" applyFill="1" applyBorder="1" applyAlignment="1">
      <alignment horizontal="center" vertical="center"/>
    </xf>
    <xf numFmtId="0" fontId="4" fillId="0" borderId="24" xfId="0" applyFont="1" applyBorder="1" applyAlignment="1">
      <alignment horizontal="center" vertical="center"/>
    </xf>
    <xf numFmtId="0" fontId="36" fillId="6" borderId="17" xfId="0" applyFont="1" applyFill="1" applyBorder="1" applyAlignment="1" applyProtection="1">
      <alignment horizontal="center" vertical="center"/>
      <protection locked="0"/>
    </xf>
    <xf numFmtId="0" fontId="36" fillId="6" borderId="21" xfId="0" applyFont="1" applyFill="1" applyBorder="1" applyAlignment="1" applyProtection="1">
      <alignment horizontal="center" vertical="center"/>
      <protection locked="0"/>
    </xf>
    <xf numFmtId="0" fontId="36" fillId="6" borderId="39" xfId="0" applyFont="1" applyFill="1" applyBorder="1" applyAlignment="1" applyProtection="1">
      <alignment horizontal="center" vertical="center"/>
      <protection locked="0"/>
    </xf>
    <xf numFmtId="0" fontId="36" fillId="6" borderId="19" xfId="0" applyFont="1" applyFill="1" applyBorder="1" applyAlignment="1" applyProtection="1">
      <alignment horizontal="center" vertical="center"/>
      <protection locked="0"/>
    </xf>
    <xf numFmtId="0" fontId="36" fillId="6" borderId="8" xfId="0" applyFont="1" applyFill="1" applyBorder="1" applyAlignment="1" applyProtection="1">
      <alignment horizontal="center" vertical="center"/>
      <protection locked="0"/>
    </xf>
    <xf numFmtId="0" fontId="36" fillId="6" borderId="9" xfId="0" applyFont="1" applyFill="1" applyBorder="1" applyAlignment="1" applyProtection="1">
      <alignment horizontal="center" vertical="center"/>
      <protection locked="0"/>
    </xf>
    <xf numFmtId="3" fontId="10" fillId="0" borderId="8" xfId="0" applyNumberFormat="1" applyFont="1" applyBorder="1" applyAlignment="1">
      <alignment horizontal="center" vertical="center"/>
    </xf>
    <xf numFmtId="3" fontId="10" fillId="0" borderId="20" xfId="0" applyNumberFormat="1" applyFont="1" applyBorder="1" applyAlignment="1">
      <alignment horizontal="center" vertical="center"/>
    </xf>
    <xf numFmtId="0" fontId="7" fillId="6" borderId="0" xfId="0" applyFont="1" applyFill="1" applyAlignment="1">
      <alignment horizontal="center" vertical="center"/>
    </xf>
    <xf numFmtId="0" fontId="7" fillId="6" borderId="6" xfId="0" applyFont="1" applyFill="1" applyBorder="1" applyAlignment="1">
      <alignment horizontal="center" vertical="center"/>
    </xf>
    <xf numFmtId="1" fontId="7" fillId="6" borderId="17" xfId="0" applyNumberFormat="1" applyFont="1" applyFill="1" applyBorder="1" applyAlignment="1">
      <alignment horizontal="center" vertical="center"/>
    </xf>
    <xf numFmtId="0" fontId="7" fillId="6" borderId="18" xfId="0" applyFont="1" applyFill="1" applyBorder="1" applyAlignment="1">
      <alignment horizontal="center" vertical="center"/>
    </xf>
    <xf numFmtId="0" fontId="9" fillId="6" borderId="3" xfId="0" applyFont="1" applyFill="1" applyBorder="1" applyAlignment="1">
      <alignment horizontal="center" vertical="center"/>
    </xf>
    <xf numFmtId="0" fontId="9" fillId="6" borderId="4" xfId="0" applyFont="1" applyFill="1" applyBorder="1" applyAlignment="1">
      <alignment horizontal="center" vertical="center"/>
    </xf>
    <xf numFmtId="0" fontId="9" fillId="6" borderId="8" xfId="0" applyFont="1" applyFill="1" applyBorder="1" applyAlignment="1">
      <alignment horizontal="center" vertical="center"/>
    </xf>
    <xf numFmtId="0" fontId="9" fillId="6" borderId="9" xfId="0" applyFont="1" applyFill="1" applyBorder="1" applyAlignment="1">
      <alignment horizontal="center" vertical="center"/>
    </xf>
    <xf numFmtId="0" fontId="6" fillId="0" borderId="11" xfId="0" applyFont="1" applyBorder="1" applyAlignment="1">
      <alignment horizontal="center" vertical="center"/>
    </xf>
    <xf numFmtId="0" fontId="6" fillId="0" borderId="96" xfId="0" applyFont="1" applyBorder="1" applyAlignment="1">
      <alignment horizontal="center" vertical="center"/>
    </xf>
    <xf numFmtId="0" fontId="6" fillId="0" borderId="14" xfId="0" applyFont="1" applyBorder="1" applyAlignment="1">
      <alignment horizontal="center" vertical="center"/>
    </xf>
    <xf numFmtId="0" fontId="6" fillId="0" borderId="97" xfId="0" applyFont="1" applyBorder="1" applyAlignment="1">
      <alignment horizontal="center" vertical="center"/>
    </xf>
    <xf numFmtId="0" fontId="5" fillId="0" borderId="3"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10" fillId="6" borderId="8" xfId="0" applyFont="1" applyFill="1" applyBorder="1" applyAlignment="1">
      <alignment horizontal="center" vertical="center"/>
    </xf>
    <xf numFmtId="0" fontId="10" fillId="6" borderId="29" xfId="0" applyFont="1" applyFill="1" applyBorder="1" applyAlignment="1">
      <alignment horizontal="center" vertical="center"/>
    </xf>
    <xf numFmtId="0" fontId="10" fillId="0" borderId="8"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0" borderId="5" xfId="0" applyFont="1" applyBorder="1" applyAlignment="1">
      <alignment horizontal="center" vertical="center"/>
    </xf>
    <xf numFmtId="0" fontId="10" fillId="0" borderId="0" xfId="0" applyFont="1" applyAlignment="1">
      <alignment horizontal="center" vertical="center"/>
    </xf>
    <xf numFmtId="0" fontId="10" fillId="0" borderId="6" xfId="0" applyFont="1" applyBorder="1" applyAlignment="1">
      <alignment horizontal="center" vertical="center"/>
    </xf>
    <xf numFmtId="0" fontId="6" fillId="6" borderId="22" xfId="0" applyFont="1" applyFill="1" applyBorder="1" applyAlignment="1">
      <alignment horizontal="center" vertical="center"/>
    </xf>
    <xf numFmtId="0" fontId="6" fillId="6" borderId="26" xfId="0" applyFont="1" applyFill="1" applyBorder="1" applyAlignment="1">
      <alignment horizontal="center" vertical="center"/>
    </xf>
    <xf numFmtId="0" fontId="7" fillId="6" borderId="19" xfId="0" applyFont="1" applyFill="1" applyBorder="1" applyAlignment="1">
      <alignment horizontal="center" vertical="center"/>
    </xf>
    <xf numFmtId="0" fontId="7" fillId="6" borderId="20" xfId="0" applyFont="1" applyFill="1" applyBorder="1" applyAlignment="1">
      <alignment horizontal="center" vertical="center"/>
    </xf>
    <xf numFmtId="0" fontId="10" fillId="0" borderId="27" xfId="0" applyFont="1" applyBorder="1" applyAlignment="1">
      <alignment horizontal="center" vertical="center" wrapText="1"/>
    </xf>
    <xf numFmtId="0" fontId="10" fillId="0" borderId="28" xfId="0" applyFont="1" applyBorder="1" applyAlignment="1">
      <alignment horizontal="center" vertical="center" wrapText="1"/>
    </xf>
    <xf numFmtId="0" fontId="10" fillId="0" borderId="7" xfId="0" applyFont="1" applyBorder="1" applyAlignment="1">
      <alignment horizontal="center" vertical="center" wrapText="1"/>
    </xf>
    <xf numFmtId="0" fontId="6" fillId="0" borderId="4" xfId="0" applyFont="1" applyBorder="1" applyAlignment="1">
      <alignment horizontal="center" vertical="center"/>
    </xf>
    <xf numFmtId="0" fontId="6" fillId="0" borderId="9" xfId="0" applyFont="1" applyBorder="1" applyAlignment="1">
      <alignment horizontal="center" vertical="center"/>
    </xf>
    <xf numFmtId="0" fontId="10" fillId="0" borderId="79" xfId="0" applyFont="1" applyBorder="1" applyAlignment="1">
      <alignment horizontal="center" vertical="center"/>
    </xf>
    <xf numFmtId="0" fontId="10" fillId="0" borderId="1" xfId="0" applyFont="1" applyBorder="1" applyAlignment="1">
      <alignment horizontal="center" vertical="center"/>
    </xf>
    <xf numFmtId="0" fontId="10" fillId="0" borderId="78" xfId="0" applyFont="1" applyBorder="1" applyAlignment="1">
      <alignment horizontal="center" vertical="center"/>
    </xf>
    <xf numFmtId="0" fontId="10" fillId="0" borderId="76" xfId="0" applyFont="1" applyBorder="1" applyAlignment="1">
      <alignment horizontal="center" vertical="center"/>
    </xf>
    <xf numFmtId="0" fontId="3" fillId="0" borderId="1" xfId="0" applyFont="1" applyBorder="1" applyAlignment="1">
      <alignment horizontal="center" vertical="center"/>
    </xf>
    <xf numFmtId="0" fontId="3" fillId="0" borderId="33" xfId="0" applyFont="1" applyBorder="1" applyAlignment="1" applyProtection="1">
      <alignment horizontal="center" vertical="center"/>
      <protection locked="0"/>
    </xf>
    <xf numFmtId="0" fontId="3" fillId="0" borderId="0" xfId="0" applyFont="1" applyAlignment="1" applyProtection="1">
      <alignment horizontal="center" vertical="center"/>
      <protection locked="0"/>
    </xf>
    <xf numFmtId="0" fontId="3" fillId="0" borderId="23" xfId="0" applyFont="1" applyBorder="1" applyAlignment="1" applyProtection="1">
      <alignment horizontal="center" vertical="center"/>
      <protection locked="0"/>
    </xf>
    <xf numFmtId="0" fontId="3" fillId="0" borderId="31" xfId="0" applyFont="1" applyBorder="1" applyAlignment="1" applyProtection="1">
      <alignment horizontal="center" vertical="center"/>
      <protection locked="0"/>
    </xf>
    <xf numFmtId="0" fontId="3" fillId="0" borderId="29" xfId="0" applyFont="1" applyBorder="1" applyAlignment="1" applyProtection="1">
      <alignment horizontal="center" vertical="center"/>
      <protection locked="0"/>
    </xf>
    <xf numFmtId="0" fontId="3" fillId="0" borderId="30" xfId="0" applyFont="1" applyBorder="1" applyAlignment="1" applyProtection="1">
      <alignment horizontal="center" vertical="center"/>
      <protection locked="0"/>
    </xf>
    <xf numFmtId="0" fontId="1" fillId="6" borderId="80" xfId="0" applyFont="1" applyFill="1" applyBorder="1" applyAlignment="1">
      <alignment horizontal="center" vertical="center"/>
    </xf>
    <xf numFmtId="0" fontId="1" fillId="6" borderId="118" xfId="0" applyFont="1" applyFill="1" applyBorder="1" applyAlignment="1">
      <alignment horizontal="center" vertical="center"/>
    </xf>
    <xf numFmtId="0" fontId="7" fillId="6" borderId="17" xfId="0" applyFont="1" applyFill="1" applyBorder="1" applyAlignment="1">
      <alignment horizontal="center" vertical="center"/>
    </xf>
    <xf numFmtId="0" fontId="13" fillId="0" borderId="16" xfId="0" applyFont="1" applyBorder="1" applyAlignment="1">
      <alignment horizontal="center" vertical="center"/>
    </xf>
    <xf numFmtId="0" fontId="1" fillId="0" borderId="16" xfId="0" applyFont="1" applyBorder="1" applyAlignment="1">
      <alignment horizontal="center" vertical="center"/>
    </xf>
    <xf numFmtId="0" fontId="1" fillId="0" borderId="2" xfId="0" applyFont="1" applyBorder="1" applyAlignment="1">
      <alignment horizontal="center" vertical="center" wrapText="1"/>
    </xf>
    <xf numFmtId="0" fontId="1" fillId="0" borderId="9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95" xfId="0" applyFont="1" applyBorder="1" applyAlignment="1">
      <alignment horizontal="center" vertical="center" wrapText="1"/>
    </xf>
    <xf numFmtId="0" fontId="1" fillId="9" borderId="80" xfId="0" applyFont="1" applyFill="1" applyBorder="1" applyAlignment="1">
      <alignment horizontal="center" vertical="center"/>
    </xf>
    <xf numFmtId="0" fontId="1" fillId="9" borderId="118" xfId="0" applyFont="1" applyFill="1" applyBorder="1" applyAlignment="1">
      <alignment horizontal="center" vertical="center"/>
    </xf>
    <xf numFmtId="0" fontId="18" fillId="5" borderId="22" xfId="0" applyFont="1" applyFill="1" applyBorder="1" applyAlignment="1">
      <alignment horizontal="center"/>
    </xf>
    <xf numFmtId="0" fontId="18" fillId="5" borderId="32" xfId="0" applyFont="1" applyFill="1" applyBorder="1" applyAlignment="1">
      <alignment horizontal="center"/>
    </xf>
    <xf numFmtId="0" fontId="18" fillId="0" borderId="46" xfId="0" applyFont="1" applyBorder="1" applyAlignment="1">
      <alignment horizontal="center"/>
    </xf>
    <xf numFmtId="0" fontId="18" fillId="0" borderId="72" xfId="0" applyFont="1" applyBorder="1" applyAlignment="1">
      <alignment horizontal="center"/>
    </xf>
    <xf numFmtId="0" fontId="18" fillId="0" borderId="51" xfId="0" applyFont="1" applyBorder="1" applyAlignment="1">
      <alignment horizontal="center"/>
    </xf>
    <xf numFmtId="0" fontId="18" fillId="0" borderId="25" xfId="0" applyFont="1" applyBorder="1" applyAlignment="1">
      <alignment horizontal="center"/>
    </xf>
    <xf numFmtId="0" fontId="18" fillId="0" borderId="22" xfId="0" applyFont="1" applyBorder="1" applyAlignment="1">
      <alignment horizontal="center"/>
    </xf>
    <xf numFmtId="0" fontId="18" fillId="0" borderId="32" xfId="0" applyFont="1" applyBorder="1" applyAlignment="1">
      <alignment horizontal="center"/>
    </xf>
    <xf numFmtId="0" fontId="18" fillId="0" borderId="64" xfId="0" applyFont="1" applyBorder="1" applyAlignment="1">
      <alignment horizontal="center"/>
    </xf>
    <xf numFmtId="0" fontId="18" fillId="0" borderId="47" xfId="0" applyFont="1" applyBorder="1" applyAlignment="1">
      <alignment horizontal="center"/>
    </xf>
    <xf numFmtId="0" fontId="18" fillId="0" borderId="52" xfId="0" applyFont="1" applyBorder="1" applyAlignment="1">
      <alignment horizontal="center"/>
    </xf>
    <xf numFmtId="0" fontId="18" fillId="0" borderId="48" xfId="0" applyFont="1" applyBorder="1" applyAlignment="1">
      <alignment horizontal="center"/>
    </xf>
    <xf numFmtId="0" fontId="1" fillId="12" borderId="0" xfId="0" applyFont="1" applyFill="1" applyAlignment="1">
      <alignment vertical="center"/>
    </xf>
    <xf numFmtId="0" fontId="1" fillId="12" borderId="6" xfId="0" applyFont="1" applyFill="1" applyBorder="1" applyAlignment="1">
      <alignment vertical="center"/>
    </xf>
  </cellXfs>
  <cellStyles count="4">
    <cellStyle name="Lien hypertexte" xfId="3" builtinId="8"/>
    <cellStyle name="Milliers" xfId="1" builtinId="3"/>
    <cellStyle name="Normal" xfId="0" builtinId="0"/>
    <cellStyle name="Pourcentage" xfId="2" builtinId="5"/>
  </cellStyles>
  <dxfs count="51">
    <dxf>
      <font>
        <color theme="0" tint="-0.34998626667073579"/>
      </font>
      <fill>
        <patternFill>
          <bgColor theme="0" tint="-0.499984740745262"/>
        </patternFill>
      </fill>
    </dxf>
    <dxf>
      <font>
        <color theme="0" tint="-0.34998626667073579"/>
      </font>
      <fill>
        <patternFill>
          <bgColor theme="0" tint="-0.49998474074526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ont>
        <color rgb="FF006100"/>
      </font>
      <fill>
        <patternFill>
          <bgColor rgb="FFC6EFCE"/>
        </patternFill>
      </fill>
    </dxf>
    <dxf>
      <fill>
        <patternFill patternType="lightGray">
          <bgColor auto="1"/>
        </patternFill>
      </fill>
    </dxf>
    <dxf>
      <fill>
        <patternFill patternType="lightGray">
          <bgColor auto="1"/>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ont>
        <b/>
        <i val="0"/>
      </font>
    </dxf>
    <dxf>
      <font>
        <b/>
        <i val="0"/>
      </font>
    </dxf>
    <dxf>
      <font>
        <b/>
        <i val="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8" tint="0.79998168889431442"/>
        </patternFill>
      </fill>
    </dxf>
    <dxf>
      <font>
        <b/>
        <i val="0"/>
      </font>
    </dxf>
    <dxf>
      <font>
        <b/>
        <i val="0"/>
      </font>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ont>
        <b/>
        <i val="0"/>
      </font>
    </dxf>
  </dxfs>
  <tableStyles count="0" defaultTableStyle="TableStyleMedium2" defaultPivotStyle="PivotStyleLight16"/>
  <colors>
    <mruColors>
      <color rgb="FF00CCFF"/>
      <color rgb="FFFFCC00"/>
      <color rgb="FFCC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drawings/_rels/drawing2.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jpe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jpeg"/><Relationship Id="rId16" Type="http://schemas.openxmlformats.org/officeDocument/2006/relationships/image" Target="../media/image16.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3.xml.rels><?xml version="1.0" encoding="UTF-8" standalone="yes"?>
<Relationships xmlns="http://schemas.openxmlformats.org/package/2006/relationships"><Relationship Id="rId1" Type="http://schemas.openxmlformats.org/officeDocument/2006/relationships/image" Target="../media/image19.png"/></Relationships>
</file>

<file path=xl/drawings/drawing1.xml><?xml version="1.0" encoding="utf-8"?>
<xdr:wsDr xmlns:xdr="http://schemas.openxmlformats.org/drawingml/2006/spreadsheetDrawing" xmlns:a="http://schemas.openxmlformats.org/drawingml/2006/main">
  <xdr:twoCellAnchor>
    <xdr:from>
      <xdr:col>0</xdr:col>
      <xdr:colOff>38100</xdr:colOff>
      <xdr:row>17</xdr:row>
      <xdr:rowOff>83820</xdr:rowOff>
    </xdr:from>
    <xdr:to>
      <xdr:col>0</xdr:col>
      <xdr:colOff>411480</xdr:colOff>
      <xdr:row>17</xdr:row>
      <xdr:rowOff>129539</xdr:rowOff>
    </xdr:to>
    <xdr:sp macro="" textlink="">
      <xdr:nvSpPr>
        <xdr:cNvPr id="2" name="Flèche droite 1">
          <a:extLst>
            <a:ext uri="{FF2B5EF4-FFF2-40B4-BE49-F238E27FC236}">
              <a16:creationId xmlns:a16="http://schemas.microsoft.com/office/drawing/2014/main" id="{00000000-0008-0000-0000-000002000000}"/>
            </a:ext>
          </a:extLst>
        </xdr:cNvPr>
        <xdr:cNvSpPr/>
      </xdr:nvSpPr>
      <xdr:spPr>
        <a:xfrm>
          <a:off x="38100" y="952500"/>
          <a:ext cx="373380" cy="45719"/>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38100</xdr:colOff>
      <xdr:row>20</xdr:row>
      <xdr:rowOff>83820</xdr:rowOff>
    </xdr:from>
    <xdr:to>
      <xdr:col>0</xdr:col>
      <xdr:colOff>411480</xdr:colOff>
      <xdr:row>20</xdr:row>
      <xdr:rowOff>129539</xdr:rowOff>
    </xdr:to>
    <xdr:sp macro="" textlink="">
      <xdr:nvSpPr>
        <xdr:cNvPr id="3" name="Flèche droite 2">
          <a:extLst>
            <a:ext uri="{FF2B5EF4-FFF2-40B4-BE49-F238E27FC236}">
              <a16:creationId xmlns:a16="http://schemas.microsoft.com/office/drawing/2014/main" id="{00000000-0008-0000-0000-000003000000}"/>
            </a:ext>
          </a:extLst>
        </xdr:cNvPr>
        <xdr:cNvSpPr/>
      </xdr:nvSpPr>
      <xdr:spPr>
        <a:xfrm>
          <a:off x="38100" y="1943100"/>
          <a:ext cx="373380" cy="45719"/>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38100</xdr:colOff>
      <xdr:row>29</xdr:row>
      <xdr:rowOff>83820</xdr:rowOff>
    </xdr:from>
    <xdr:to>
      <xdr:col>0</xdr:col>
      <xdr:colOff>411480</xdr:colOff>
      <xdr:row>29</xdr:row>
      <xdr:rowOff>129539</xdr:rowOff>
    </xdr:to>
    <xdr:sp macro="" textlink="">
      <xdr:nvSpPr>
        <xdr:cNvPr id="5" name="Flèche droite 4">
          <a:extLst>
            <a:ext uri="{FF2B5EF4-FFF2-40B4-BE49-F238E27FC236}">
              <a16:creationId xmlns:a16="http://schemas.microsoft.com/office/drawing/2014/main" id="{00000000-0008-0000-0000-000005000000}"/>
            </a:ext>
          </a:extLst>
        </xdr:cNvPr>
        <xdr:cNvSpPr/>
      </xdr:nvSpPr>
      <xdr:spPr>
        <a:xfrm>
          <a:off x="38100" y="4320540"/>
          <a:ext cx="373380" cy="45719"/>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38100</xdr:colOff>
      <xdr:row>7</xdr:row>
      <xdr:rowOff>83820</xdr:rowOff>
    </xdr:from>
    <xdr:to>
      <xdr:col>0</xdr:col>
      <xdr:colOff>411480</xdr:colOff>
      <xdr:row>7</xdr:row>
      <xdr:rowOff>129539</xdr:rowOff>
    </xdr:to>
    <xdr:sp macro="" textlink="">
      <xdr:nvSpPr>
        <xdr:cNvPr id="6" name="Flèche droite 5">
          <a:extLst>
            <a:ext uri="{FF2B5EF4-FFF2-40B4-BE49-F238E27FC236}">
              <a16:creationId xmlns:a16="http://schemas.microsoft.com/office/drawing/2014/main" id="{00000000-0008-0000-0000-000006000000}"/>
            </a:ext>
          </a:extLst>
        </xdr:cNvPr>
        <xdr:cNvSpPr/>
      </xdr:nvSpPr>
      <xdr:spPr>
        <a:xfrm>
          <a:off x="38100" y="3528060"/>
          <a:ext cx="373380" cy="45719"/>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38100</xdr:colOff>
      <xdr:row>17</xdr:row>
      <xdr:rowOff>83820</xdr:rowOff>
    </xdr:from>
    <xdr:to>
      <xdr:col>0</xdr:col>
      <xdr:colOff>411480</xdr:colOff>
      <xdr:row>17</xdr:row>
      <xdr:rowOff>129539</xdr:rowOff>
    </xdr:to>
    <xdr:sp macro="" textlink="">
      <xdr:nvSpPr>
        <xdr:cNvPr id="7" name="Flèche droite 2">
          <a:extLst>
            <a:ext uri="{FF2B5EF4-FFF2-40B4-BE49-F238E27FC236}">
              <a16:creationId xmlns:a16="http://schemas.microsoft.com/office/drawing/2014/main" id="{D0E7B47C-13D3-40A5-878D-61A9FEE45896}"/>
            </a:ext>
          </a:extLst>
        </xdr:cNvPr>
        <xdr:cNvSpPr/>
      </xdr:nvSpPr>
      <xdr:spPr>
        <a:xfrm>
          <a:off x="38100" y="3960495"/>
          <a:ext cx="373380" cy="45719"/>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38100</xdr:colOff>
      <xdr:row>23</xdr:row>
      <xdr:rowOff>83820</xdr:rowOff>
    </xdr:from>
    <xdr:to>
      <xdr:col>0</xdr:col>
      <xdr:colOff>411480</xdr:colOff>
      <xdr:row>23</xdr:row>
      <xdr:rowOff>129539</xdr:rowOff>
    </xdr:to>
    <xdr:sp macro="" textlink="">
      <xdr:nvSpPr>
        <xdr:cNvPr id="8" name="Flèche droite 1">
          <a:extLst>
            <a:ext uri="{FF2B5EF4-FFF2-40B4-BE49-F238E27FC236}">
              <a16:creationId xmlns:a16="http://schemas.microsoft.com/office/drawing/2014/main" id="{787DFA17-0127-4C55-8337-DAB4D89B10C7}"/>
            </a:ext>
          </a:extLst>
        </xdr:cNvPr>
        <xdr:cNvSpPr/>
      </xdr:nvSpPr>
      <xdr:spPr>
        <a:xfrm>
          <a:off x="38100" y="2912745"/>
          <a:ext cx="373380" cy="45719"/>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38100</xdr:colOff>
      <xdr:row>23</xdr:row>
      <xdr:rowOff>83820</xdr:rowOff>
    </xdr:from>
    <xdr:to>
      <xdr:col>0</xdr:col>
      <xdr:colOff>411480</xdr:colOff>
      <xdr:row>23</xdr:row>
      <xdr:rowOff>129539</xdr:rowOff>
    </xdr:to>
    <xdr:sp macro="" textlink="">
      <xdr:nvSpPr>
        <xdr:cNvPr id="9" name="Flèche droite 2">
          <a:extLst>
            <a:ext uri="{FF2B5EF4-FFF2-40B4-BE49-F238E27FC236}">
              <a16:creationId xmlns:a16="http://schemas.microsoft.com/office/drawing/2014/main" id="{E41AB0BB-3541-4843-961B-47C1729B7733}"/>
            </a:ext>
          </a:extLst>
        </xdr:cNvPr>
        <xdr:cNvSpPr/>
      </xdr:nvSpPr>
      <xdr:spPr>
        <a:xfrm>
          <a:off x="38100" y="2912745"/>
          <a:ext cx="373380" cy="45719"/>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38100</xdr:colOff>
      <xdr:row>32</xdr:row>
      <xdr:rowOff>83820</xdr:rowOff>
    </xdr:from>
    <xdr:to>
      <xdr:col>0</xdr:col>
      <xdr:colOff>411480</xdr:colOff>
      <xdr:row>32</xdr:row>
      <xdr:rowOff>129539</xdr:rowOff>
    </xdr:to>
    <xdr:sp macro="" textlink="">
      <xdr:nvSpPr>
        <xdr:cNvPr id="10" name="Flèche droite 1">
          <a:extLst>
            <a:ext uri="{FF2B5EF4-FFF2-40B4-BE49-F238E27FC236}">
              <a16:creationId xmlns:a16="http://schemas.microsoft.com/office/drawing/2014/main" id="{21F96E1C-AE83-44BE-B073-46AEC58CFF46}"/>
            </a:ext>
          </a:extLst>
        </xdr:cNvPr>
        <xdr:cNvSpPr/>
      </xdr:nvSpPr>
      <xdr:spPr>
        <a:xfrm>
          <a:off x="38100" y="4798695"/>
          <a:ext cx="373380" cy="45719"/>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38100</xdr:colOff>
      <xdr:row>32</xdr:row>
      <xdr:rowOff>83820</xdr:rowOff>
    </xdr:from>
    <xdr:to>
      <xdr:col>0</xdr:col>
      <xdr:colOff>411480</xdr:colOff>
      <xdr:row>32</xdr:row>
      <xdr:rowOff>129539</xdr:rowOff>
    </xdr:to>
    <xdr:sp macro="" textlink="">
      <xdr:nvSpPr>
        <xdr:cNvPr id="11" name="Flèche droite 2">
          <a:extLst>
            <a:ext uri="{FF2B5EF4-FFF2-40B4-BE49-F238E27FC236}">
              <a16:creationId xmlns:a16="http://schemas.microsoft.com/office/drawing/2014/main" id="{81C56CC1-2EB0-48FE-A2F3-ABBA49309D14}"/>
            </a:ext>
          </a:extLst>
        </xdr:cNvPr>
        <xdr:cNvSpPr/>
      </xdr:nvSpPr>
      <xdr:spPr>
        <a:xfrm>
          <a:off x="38100" y="4798695"/>
          <a:ext cx="373380" cy="45719"/>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38100</xdr:colOff>
      <xdr:row>26</xdr:row>
      <xdr:rowOff>83820</xdr:rowOff>
    </xdr:from>
    <xdr:to>
      <xdr:col>0</xdr:col>
      <xdr:colOff>411480</xdr:colOff>
      <xdr:row>26</xdr:row>
      <xdr:rowOff>129539</xdr:rowOff>
    </xdr:to>
    <xdr:sp macro="" textlink="">
      <xdr:nvSpPr>
        <xdr:cNvPr id="12" name="Flèche droite 1">
          <a:extLst>
            <a:ext uri="{FF2B5EF4-FFF2-40B4-BE49-F238E27FC236}">
              <a16:creationId xmlns:a16="http://schemas.microsoft.com/office/drawing/2014/main" id="{A0640B11-BAE5-43B5-B783-4F6F7A8FA1F4}"/>
            </a:ext>
          </a:extLst>
        </xdr:cNvPr>
        <xdr:cNvSpPr/>
      </xdr:nvSpPr>
      <xdr:spPr>
        <a:xfrm>
          <a:off x="38100" y="5104055"/>
          <a:ext cx="373380" cy="45719"/>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38100</xdr:colOff>
      <xdr:row>26</xdr:row>
      <xdr:rowOff>83820</xdr:rowOff>
    </xdr:from>
    <xdr:to>
      <xdr:col>0</xdr:col>
      <xdr:colOff>411480</xdr:colOff>
      <xdr:row>26</xdr:row>
      <xdr:rowOff>129539</xdr:rowOff>
    </xdr:to>
    <xdr:sp macro="" textlink="">
      <xdr:nvSpPr>
        <xdr:cNvPr id="13" name="Flèche droite 2">
          <a:extLst>
            <a:ext uri="{FF2B5EF4-FFF2-40B4-BE49-F238E27FC236}">
              <a16:creationId xmlns:a16="http://schemas.microsoft.com/office/drawing/2014/main" id="{1DE7C167-050D-4FA6-82D8-F8F16931508A}"/>
            </a:ext>
          </a:extLst>
        </xdr:cNvPr>
        <xdr:cNvSpPr/>
      </xdr:nvSpPr>
      <xdr:spPr>
        <a:xfrm>
          <a:off x="38100" y="5104055"/>
          <a:ext cx="373380" cy="45719"/>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28</xdr:col>
      <xdr:colOff>256050</xdr:colOff>
      <xdr:row>8</xdr:row>
      <xdr:rowOff>30726</xdr:rowOff>
    </xdr:from>
    <xdr:to>
      <xdr:col>30</xdr:col>
      <xdr:colOff>8150</xdr:colOff>
      <xdr:row>9</xdr:row>
      <xdr:rowOff>184355</xdr:rowOff>
    </xdr:to>
    <xdr:pic>
      <xdr:nvPicPr>
        <xdr:cNvPr id="13" name="Image 12">
          <a:extLst>
            <a:ext uri="{FF2B5EF4-FFF2-40B4-BE49-F238E27FC236}">
              <a16:creationId xmlns:a16="http://schemas.microsoft.com/office/drawing/2014/main" id="{1C2094E4-348E-6710-FB7F-D451160B73B9}"/>
            </a:ext>
          </a:extLst>
        </xdr:cNvPr>
        <xdr:cNvPicPr>
          <a:picLocks noChangeAspect="1"/>
        </xdr:cNvPicPr>
      </xdr:nvPicPr>
      <xdr:blipFill>
        <a:blip xmlns:r="http://schemas.openxmlformats.org/officeDocument/2006/relationships" r:embed="rId1"/>
        <a:stretch>
          <a:fillRect/>
        </a:stretch>
      </xdr:blipFill>
      <xdr:spPr>
        <a:xfrm>
          <a:off x="9146050" y="1833307"/>
          <a:ext cx="387100" cy="378951"/>
        </a:xfrm>
        <a:prstGeom prst="rect">
          <a:avLst/>
        </a:prstGeom>
      </xdr:spPr>
    </xdr:pic>
    <xdr:clientData/>
  </xdr:twoCellAnchor>
  <xdr:twoCellAnchor editAs="oneCell">
    <xdr:from>
      <xdr:col>35</xdr:col>
      <xdr:colOff>21168</xdr:colOff>
      <xdr:row>1</xdr:row>
      <xdr:rowOff>31750</xdr:rowOff>
    </xdr:from>
    <xdr:to>
      <xdr:col>38</xdr:col>
      <xdr:colOff>231264</xdr:colOff>
      <xdr:row>7</xdr:row>
      <xdr:rowOff>201084</xdr:rowOff>
    </xdr:to>
    <xdr:pic>
      <xdr:nvPicPr>
        <xdr:cNvPr id="5" name="Image 4">
          <a:extLst>
            <a:ext uri="{FF2B5EF4-FFF2-40B4-BE49-F238E27FC236}">
              <a16:creationId xmlns:a16="http://schemas.microsoft.com/office/drawing/2014/main" id="{14676B48-62CA-3D29-4C1C-DF82528738E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133668" y="264583"/>
          <a:ext cx="1162596" cy="1566334"/>
        </a:xfrm>
        <a:prstGeom prst="rect">
          <a:avLst/>
        </a:prstGeom>
      </xdr:spPr>
    </xdr:pic>
    <xdr:clientData/>
  </xdr:twoCellAnchor>
  <xdr:twoCellAnchor editAs="oneCell">
    <xdr:from>
      <xdr:col>38</xdr:col>
      <xdr:colOff>74085</xdr:colOff>
      <xdr:row>4</xdr:row>
      <xdr:rowOff>0</xdr:rowOff>
    </xdr:from>
    <xdr:to>
      <xdr:col>40</xdr:col>
      <xdr:colOff>262234</xdr:colOff>
      <xdr:row>7</xdr:row>
      <xdr:rowOff>201084</xdr:rowOff>
    </xdr:to>
    <xdr:pic>
      <xdr:nvPicPr>
        <xdr:cNvPr id="3" name="Image 2">
          <a:extLst>
            <a:ext uri="{FF2B5EF4-FFF2-40B4-BE49-F238E27FC236}">
              <a16:creationId xmlns:a16="http://schemas.microsoft.com/office/drawing/2014/main" id="{2E495E1D-5A7C-FF50-18CA-8F2161E81DB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139085" y="931333"/>
          <a:ext cx="823149" cy="899584"/>
        </a:xfrm>
        <a:prstGeom prst="rect">
          <a:avLst/>
        </a:prstGeom>
      </xdr:spPr>
    </xdr:pic>
    <xdr:clientData/>
  </xdr:twoCellAnchor>
  <xdr:twoCellAnchor editAs="oneCell">
    <xdr:from>
      <xdr:col>22</xdr:col>
      <xdr:colOff>102420</xdr:colOff>
      <xdr:row>34</xdr:row>
      <xdr:rowOff>106875</xdr:rowOff>
    </xdr:from>
    <xdr:to>
      <xdr:col>25</xdr:col>
      <xdr:colOff>215081</xdr:colOff>
      <xdr:row>37</xdr:row>
      <xdr:rowOff>12813</xdr:rowOff>
    </xdr:to>
    <xdr:pic>
      <xdr:nvPicPr>
        <xdr:cNvPr id="2" name="Image 1">
          <a:extLst>
            <a:ext uri="{FF2B5EF4-FFF2-40B4-BE49-F238E27FC236}">
              <a16:creationId xmlns:a16="http://schemas.microsoft.com/office/drawing/2014/main" id="{E8DA25B1-6FA7-F401-95F6-9F8AB737E205}"/>
            </a:ext>
          </a:extLst>
        </xdr:cNvPr>
        <xdr:cNvPicPr>
          <a:picLocks noChangeAspect="1"/>
        </xdr:cNvPicPr>
      </xdr:nvPicPr>
      <xdr:blipFill>
        <a:blip xmlns:r="http://schemas.openxmlformats.org/officeDocument/2006/relationships" r:embed="rId4"/>
        <a:stretch>
          <a:fillRect/>
        </a:stretch>
      </xdr:blipFill>
      <xdr:spPr>
        <a:xfrm>
          <a:off x="7087420" y="7808810"/>
          <a:ext cx="1065161" cy="581906"/>
        </a:xfrm>
        <a:prstGeom prst="rect">
          <a:avLst/>
        </a:prstGeom>
      </xdr:spPr>
    </xdr:pic>
    <xdr:clientData/>
  </xdr:twoCellAnchor>
  <xdr:twoCellAnchor editAs="oneCell">
    <xdr:from>
      <xdr:col>7</xdr:col>
      <xdr:colOff>260212</xdr:colOff>
      <xdr:row>41</xdr:row>
      <xdr:rowOff>43760</xdr:rowOff>
    </xdr:from>
    <xdr:to>
      <xdr:col>12</xdr:col>
      <xdr:colOff>163875</xdr:colOff>
      <xdr:row>42</xdr:row>
      <xdr:rowOff>160050</xdr:rowOff>
    </xdr:to>
    <xdr:pic>
      <xdr:nvPicPr>
        <xdr:cNvPr id="4" name="Image 3">
          <a:extLst>
            <a:ext uri="{FF2B5EF4-FFF2-40B4-BE49-F238E27FC236}">
              <a16:creationId xmlns:a16="http://schemas.microsoft.com/office/drawing/2014/main" id="{1D0EAF33-B151-531B-D0F8-61633ECF8411}"/>
            </a:ext>
          </a:extLst>
        </xdr:cNvPr>
        <xdr:cNvPicPr>
          <a:picLocks noChangeAspect="1"/>
        </xdr:cNvPicPr>
      </xdr:nvPicPr>
      <xdr:blipFill>
        <a:blip xmlns:r="http://schemas.openxmlformats.org/officeDocument/2006/relationships" r:embed="rId5"/>
        <a:stretch>
          <a:fillRect/>
        </a:stretch>
      </xdr:blipFill>
      <xdr:spPr>
        <a:xfrm rot="16200000">
          <a:off x="3057488" y="8748178"/>
          <a:ext cx="341612" cy="1491163"/>
        </a:xfrm>
        <a:prstGeom prst="rect">
          <a:avLst/>
        </a:prstGeom>
      </xdr:spPr>
    </xdr:pic>
    <xdr:clientData/>
  </xdr:twoCellAnchor>
  <xdr:twoCellAnchor editAs="oneCell">
    <xdr:from>
      <xdr:col>38</xdr:col>
      <xdr:colOff>86098</xdr:colOff>
      <xdr:row>70</xdr:row>
      <xdr:rowOff>33518</xdr:rowOff>
    </xdr:from>
    <xdr:to>
      <xdr:col>40</xdr:col>
      <xdr:colOff>236563</xdr:colOff>
      <xdr:row>73</xdr:row>
      <xdr:rowOff>184355</xdr:rowOff>
    </xdr:to>
    <xdr:pic>
      <xdr:nvPicPr>
        <xdr:cNvPr id="6" name="Image 5">
          <a:extLst>
            <a:ext uri="{FF2B5EF4-FFF2-40B4-BE49-F238E27FC236}">
              <a16:creationId xmlns:a16="http://schemas.microsoft.com/office/drawing/2014/main" id="{6B0303C6-0537-2A84-9EDC-1E299A7644EC}"/>
            </a:ext>
          </a:extLst>
        </xdr:cNvPr>
        <xdr:cNvPicPr>
          <a:picLocks noChangeAspect="1"/>
        </xdr:cNvPicPr>
      </xdr:nvPicPr>
      <xdr:blipFill>
        <a:blip xmlns:r="http://schemas.openxmlformats.org/officeDocument/2006/relationships" r:embed="rId6"/>
        <a:stretch>
          <a:fillRect/>
        </a:stretch>
      </xdr:blipFill>
      <xdr:spPr>
        <a:xfrm>
          <a:off x="12151098" y="15847066"/>
          <a:ext cx="785465" cy="826805"/>
        </a:xfrm>
        <a:prstGeom prst="rect">
          <a:avLst/>
        </a:prstGeom>
      </xdr:spPr>
    </xdr:pic>
    <xdr:clientData/>
  </xdr:twoCellAnchor>
  <xdr:twoCellAnchor editAs="oneCell">
    <xdr:from>
      <xdr:col>5</xdr:col>
      <xdr:colOff>225323</xdr:colOff>
      <xdr:row>37</xdr:row>
      <xdr:rowOff>81935</xdr:rowOff>
    </xdr:from>
    <xdr:to>
      <xdr:col>7</xdr:col>
      <xdr:colOff>102420</xdr:colOff>
      <xdr:row>39</xdr:row>
      <xdr:rowOff>196103</xdr:rowOff>
    </xdr:to>
    <xdr:pic>
      <xdr:nvPicPr>
        <xdr:cNvPr id="7" name="Image 6">
          <a:extLst>
            <a:ext uri="{FF2B5EF4-FFF2-40B4-BE49-F238E27FC236}">
              <a16:creationId xmlns:a16="http://schemas.microsoft.com/office/drawing/2014/main" id="{DA85AB73-3F55-6BB9-2128-0962522EB201}"/>
            </a:ext>
          </a:extLst>
        </xdr:cNvPr>
        <xdr:cNvPicPr>
          <a:picLocks noChangeAspect="1"/>
        </xdr:cNvPicPr>
      </xdr:nvPicPr>
      <xdr:blipFill>
        <a:blip xmlns:r="http://schemas.openxmlformats.org/officeDocument/2006/relationships" r:embed="rId7"/>
        <a:stretch>
          <a:fillRect/>
        </a:stretch>
      </xdr:blipFill>
      <xdr:spPr>
        <a:xfrm>
          <a:off x="1812823" y="8459838"/>
          <a:ext cx="512097" cy="564813"/>
        </a:xfrm>
        <a:prstGeom prst="rect">
          <a:avLst/>
        </a:prstGeom>
      </xdr:spPr>
    </xdr:pic>
    <xdr:clientData/>
  </xdr:twoCellAnchor>
  <xdr:twoCellAnchor editAs="oneCell">
    <xdr:from>
      <xdr:col>5</xdr:col>
      <xdr:colOff>1</xdr:colOff>
      <xdr:row>43</xdr:row>
      <xdr:rowOff>154846</xdr:rowOff>
    </xdr:from>
    <xdr:to>
      <xdr:col>5</xdr:col>
      <xdr:colOff>286775</xdr:colOff>
      <xdr:row>51</xdr:row>
      <xdr:rowOff>95257</xdr:rowOff>
    </xdr:to>
    <xdr:pic>
      <xdr:nvPicPr>
        <xdr:cNvPr id="8" name="Image 7">
          <a:extLst>
            <a:ext uri="{FF2B5EF4-FFF2-40B4-BE49-F238E27FC236}">
              <a16:creationId xmlns:a16="http://schemas.microsoft.com/office/drawing/2014/main" id="{F71CA6B7-B1D6-503C-B028-165076A3A051}"/>
            </a:ext>
          </a:extLst>
        </xdr:cNvPr>
        <xdr:cNvPicPr>
          <a:picLocks noChangeAspect="1"/>
        </xdr:cNvPicPr>
      </xdr:nvPicPr>
      <xdr:blipFill>
        <a:blip xmlns:r="http://schemas.openxmlformats.org/officeDocument/2006/relationships" r:embed="rId8"/>
        <a:stretch>
          <a:fillRect/>
        </a:stretch>
      </xdr:blipFill>
      <xdr:spPr>
        <a:xfrm flipH="1">
          <a:off x="1587501" y="9884685"/>
          <a:ext cx="286774" cy="1742991"/>
        </a:xfrm>
        <a:prstGeom prst="rect">
          <a:avLst/>
        </a:prstGeom>
      </xdr:spPr>
    </xdr:pic>
    <xdr:clientData/>
  </xdr:twoCellAnchor>
  <xdr:twoCellAnchor editAs="oneCell">
    <xdr:from>
      <xdr:col>1</xdr:col>
      <xdr:colOff>92178</xdr:colOff>
      <xdr:row>55</xdr:row>
      <xdr:rowOff>40969</xdr:rowOff>
    </xdr:from>
    <xdr:to>
      <xdr:col>4</xdr:col>
      <xdr:colOff>165618</xdr:colOff>
      <xdr:row>61</xdr:row>
      <xdr:rowOff>10244</xdr:rowOff>
    </xdr:to>
    <xdr:pic>
      <xdr:nvPicPr>
        <xdr:cNvPr id="9" name="Image 8">
          <a:extLst>
            <a:ext uri="{FF2B5EF4-FFF2-40B4-BE49-F238E27FC236}">
              <a16:creationId xmlns:a16="http://schemas.microsoft.com/office/drawing/2014/main" id="{FB7F744F-CF18-A5A8-7083-633FF6C68ED0}"/>
            </a:ext>
          </a:extLst>
        </xdr:cNvPr>
        <xdr:cNvPicPr>
          <a:picLocks noChangeAspect="1"/>
        </xdr:cNvPicPr>
      </xdr:nvPicPr>
      <xdr:blipFill>
        <a:blip xmlns:r="http://schemas.openxmlformats.org/officeDocument/2006/relationships" r:embed="rId9"/>
        <a:stretch>
          <a:fillRect/>
        </a:stretch>
      </xdr:blipFill>
      <xdr:spPr>
        <a:xfrm>
          <a:off x="409678" y="12474679"/>
          <a:ext cx="1025940" cy="1321210"/>
        </a:xfrm>
        <a:prstGeom prst="rect">
          <a:avLst/>
        </a:prstGeom>
      </xdr:spPr>
    </xdr:pic>
    <xdr:clientData/>
  </xdr:twoCellAnchor>
  <xdr:twoCellAnchor editAs="oneCell">
    <xdr:from>
      <xdr:col>18</xdr:col>
      <xdr:colOff>133145</xdr:colOff>
      <xdr:row>20</xdr:row>
      <xdr:rowOff>112662</xdr:rowOff>
    </xdr:from>
    <xdr:to>
      <xdr:col>20</xdr:col>
      <xdr:colOff>73331</xdr:colOff>
      <xdr:row>23</xdr:row>
      <xdr:rowOff>51209</xdr:rowOff>
    </xdr:to>
    <xdr:pic>
      <xdr:nvPicPr>
        <xdr:cNvPr id="10" name="Image 9">
          <a:extLst>
            <a:ext uri="{FF2B5EF4-FFF2-40B4-BE49-F238E27FC236}">
              <a16:creationId xmlns:a16="http://schemas.microsoft.com/office/drawing/2014/main" id="{7E47AE24-8E85-F7F4-A5F5-393DC72B2C93}"/>
            </a:ext>
          </a:extLst>
        </xdr:cNvPr>
        <xdr:cNvPicPr>
          <a:picLocks noChangeAspect="1"/>
        </xdr:cNvPicPr>
      </xdr:nvPicPr>
      <xdr:blipFill>
        <a:blip xmlns:r="http://schemas.openxmlformats.org/officeDocument/2006/relationships" r:embed="rId10"/>
        <a:stretch>
          <a:fillRect/>
        </a:stretch>
      </xdr:blipFill>
      <xdr:spPr>
        <a:xfrm>
          <a:off x="5848145" y="4660081"/>
          <a:ext cx="575186" cy="614515"/>
        </a:xfrm>
        <a:prstGeom prst="rect">
          <a:avLst/>
        </a:prstGeom>
      </xdr:spPr>
    </xdr:pic>
    <xdr:clientData/>
  </xdr:twoCellAnchor>
  <xdr:twoCellAnchor editAs="oneCell">
    <xdr:from>
      <xdr:col>42</xdr:col>
      <xdr:colOff>71694</xdr:colOff>
      <xdr:row>50</xdr:row>
      <xdr:rowOff>81935</xdr:rowOff>
    </xdr:from>
    <xdr:to>
      <xdr:col>64</xdr:col>
      <xdr:colOff>126250</xdr:colOff>
      <xdr:row>52</xdr:row>
      <xdr:rowOff>88554</xdr:rowOff>
    </xdr:to>
    <xdr:pic>
      <xdr:nvPicPr>
        <xdr:cNvPr id="11" name="Image 10">
          <a:extLst>
            <a:ext uri="{FF2B5EF4-FFF2-40B4-BE49-F238E27FC236}">
              <a16:creationId xmlns:a16="http://schemas.microsoft.com/office/drawing/2014/main" id="{D3517A99-75A5-F346-D10F-C0B2D9E3BD2C}"/>
            </a:ext>
          </a:extLst>
        </xdr:cNvPr>
        <xdr:cNvPicPr>
          <a:picLocks noChangeAspect="1"/>
        </xdr:cNvPicPr>
      </xdr:nvPicPr>
      <xdr:blipFill>
        <a:blip xmlns:r="http://schemas.openxmlformats.org/officeDocument/2006/relationships" r:embed="rId11"/>
        <a:stretch>
          <a:fillRect/>
        </a:stretch>
      </xdr:blipFill>
      <xdr:spPr>
        <a:xfrm>
          <a:off x="13406694" y="11389032"/>
          <a:ext cx="6363588" cy="457264"/>
        </a:xfrm>
        <a:prstGeom prst="rect">
          <a:avLst/>
        </a:prstGeom>
      </xdr:spPr>
    </xdr:pic>
    <xdr:clientData/>
  </xdr:twoCellAnchor>
  <xdr:twoCellAnchor editAs="oneCell">
    <xdr:from>
      <xdr:col>29</xdr:col>
      <xdr:colOff>133145</xdr:colOff>
      <xdr:row>25</xdr:row>
      <xdr:rowOff>30726</xdr:rowOff>
    </xdr:from>
    <xdr:to>
      <xdr:col>30</xdr:col>
      <xdr:colOff>283297</xdr:colOff>
      <xdr:row>28</xdr:row>
      <xdr:rowOff>0</xdr:rowOff>
    </xdr:to>
    <xdr:pic>
      <xdr:nvPicPr>
        <xdr:cNvPr id="12" name="Image 11">
          <a:extLst>
            <a:ext uri="{FF2B5EF4-FFF2-40B4-BE49-F238E27FC236}">
              <a16:creationId xmlns:a16="http://schemas.microsoft.com/office/drawing/2014/main" id="{7A3C64C9-DFAE-DC7A-F167-BC46F1DE93DE}"/>
            </a:ext>
          </a:extLst>
        </xdr:cNvPr>
        <xdr:cNvPicPr>
          <a:picLocks noChangeAspect="1"/>
        </xdr:cNvPicPr>
      </xdr:nvPicPr>
      <xdr:blipFill>
        <a:blip xmlns:r="http://schemas.openxmlformats.org/officeDocument/2006/relationships" r:embed="rId12"/>
        <a:stretch>
          <a:fillRect/>
        </a:stretch>
      </xdr:blipFill>
      <xdr:spPr>
        <a:xfrm>
          <a:off x="9340645" y="5704758"/>
          <a:ext cx="467652" cy="645242"/>
        </a:xfrm>
        <a:prstGeom prst="rect">
          <a:avLst/>
        </a:prstGeom>
      </xdr:spPr>
    </xdr:pic>
    <xdr:clientData/>
  </xdr:twoCellAnchor>
  <xdr:twoCellAnchor editAs="oneCell">
    <xdr:from>
      <xdr:col>22</xdr:col>
      <xdr:colOff>184356</xdr:colOff>
      <xdr:row>16</xdr:row>
      <xdr:rowOff>92177</xdr:rowOff>
    </xdr:from>
    <xdr:to>
      <xdr:col>24</xdr:col>
      <xdr:colOff>204002</xdr:colOff>
      <xdr:row>20</xdr:row>
      <xdr:rowOff>0</xdr:rowOff>
    </xdr:to>
    <xdr:pic>
      <xdr:nvPicPr>
        <xdr:cNvPr id="14" name="Image 13">
          <a:extLst>
            <a:ext uri="{FF2B5EF4-FFF2-40B4-BE49-F238E27FC236}">
              <a16:creationId xmlns:a16="http://schemas.microsoft.com/office/drawing/2014/main" id="{2B1E3B44-C0BF-2A14-AF8C-C189995CFEE4}"/>
            </a:ext>
          </a:extLst>
        </xdr:cNvPr>
        <xdr:cNvPicPr>
          <a:picLocks noChangeAspect="1"/>
        </xdr:cNvPicPr>
      </xdr:nvPicPr>
      <xdr:blipFill>
        <a:blip xmlns:r="http://schemas.openxmlformats.org/officeDocument/2006/relationships" r:embed="rId13"/>
        <a:stretch>
          <a:fillRect/>
        </a:stretch>
      </xdr:blipFill>
      <xdr:spPr>
        <a:xfrm>
          <a:off x="7169356" y="3738306"/>
          <a:ext cx="654646" cy="809113"/>
        </a:xfrm>
        <a:prstGeom prst="rect">
          <a:avLst/>
        </a:prstGeom>
      </xdr:spPr>
    </xdr:pic>
    <xdr:clientData/>
  </xdr:twoCellAnchor>
  <xdr:twoCellAnchor editAs="oneCell">
    <xdr:from>
      <xdr:col>22</xdr:col>
      <xdr:colOff>109816</xdr:colOff>
      <xdr:row>23</xdr:row>
      <xdr:rowOff>92178</xdr:rowOff>
    </xdr:from>
    <xdr:to>
      <xdr:col>24</xdr:col>
      <xdr:colOff>80923</xdr:colOff>
      <xdr:row>25</xdr:row>
      <xdr:rowOff>80740</xdr:rowOff>
    </xdr:to>
    <xdr:pic>
      <xdr:nvPicPr>
        <xdr:cNvPr id="15" name="Image 14">
          <a:extLst>
            <a:ext uri="{FF2B5EF4-FFF2-40B4-BE49-F238E27FC236}">
              <a16:creationId xmlns:a16="http://schemas.microsoft.com/office/drawing/2014/main" id="{3D21A50E-58D2-8E9B-44E6-0C774833EE9B}"/>
            </a:ext>
          </a:extLst>
        </xdr:cNvPr>
        <xdr:cNvPicPr>
          <a:picLocks noChangeAspect="1"/>
        </xdr:cNvPicPr>
      </xdr:nvPicPr>
      <xdr:blipFill>
        <a:blip xmlns:r="http://schemas.openxmlformats.org/officeDocument/2006/relationships" r:embed="rId14"/>
        <a:stretch>
          <a:fillRect/>
        </a:stretch>
      </xdr:blipFill>
      <xdr:spPr>
        <a:xfrm>
          <a:off x="7094816" y="5401484"/>
          <a:ext cx="606107" cy="447173"/>
        </a:xfrm>
        <a:prstGeom prst="rect">
          <a:avLst/>
        </a:prstGeom>
      </xdr:spPr>
    </xdr:pic>
    <xdr:clientData/>
  </xdr:twoCellAnchor>
  <xdr:twoCellAnchor editAs="oneCell">
    <xdr:from>
      <xdr:col>54</xdr:col>
      <xdr:colOff>194597</xdr:colOff>
      <xdr:row>1</xdr:row>
      <xdr:rowOff>51210</xdr:rowOff>
    </xdr:from>
    <xdr:to>
      <xdr:col>58</xdr:col>
      <xdr:colOff>225322</xdr:colOff>
      <xdr:row>3</xdr:row>
      <xdr:rowOff>158839</xdr:rowOff>
    </xdr:to>
    <xdr:pic>
      <xdr:nvPicPr>
        <xdr:cNvPr id="16" name="Image 15">
          <a:extLst>
            <a:ext uri="{FF2B5EF4-FFF2-40B4-BE49-F238E27FC236}">
              <a16:creationId xmlns:a16="http://schemas.microsoft.com/office/drawing/2014/main" id="{7ADE08CE-3B31-195F-CB00-63FD33194E72}"/>
            </a:ext>
          </a:extLst>
        </xdr:cNvPr>
        <xdr:cNvPicPr>
          <a:picLocks noChangeAspect="1"/>
        </xdr:cNvPicPr>
      </xdr:nvPicPr>
      <xdr:blipFill>
        <a:blip xmlns:r="http://schemas.openxmlformats.org/officeDocument/2006/relationships" r:embed="rId15"/>
        <a:stretch>
          <a:fillRect/>
        </a:stretch>
      </xdr:blipFill>
      <xdr:spPr>
        <a:xfrm>
          <a:off x="16970887" y="276533"/>
          <a:ext cx="1177822" cy="558274"/>
        </a:xfrm>
        <a:prstGeom prst="rect">
          <a:avLst/>
        </a:prstGeom>
      </xdr:spPr>
    </xdr:pic>
    <xdr:clientData/>
  </xdr:twoCellAnchor>
  <xdr:twoCellAnchor editAs="oneCell">
    <xdr:from>
      <xdr:col>32</xdr:col>
      <xdr:colOff>71695</xdr:colOff>
      <xdr:row>68</xdr:row>
      <xdr:rowOff>130582</xdr:rowOff>
    </xdr:from>
    <xdr:to>
      <xdr:col>34</xdr:col>
      <xdr:colOff>20485</xdr:colOff>
      <xdr:row>70</xdr:row>
      <xdr:rowOff>197815</xdr:rowOff>
    </xdr:to>
    <xdr:pic>
      <xdr:nvPicPr>
        <xdr:cNvPr id="17" name="Image 16">
          <a:extLst>
            <a:ext uri="{FF2B5EF4-FFF2-40B4-BE49-F238E27FC236}">
              <a16:creationId xmlns:a16="http://schemas.microsoft.com/office/drawing/2014/main" id="{AA9B9045-17A6-EA21-08B9-7CA4776BDF5E}"/>
            </a:ext>
          </a:extLst>
        </xdr:cNvPr>
        <xdr:cNvPicPr>
          <a:picLocks noChangeAspect="1"/>
        </xdr:cNvPicPr>
      </xdr:nvPicPr>
      <xdr:blipFill>
        <a:blip xmlns:r="http://schemas.openxmlformats.org/officeDocument/2006/relationships" r:embed="rId16"/>
        <a:stretch>
          <a:fillRect/>
        </a:stretch>
      </xdr:blipFill>
      <xdr:spPr>
        <a:xfrm>
          <a:off x="10231695" y="15493485"/>
          <a:ext cx="583790" cy="517878"/>
        </a:xfrm>
        <a:prstGeom prst="rect">
          <a:avLst/>
        </a:prstGeom>
      </xdr:spPr>
    </xdr:pic>
    <xdr:clientData/>
  </xdr:twoCellAnchor>
  <xdr:twoCellAnchor editAs="oneCell">
    <xdr:from>
      <xdr:col>1</xdr:col>
      <xdr:colOff>102419</xdr:colOff>
      <xdr:row>66</xdr:row>
      <xdr:rowOff>30726</xdr:rowOff>
    </xdr:from>
    <xdr:to>
      <xdr:col>3</xdr:col>
      <xdr:colOff>48525</xdr:colOff>
      <xdr:row>69</xdr:row>
      <xdr:rowOff>21601</xdr:rowOff>
    </xdr:to>
    <xdr:pic>
      <xdr:nvPicPr>
        <xdr:cNvPr id="18" name="Image 17">
          <a:extLst>
            <a:ext uri="{FF2B5EF4-FFF2-40B4-BE49-F238E27FC236}">
              <a16:creationId xmlns:a16="http://schemas.microsoft.com/office/drawing/2014/main" id="{AC4A8FB1-EAC1-4BF7-0207-55DE22825C07}"/>
            </a:ext>
          </a:extLst>
        </xdr:cNvPr>
        <xdr:cNvPicPr>
          <a:picLocks noChangeAspect="1"/>
        </xdr:cNvPicPr>
      </xdr:nvPicPr>
      <xdr:blipFill>
        <a:blip xmlns:r="http://schemas.openxmlformats.org/officeDocument/2006/relationships" r:embed="rId17"/>
        <a:stretch>
          <a:fillRect/>
        </a:stretch>
      </xdr:blipFill>
      <xdr:spPr>
        <a:xfrm>
          <a:off x="419919" y="14942984"/>
          <a:ext cx="581106" cy="666843"/>
        </a:xfrm>
        <a:prstGeom prst="rect">
          <a:avLst/>
        </a:prstGeom>
      </xdr:spPr>
    </xdr:pic>
    <xdr:clientData/>
  </xdr:twoCellAnchor>
  <xdr:twoCellAnchor editAs="oneCell">
    <xdr:from>
      <xdr:col>10</xdr:col>
      <xdr:colOff>307260</xdr:colOff>
      <xdr:row>1</xdr:row>
      <xdr:rowOff>51209</xdr:rowOff>
    </xdr:from>
    <xdr:to>
      <xdr:col>11</xdr:col>
      <xdr:colOff>251499</xdr:colOff>
      <xdr:row>2</xdr:row>
      <xdr:rowOff>30726</xdr:rowOff>
    </xdr:to>
    <xdr:pic>
      <xdr:nvPicPr>
        <xdr:cNvPr id="19" name="Image 18">
          <a:extLst>
            <a:ext uri="{FF2B5EF4-FFF2-40B4-BE49-F238E27FC236}">
              <a16:creationId xmlns:a16="http://schemas.microsoft.com/office/drawing/2014/main" id="{BDDC2E6C-AFAF-FF3E-CB8C-FFB01B8C9F80}"/>
            </a:ext>
          </a:extLst>
        </xdr:cNvPr>
        <xdr:cNvPicPr>
          <a:picLocks noChangeAspect="1"/>
        </xdr:cNvPicPr>
      </xdr:nvPicPr>
      <xdr:blipFill>
        <a:blip xmlns:r="http://schemas.openxmlformats.org/officeDocument/2006/relationships" r:embed="rId18"/>
        <a:stretch>
          <a:fillRect/>
        </a:stretch>
      </xdr:blipFill>
      <xdr:spPr>
        <a:xfrm>
          <a:off x="3482260" y="276532"/>
          <a:ext cx="261739" cy="204839"/>
        </a:xfrm>
        <a:prstGeom prst="rect">
          <a:avLst/>
        </a:prstGeom>
      </xdr:spPr>
    </xdr:pic>
    <xdr:clientData/>
  </xdr:twoCellAnchor>
  <xdr:twoCellAnchor editAs="oneCell">
    <xdr:from>
      <xdr:col>1</xdr:col>
      <xdr:colOff>39741</xdr:colOff>
      <xdr:row>1</xdr:row>
      <xdr:rowOff>39738</xdr:rowOff>
    </xdr:from>
    <xdr:to>
      <xdr:col>1</xdr:col>
      <xdr:colOff>301480</xdr:colOff>
      <xdr:row>2</xdr:row>
      <xdr:rowOff>19255</xdr:rowOff>
    </xdr:to>
    <xdr:pic>
      <xdr:nvPicPr>
        <xdr:cNvPr id="20" name="Image 19">
          <a:extLst>
            <a:ext uri="{FF2B5EF4-FFF2-40B4-BE49-F238E27FC236}">
              <a16:creationId xmlns:a16="http://schemas.microsoft.com/office/drawing/2014/main" id="{FCCB6847-F23A-47AD-8136-6BEA0C32F14C}"/>
            </a:ext>
          </a:extLst>
        </xdr:cNvPr>
        <xdr:cNvPicPr>
          <a:picLocks noChangeAspect="1"/>
        </xdr:cNvPicPr>
      </xdr:nvPicPr>
      <xdr:blipFill>
        <a:blip xmlns:r="http://schemas.openxmlformats.org/officeDocument/2006/relationships" r:embed="rId18"/>
        <a:stretch>
          <a:fillRect/>
        </a:stretch>
      </xdr:blipFill>
      <xdr:spPr>
        <a:xfrm>
          <a:off x="357241" y="265061"/>
          <a:ext cx="261739" cy="20483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0</xdr:colOff>
      <xdr:row>2</xdr:row>
      <xdr:rowOff>0</xdr:rowOff>
    </xdr:from>
    <xdr:to>
      <xdr:col>2</xdr:col>
      <xdr:colOff>9525</xdr:colOff>
      <xdr:row>2</xdr:row>
      <xdr:rowOff>9525</xdr:rowOff>
    </xdr:to>
    <xdr:pic>
      <xdr:nvPicPr>
        <xdr:cNvPr id="2" name="Image 1" descr="Générique">
          <a:extLst>
            <a:ext uri="{FF2B5EF4-FFF2-40B4-BE49-F238E27FC236}">
              <a16:creationId xmlns:a16="http://schemas.microsoft.com/office/drawing/2014/main" id="{D031AFCB-9FA8-22CC-E1F6-D1629B9472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81275" y="3810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0</xdr:colOff>
      <xdr:row>22</xdr:row>
      <xdr:rowOff>0</xdr:rowOff>
    </xdr:from>
    <xdr:ext cx="9525" cy="9525"/>
    <xdr:pic>
      <xdr:nvPicPr>
        <xdr:cNvPr id="3" name="Image 2" descr="Générique">
          <a:extLst>
            <a:ext uri="{FF2B5EF4-FFF2-40B4-BE49-F238E27FC236}">
              <a16:creationId xmlns:a16="http://schemas.microsoft.com/office/drawing/2014/main" id="{96BCE334-4409-416E-93AC-4716BBAEDF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04038" y="769327"/>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22</xdr:row>
      <xdr:rowOff>0</xdr:rowOff>
    </xdr:from>
    <xdr:ext cx="9525" cy="9525"/>
    <xdr:pic>
      <xdr:nvPicPr>
        <xdr:cNvPr id="4" name="Image 3" descr="Générique">
          <a:extLst>
            <a:ext uri="{FF2B5EF4-FFF2-40B4-BE49-F238E27FC236}">
              <a16:creationId xmlns:a16="http://schemas.microsoft.com/office/drawing/2014/main" id="{F31CEC8B-E420-4A21-A05E-CEC86D415F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03176" y="476250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persons/person.xml><?xml version="1.0" encoding="utf-8"?>
<personList xmlns="http://schemas.microsoft.com/office/spreadsheetml/2018/threadedcomments" xmlns:x="http://schemas.openxmlformats.org/spreadsheetml/2006/main">
  <person displayName="Etienne Genin" id="{D93BBA7F-0F8D-42DE-B692-0D63034FE397}" userId="853cba57b2a55a1f" providerId="Windows Live"/>
</personList>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N30" dT="2023-02-20T15:48:17.67" personId="{D93BBA7F-0F8D-42DE-B692-0D63034FE397}" id="{AF941982-EA07-46B9-8E4A-EEA2AE327ADE}">
    <text>Baguettes / Sorts</text>
  </threadedComment>
  <threadedComment ref="AO30" dT="2023-02-20T15:49:23.37" personId="{D93BBA7F-0F8D-42DE-B692-0D63034FE397}" id="{6C350D04-B190-4A69-8406-478CD2E0E979}">
    <text>Pétrif / Souffle</text>
  </threadedComment>
  <threadedComment ref="S44" dT="2023-02-19T23:05:20.88" personId="{D93BBA7F-0F8D-42DE-B692-0D63034FE397}" id="{06441B83-7354-462E-809B-0C167D56E072}">
    <text>S : Spécialisation Guerrier / Rodeur
P : Prédilection Paladin / Cavalier</text>
  </threadedComment>
</ThreadedComments>
</file>

<file path=xl/threadedComments/threadedComment2.xml><?xml version="1.0" encoding="utf-8"?>
<ThreadedComments xmlns="http://schemas.microsoft.com/office/spreadsheetml/2018/threadedcomments" xmlns:x="http://schemas.openxmlformats.org/spreadsheetml/2006/main">
  <threadedComment ref="U31" dT="2023-02-20T15:05:44.61" personId="{D93BBA7F-0F8D-42DE-B692-0D63034FE397}" id="{8E9F28F8-92CC-4B8E-879D-5F072CCB0D2D}">
    <text>2 dans les règles officielles AD&amp;D</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8" Type="http://schemas.openxmlformats.org/officeDocument/2006/relationships/hyperlink" Target="https://www.donjondudragon.fr/drs/ad-d/races/515765-gnome-de-la-surface.html" TargetMode="External"/><Relationship Id="rId13" Type="http://schemas.openxmlformats.org/officeDocument/2006/relationships/hyperlink" Target="https://www.donjondudragon.fr/drs/ad-d/races/515769-nain-des-montagnes.html" TargetMode="External"/><Relationship Id="rId18" Type="http://schemas.openxmlformats.org/officeDocument/2006/relationships/vmlDrawing" Target="../drawings/vmlDrawing2.vml"/><Relationship Id="rId3" Type="http://schemas.openxmlformats.org/officeDocument/2006/relationships/hyperlink" Target="https://www.donjondudragon.fr/drs/ad-d/races/515763-elfe-de-la-vall%C3%A9e.html" TargetMode="External"/><Relationship Id="rId7" Type="http://schemas.openxmlformats.org/officeDocument/2006/relationships/hyperlink" Target="https://www.donjondudragon.fr/drs/ad-d/races/515762-elfe-sauvage.html" TargetMode="External"/><Relationship Id="rId12" Type="http://schemas.openxmlformats.org/officeDocument/2006/relationships/hyperlink" Target="https://www.donjondudragon.fr/drs/ad-d/races/515768-nain-des-collines.html" TargetMode="External"/><Relationship Id="rId17" Type="http://schemas.openxmlformats.org/officeDocument/2006/relationships/drawing" Target="../drawings/drawing3.xml"/><Relationship Id="rId2" Type="http://schemas.openxmlformats.org/officeDocument/2006/relationships/hyperlink" Target="https://www.donjondudragon.fr/drs/ad-d/races/515758-demi-orque.html" TargetMode="External"/><Relationship Id="rId16" Type="http://schemas.openxmlformats.org/officeDocument/2006/relationships/printerSettings" Target="../printerSettings/printerSettings3.bin"/><Relationship Id="rId20" Type="http://schemas.microsoft.com/office/2017/10/relationships/threadedComment" Target="../threadedComments/threadedComment2.xml"/><Relationship Id="rId1" Type="http://schemas.openxmlformats.org/officeDocument/2006/relationships/hyperlink" Target="https://www.donjondudragon.fr/drs/ad-d/races/515757-demi-elfe.html" TargetMode="External"/><Relationship Id="rId6" Type="http://schemas.openxmlformats.org/officeDocument/2006/relationships/hyperlink" Target="https://www.donjondudragon.fr/drs/ad-d/races/515761-elfe-noir.html" TargetMode="External"/><Relationship Id="rId11" Type="http://schemas.openxmlformats.org/officeDocument/2006/relationships/hyperlink" Target="https://www.donjondudragon.fr/drs/ad-d/races/515767-humain.html" TargetMode="External"/><Relationship Id="rId5" Type="http://schemas.openxmlformats.org/officeDocument/2006/relationships/hyperlink" Target="https://www.donjondudragon.fr/drs/ad-d/races/515760-elfe-gris.html" TargetMode="External"/><Relationship Id="rId15" Type="http://schemas.openxmlformats.org/officeDocument/2006/relationships/hyperlink" Target="https://www.donjondudragon.fr/drs/ad-d/races/515771-petite-gens.html" TargetMode="External"/><Relationship Id="rId10" Type="http://schemas.openxmlformats.org/officeDocument/2006/relationships/hyperlink" Target="https://www.donjondudragon.fr/drs/ad-d/races/515764-haut-elfe.html" TargetMode="External"/><Relationship Id="rId19" Type="http://schemas.openxmlformats.org/officeDocument/2006/relationships/comments" Target="../comments2.xml"/><Relationship Id="rId4" Type="http://schemas.openxmlformats.org/officeDocument/2006/relationships/hyperlink" Target="https://www.donjondudragon.fr/drs/ad-d/races/515759-elfe-des-bois.html" TargetMode="External"/><Relationship Id="rId9" Type="http://schemas.openxmlformats.org/officeDocument/2006/relationships/hyperlink" Target="https://www.donjondudragon.fr/drs/ad-d/races/515766-gnome-des-profondeurs.html" TargetMode="External"/><Relationship Id="rId14" Type="http://schemas.openxmlformats.org/officeDocument/2006/relationships/hyperlink" Target="https://www.donjondudragon.fr/drs/ad-d/races/515770-nain-gris.html"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https://www.donjondudragon.fr/drs/ad-d/221-classes/517066-illusionniste.html" TargetMode="External"/><Relationship Id="rId13" Type="http://schemas.openxmlformats.org/officeDocument/2006/relationships/hyperlink" Target="https://www.donjondudragon.fr/drs/ad-d/221-classes/517072-voleur-acrobate.html" TargetMode="External"/><Relationship Id="rId3" Type="http://schemas.openxmlformats.org/officeDocument/2006/relationships/hyperlink" Target="https://www.donjondudragon.fr/drs/ad-d/221-classes/517060-barbare.html" TargetMode="External"/><Relationship Id="rId7" Type="http://schemas.openxmlformats.org/officeDocument/2006/relationships/hyperlink" Target="https://www.donjondudragon.fr/drs/ad-d/221-classes/517065-guerrier.html" TargetMode="External"/><Relationship Id="rId12" Type="http://schemas.openxmlformats.org/officeDocument/2006/relationships/hyperlink" Target="https://www.donjondudragon.fr/drs/ad-d/221-classes/517070-ranger.html" TargetMode="External"/><Relationship Id="rId2" Type="http://schemas.openxmlformats.org/officeDocument/2006/relationships/hyperlink" Target="https://www.donjondudragon.fr/drs/ad-d/221-classes/517059-assassin.html" TargetMode="External"/><Relationship Id="rId1" Type="http://schemas.openxmlformats.org/officeDocument/2006/relationships/hyperlink" Target="https://www.donjondudragon.fr/drs/ad-d/221-classes/517063-clerc.html" TargetMode="External"/><Relationship Id="rId6" Type="http://schemas.openxmlformats.org/officeDocument/2006/relationships/hyperlink" Target="https://www.donjondudragon.fr/drs/ad-d/221-classes/517064-druide.html" TargetMode="External"/><Relationship Id="rId11" Type="http://schemas.openxmlformats.org/officeDocument/2006/relationships/hyperlink" Target="https://www.donjondudragon.fr/drs/ad-d/221-classes/517069-paladin.html" TargetMode="External"/><Relationship Id="rId5" Type="http://schemas.openxmlformats.org/officeDocument/2006/relationships/hyperlink" Target="https://www.donjondudragon.fr/drs/ad-d/221-classes/517062-cavalier.html" TargetMode="External"/><Relationship Id="rId15" Type="http://schemas.openxmlformats.org/officeDocument/2006/relationships/printerSettings" Target="../printerSettings/printerSettings4.bin"/><Relationship Id="rId10" Type="http://schemas.openxmlformats.org/officeDocument/2006/relationships/hyperlink" Target="https://www.donjondudragon.fr/drs/ad-d/221-classes/517068-moine.html" TargetMode="External"/><Relationship Id="rId4" Type="http://schemas.openxmlformats.org/officeDocument/2006/relationships/hyperlink" Target="https://www.donjondudragon.fr/drs/ad-d/221-classes/517061-barde.html" TargetMode="External"/><Relationship Id="rId9" Type="http://schemas.openxmlformats.org/officeDocument/2006/relationships/hyperlink" Target="https://www.donjondudragon.fr/drs/ad-d/221-classes/517067-magicien.html" TargetMode="External"/><Relationship Id="rId14" Type="http://schemas.openxmlformats.org/officeDocument/2006/relationships/hyperlink" Target="https://www.donjondudragon.fr/drs/ad-d/221-classes/517070-ranger.html"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hyperlink" Target="https://www.donjondudragon.fr/drs/ad-d/sorts/6818-b%C3%A9n%C3%A9diction.html" TargetMode="External"/><Relationship Id="rId2" Type="http://schemas.openxmlformats.org/officeDocument/2006/relationships/hyperlink" Target="https://www.donjondudragon.fr/drs/ad-d/sorts/6817-aquagen%C3%A8se-2.html" TargetMode="External"/><Relationship Id="rId1" Type="http://schemas.openxmlformats.org/officeDocument/2006/relationships/hyperlink" Target="https://www.donjondudragon.fr/drs/ad-d/sorts/6816-apaisement.html" TargetMode="External"/><Relationship Id="rId4"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37"/>
  <sheetViews>
    <sheetView showGridLines="0" zoomScale="85" zoomScaleNormal="85" workbookViewId="0">
      <selection activeCell="C9" sqref="C9:C16"/>
    </sheetView>
  </sheetViews>
  <sheetFormatPr baseColWidth="10" defaultColWidth="10.7109375" defaultRowHeight="15" x14ac:dyDescent="0.25"/>
  <cols>
    <col min="1" max="1" width="7.28515625" customWidth="1"/>
  </cols>
  <sheetData>
    <row r="1" spans="1:14" ht="21" x14ac:dyDescent="0.4">
      <c r="A1" s="568" t="s">
        <v>1273</v>
      </c>
      <c r="B1" s="568"/>
      <c r="C1" s="568"/>
      <c r="D1" s="568"/>
      <c r="E1" s="568"/>
      <c r="F1" s="568"/>
      <c r="G1" s="568"/>
      <c r="H1" s="568"/>
      <c r="I1" s="568"/>
    </row>
    <row r="2" spans="1:14" ht="19.5" x14ac:dyDescent="0.4">
      <c r="A2" s="14" t="s">
        <v>328</v>
      </c>
      <c r="B2" s="3"/>
      <c r="C2" s="3"/>
      <c r="D2" s="3"/>
      <c r="E2" s="3"/>
      <c r="F2" s="3"/>
      <c r="G2" s="3"/>
      <c r="H2" s="3"/>
      <c r="I2" s="3"/>
    </row>
    <row r="3" spans="1:14" s="3" customFormat="1" ht="16.5" x14ac:dyDescent="0.3">
      <c r="A3" s="3" t="s">
        <v>1888</v>
      </c>
    </row>
    <row r="4" spans="1:14" s="3" customFormat="1" ht="17.25" x14ac:dyDescent="0.35">
      <c r="B4" s="16" t="s">
        <v>1890</v>
      </c>
    </row>
    <row r="5" spans="1:14" ht="16.5" x14ac:dyDescent="0.35">
      <c r="B5" s="16" t="s">
        <v>1873</v>
      </c>
    </row>
    <row r="6" spans="1:14" s="3" customFormat="1" ht="16.5" x14ac:dyDescent="0.3">
      <c r="A6" s="3" t="s">
        <v>1872</v>
      </c>
    </row>
    <row r="7" spans="1:14" ht="16.5" x14ac:dyDescent="0.3">
      <c r="A7" s="3"/>
      <c r="B7" s="3"/>
      <c r="C7" s="3"/>
      <c r="D7" s="3"/>
      <c r="E7" s="3"/>
      <c r="F7" s="3"/>
      <c r="G7" s="3"/>
      <c r="H7" s="3"/>
      <c r="I7" s="3"/>
    </row>
    <row r="8" spans="1:14" ht="16.5" x14ac:dyDescent="0.3">
      <c r="A8" s="3"/>
      <c r="B8" s="15" t="s">
        <v>332</v>
      </c>
      <c r="C8" s="3"/>
      <c r="D8" s="3"/>
      <c r="E8" s="3"/>
      <c r="F8" s="3"/>
      <c r="G8" s="3"/>
      <c r="H8" s="3"/>
      <c r="I8" s="3"/>
    </row>
    <row r="9" spans="1:14" ht="16.5" x14ac:dyDescent="0.3">
      <c r="A9" s="3"/>
      <c r="B9" s="3"/>
      <c r="C9" s="506" t="s">
        <v>1874</v>
      </c>
      <c r="D9" s="3"/>
      <c r="E9" s="3"/>
      <c r="F9" s="3"/>
      <c r="G9" s="3"/>
      <c r="H9" s="3"/>
      <c r="I9" s="3"/>
    </row>
    <row r="10" spans="1:14" ht="18.75" x14ac:dyDescent="0.4">
      <c r="A10" s="3"/>
      <c r="B10" s="3"/>
      <c r="C10" s="506" t="s">
        <v>1887</v>
      </c>
      <c r="D10" s="3"/>
      <c r="E10" s="3"/>
      <c r="F10" s="3"/>
      <c r="G10" s="3"/>
      <c r="H10" s="3"/>
      <c r="I10" s="3"/>
      <c r="N10" s="539" t="s">
        <v>1878</v>
      </c>
    </row>
    <row r="11" spans="1:14" ht="16.5" x14ac:dyDescent="0.3">
      <c r="A11" s="3"/>
      <c r="B11" s="3"/>
      <c r="C11" s="506" t="s">
        <v>1875</v>
      </c>
      <c r="D11" s="3"/>
      <c r="E11" s="3"/>
      <c r="F11" s="3"/>
      <c r="G11" s="3"/>
      <c r="H11" s="3"/>
      <c r="I11" s="3"/>
      <c r="N11" s="539" t="s">
        <v>1879</v>
      </c>
    </row>
    <row r="12" spans="1:14" ht="16.5" x14ac:dyDescent="0.3">
      <c r="A12" s="3"/>
      <c r="B12" s="3"/>
      <c r="C12" s="506" t="s">
        <v>1876</v>
      </c>
      <c r="D12" s="3"/>
      <c r="E12" s="3"/>
      <c r="F12" s="3"/>
      <c r="G12" s="3"/>
      <c r="H12" s="3"/>
      <c r="I12" s="3"/>
    </row>
    <row r="13" spans="1:14" ht="16.5" x14ac:dyDescent="0.3">
      <c r="A13" s="3"/>
      <c r="B13" s="3"/>
      <c r="C13" s="506" t="s">
        <v>1856</v>
      </c>
      <c r="D13" s="3"/>
      <c r="E13" s="3"/>
      <c r="F13" s="3"/>
      <c r="G13" s="3"/>
      <c r="H13" s="3"/>
      <c r="I13" s="3"/>
    </row>
    <row r="14" spans="1:14" ht="16.5" x14ac:dyDescent="0.3">
      <c r="A14" s="3"/>
      <c r="B14" s="3"/>
      <c r="C14" s="506" t="s">
        <v>1877</v>
      </c>
      <c r="D14" s="3"/>
      <c r="E14" s="3"/>
      <c r="F14" s="3"/>
      <c r="G14" s="3"/>
      <c r="H14" s="3"/>
      <c r="I14" s="3"/>
    </row>
    <row r="15" spans="1:14" ht="16.5" x14ac:dyDescent="0.3">
      <c r="A15" s="3"/>
      <c r="B15" s="3"/>
      <c r="C15" s="506" t="s">
        <v>1860</v>
      </c>
      <c r="D15" s="3"/>
      <c r="E15" s="3"/>
      <c r="F15" s="3"/>
      <c r="G15" s="3"/>
      <c r="H15" s="3"/>
      <c r="I15" s="3"/>
    </row>
    <row r="16" spans="1:14" ht="16.5" x14ac:dyDescent="0.3">
      <c r="A16" s="3"/>
      <c r="B16" s="3"/>
      <c r="C16" s="506" t="s">
        <v>1881</v>
      </c>
      <c r="D16" s="3"/>
      <c r="E16" s="3"/>
      <c r="F16" s="3"/>
      <c r="G16" s="3"/>
      <c r="H16" s="3"/>
      <c r="I16" s="3"/>
    </row>
    <row r="17" spans="1:9" ht="16.5" x14ac:dyDescent="0.3">
      <c r="A17" s="3"/>
      <c r="B17" s="3"/>
      <c r="C17" s="3"/>
      <c r="D17" s="3"/>
      <c r="E17" s="3"/>
      <c r="F17" s="3"/>
      <c r="G17" s="3"/>
      <c r="H17" s="3"/>
      <c r="I17" s="3"/>
    </row>
    <row r="18" spans="1:9" ht="16.5" x14ac:dyDescent="0.3">
      <c r="A18" s="3"/>
      <c r="B18" s="15" t="s">
        <v>329</v>
      </c>
      <c r="C18" s="3"/>
      <c r="D18" s="3"/>
      <c r="E18" s="3"/>
      <c r="F18" s="3"/>
      <c r="G18" s="3"/>
      <c r="H18" s="3"/>
      <c r="I18" s="3"/>
    </row>
    <row r="19" spans="1:9" ht="16.5" x14ac:dyDescent="0.3">
      <c r="A19" s="3"/>
      <c r="B19" s="3"/>
      <c r="C19" s="3" t="s">
        <v>331</v>
      </c>
      <c r="F19" s="2"/>
      <c r="G19" s="3"/>
      <c r="H19" s="3"/>
      <c r="I19" s="3"/>
    </row>
    <row r="20" spans="1:9" ht="16.5" x14ac:dyDescent="0.3">
      <c r="A20" s="3"/>
      <c r="B20" s="3"/>
      <c r="C20" s="3"/>
      <c r="D20" s="3"/>
      <c r="F20" s="3"/>
      <c r="G20" s="3"/>
      <c r="H20" s="3"/>
      <c r="I20" s="3"/>
    </row>
    <row r="21" spans="1:9" ht="16.5" x14ac:dyDescent="0.3">
      <c r="A21" s="3"/>
      <c r="B21" s="15" t="s">
        <v>1870</v>
      </c>
      <c r="C21" s="3"/>
      <c r="D21" s="3"/>
      <c r="F21" s="3"/>
      <c r="G21" s="3"/>
      <c r="H21" s="3"/>
      <c r="I21" s="3"/>
    </row>
    <row r="22" spans="1:9" ht="16.5" x14ac:dyDescent="0.3">
      <c r="A22" s="3"/>
      <c r="B22" s="3"/>
      <c r="C22" s="3" t="s">
        <v>331</v>
      </c>
      <c r="F22" s="537"/>
      <c r="G22" s="3"/>
      <c r="H22" s="3"/>
      <c r="I22" s="3"/>
    </row>
    <row r="23" spans="1:9" ht="16.5" x14ac:dyDescent="0.3">
      <c r="A23" s="3"/>
      <c r="B23" s="3"/>
      <c r="C23" s="3"/>
      <c r="D23" s="3"/>
      <c r="F23" s="3"/>
      <c r="G23" s="3"/>
      <c r="H23" s="3"/>
      <c r="I23" s="3"/>
    </row>
    <row r="24" spans="1:9" ht="16.5" x14ac:dyDescent="0.3">
      <c r="A24" s="3"/>
      <c r="B24" s="15" t="s">
        <v>1871</v>
      </c>
      <c r="C24" s="3"/>
      <c r="D24" s="3"/>
      <c r="F24" s="3"/>
      <c r="G24" s="3"/>
      <c r="H24" s="3"/>
      <c r="I24" s="3"/>
    </row>
    <row r="25" spans="1:9" ht="16.5" x14ac:dyDescent="0.3">
      <c r="A25" s="3"/>
      <c r="B25" s="15"/>
      <c r="C25" s="3" t="s">
        <v>331</v>
      </c>
      <c r="D25" s="3"/>
      <c r="F25" s="538"/>
      <c r="G25" s="3"/>
      <c r="H25" s="3"/>
      <c r="I25" s="3"/>
    </row>
    <row r="26" spans="1:9" ht="16.5" x14ac:dyDescent="0.3">
      <c r="A26" s="3"/>
      <c r="B26" s="3"/>
      <c r="C26" s="3"/>
      <c r="D26" s="3"/>
      <c r="F26" s="3"/>
      <c r="G26" s="3"/>
      <c r="H26" s="3"/>
      <c r="I26" s="3"/>
    </row>
    <row r="27" spans="1:9" ht="16.5" x14ac:dyDescent="0.3">
      <c r="A27" s="3"/>
      <c r="B27" s="15" t="s">
        <v>1892</v>
      </c>
      <c r="C27" s="3"/>
      <c r="D27" s="3"/>
      <c r="F27" s="3"/>
      <c r="G27" s="3" t="s">
        <v>1891</v>
      </c>
      <c r="H27" s="3"/>
      <c r="I27" s="3"/>
    </row>
    <row r="28" spans="1:9" ht="16.5" x14ac:dyDescent="0.3">
      <c r="A28" s="3"/>
      <c r="B28" s="15"/>
      <c r="C28" s="3" t="s">
        <v>331</v>
      </c>
      <c r="D28" s="3"/>
      <c r="F28" s="567" t="s">
        <v>1893</v>
      </c>
      <c r="G28" s="3"/>
      <c r="H28" s="3"/>
      <c r="I28" s="3"/>
    </row>
    <row r="29" spans="1:9" ht="16.5" x14ac:dyDescent="0.3">
      <c r="A29" s="3"/>
      <c r="B29" s="3"/>
      <c r="C29" s="3"/>
      <c r="D29" s="3"/>
      <c r="E29" s="3"/>
      <c r="F29" s="3"/>
      <c r="G29" s="3"/>
      <c r="H29" s="3"/>
      <c r="I29" s="3"/>
    </row>
    <row r="30" spans="1:9" ht="16.5" x14ac:dyDescent="0.3">
      <c r="A30" s="3"/>
      <c r="B30" s="15" t="s">
        <v>1889</v>
      </c>
      <c r="C30" s="3"/>
      <c r="D30" s="3"/>
      <c r="E30" s="3"/>
      <c r="F30" s="3"/>
      <c r="G30" s="3"/>
      <c r="H30" s="3"/>
      <c r="I30" s="3"/>
    </row>
    <row r="31" spans="1:9" ht="16.5" x14ac:dyDescent="0.3">
      <c r="A31" s="3"/>
      <c r="B31" s="3"/>
      <c r="C31" s="3" t="s">
        <v>330</v>
      </c>
      <c r="D31" s="3"/>
      <c r="E31" s="3"/>
      <c r="F31" s="3"/>
      <c r="G31" s="3"/>
      <c r="H31" s="3"/>
      <c r="I31" s="3"/>
    </row>
    <row r="32" spans="1:9" s="3" customFormat="1" ht="16.5" x14ac:dyDescent="0.3"/>
    <row r="33" spans="1:9" ht="16.5" x14ac:dyDescent="0.3">
      <c r="A33" s="3"/>
      <c r="B33" s="15" t="s">
        <v>1882</v>
      </c>
      <c r="C33" s="3"/>
      <c r="D33" s="3"/>
      <c r="E33" s="3"/>
      <c r="F33" s="3"/>
      <c r="G33" s="3"/>
      <c r="H33" s="3"/>
      <c r="I33" s="3"/>
    </row>
    <row r="34" spans="1:9" s="566" customFormat="1" ht="16.5" x14ac:dyDescent="0.3">
      <c r="A34" s="565"/>
      <c r="B34" s="565"/>
      <c r="C34" s="565" t="s">
        <v>1883</v>
      </c>
      <c r="D34" s="565"/>
      <c r="E34" s="565"/>
      <c r="F34" s="565"/>
      <c r="G34" s="565"/>
      <c r="H34" s="565"/>
      <c r="I34" s="565"/>
    </row>
    <row r="35" spans="1:9" ht="16.5" x14ac:dyDescent="0.3">
      <c r="C35" s="565" t="s">
        <v>1884</v>
      </c>
    </row>
    <row r="36" spans="1:9" ht="16.5" x14ac:dyDescent="0.3">
      <c r="C36" s="565" t="s">
        <v>1885</v>
      </c>
    </row>
    <row r="37" spans="1:9" ht="16.5" x14ac:dyDescent="0.3">
      <c r="C37" s="565" t="s">
        <v>1886</v>
      </c>
    </row>
  </sheetData>
  <mergeCells count="1">
    <mergeCell ref="A1:I1"/>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41B611-D658-40AC-BBF1-89C940A67111}">
  <sheetPr>
    <tabColor rgb="FFFF0000"/>
    <pageSetUpPr fitToPage="1"/>
  </sheetPr>
  <dimension ref="B1:KX83"/>
  <sheetViews>
    <sheetView tabSelected="1" view="pageBreakPreview" zoomScale="128" zoomScaleNormal="80" zoomScaleSheetLayoutView="70" workbookViewId="0">
      <selection activeCell="B2" sqref="B2:L4"/>
    </sheetView>
  </sheetViews>
  <sheetFormatPr baseColWidth="10" defaultColWidth="11.5703125" defaultRowHeight="19.5" x14ac:dyDescent="0.25"/>
  <cols>
    <col min="1" max="42" width="4.7109375" style="7" customWidth="1"/>
    <col min="43" max="310" width="4.28515625" style="61" customWidth="1"/>
    <col min="311" max="16384" width="11.5703125" style="7"/>
  </cols>
  <sheetData>
    <row r="1" spans="2:310" s="55" customFormat="1" ht="18" customHeight="1" thickBot="1" x14ac:dyDescent="0.3">
      <c r="K1" s="7"/>
      <c r="L1" s="7"/>
      <c r="AQ1" s="873" t="s">
        <v>37</v>
      </c>
      <c r="AR1" s="873"/>
      <c r="AS1" s="873"/>
      <c r="AT1" s="873"/>
      <c r="AU1" s="873"/>
      <c r="AV1" s="873"/>
      <c r="AW1" s="873"/>
      <c r="AX1" s="873"/>
      <c r="AY1" s="873"/>
      <c r="AZ1" s="873"/>
      <c r="BA1" s="873"/>
      <c r="BB1" s="873"/>
      <c r="BC1" s="873"/>
      <c r="BD1" s="873"/>
      <c r="BE1" s="873"/>
      <c r="BF1" s="873"/>
      <c r="BG1" s="873"/>
      <c r="BH1" s="873"/>
      <c r="BI1" s="873"/>
      <c r="BJ1" s="873"/>
      <c r="BK1" s="873"/>
      <c r="BL1" s="873"/>
      <c r="BM1" s="873"/>
      <c r="BN1" s="873"/>
      <c r="BO1" s="873"/>
      <c r="BP1" s="873"/>
      <c r="BQ1" s="873"/>
      <c r="BR1" s="873"/>
      <c r="BS1" s="873"/>
      <c r="BT1" s="873"/>
      <c r="BU1" s="873"/>
      <c r="BV1" s="873"/>
      <c r="BW1" s="873"/>
      <c r="BX1" s="873"/>
      <c r="BY1" s="873"/>
      <c r="BZ1" s="873"/>
      <c r="CA1" s="873"/>
      <c r="CB1" s="873"/>
      <c r="CC1" s="873"/>
      <c r="CD1" s="873"/>
      <c r="CE1" s="873"/>
      <c r="CF1" s="873"/>
      <c r="CG1" s="873"/>
      <c r="CH1" s="873"/>
      <c r="CI1" s="873"/>
      <c r="CJ1" s="873"/>
      <c r="CK1" s="873"/>
      <c r="CL1" s="873"/>
      <c r="CM1" s="873"/>
      <c r="CN1" s="873"/>
      <c r="CO1" s="873"/>
      <c r="CP1" s="873"/>
      <c r="CQ1" s="60"/>
      <c r="CR1" s="61"/>
      <c r="CS1" s="873" t="s">
        <v>37</v>
      </c>
      <c r="CT1" s="873"/>
      <c r="CU1" s="873"/>
      <c r="CV1" s="873"/>
      <c r="CW1" s="873"/>
      <c r="CX1" s="873"/>
      <c r="CY1" s="873"/>
      <c r="CZ1" s="873"/>
      <c r="DA1" s="873"/>
      <c r="DB1" s="873"/>
      <c r="DC1" s="873"/>
      <c r="DD1" s="873"/>
      <c r="DE1" s="873"/>
      <c r="DF1" s="873"/>
      <c r="DG1" s="873"/>
      <c r="DH1" s="873"/>
      <c r="DI1" s="873"/>
      <c r="DJ1" s="873"/>
      <c r="DK1" s="873"/>
      <c r="DL1" s="873"/>
      <c r="DM1" s="873"/>
      <c r="DN1" s="873"/>
      <c r="DO1" s="873"/>
      <c r="DP1" s="873"/>
      <c r="DQ1" s="873"/>
      <c r="DR1" s="873"/>
      <c r="DS1" s="873"/>
      <c r="DT1" s="873"/>
      <c r="DU1" s="873"/>
      <c r="DV1" s="873"/>
      <c r="DW1" s="873"/>
      <c r="DX1" s="873"/>
      <c r="DY1" s="873"/>
      <c r="DZ1" s="873"/>
      <c r="EA1" s="873"/>
      <c r="EB1" s="873"/>
      <c r="EC1" s="873"/>
      <c r="ED1" s="873"/>
      <c r="EE1" s="873"/>
      <c r="EF1" s="873"/>
      <c r="EG1" s="873"/>
      <c r="EH1" s="873"/>
      <c r="EI1" s="873"/>
      <c r="EJ1" s="873"/>
      <c r="EK1" s="873"/>
      <c r="EL1" s="873"/>
      <c r="EM1" s="873"/>
      <c r="EN1" s="873"/>
      <c r="EO1" s="873"/>
      <c r="EP1" s="873"/>
      <c r="EQ1" s="873"/>
      <c r="ER1" s="873"/>
      <c r="ES1" s="60"/>
      <c r="ET1" s="61"/>
      <c r="EU1" s="873" t="s">
        <v>37</v>
      </c>
      <c r="EV1" s="873"/>
      <c r="EW1" s="873"/>
      <c r="EX1" s="873"/>
      <c r="EY1" s="873"/>
      <c r="EZ1" s="873"/>
      <c r="FA1" s="873"/>
      <c r="FB1" s="873"/>
      <c r="FC1" s="873"/>
      <c r="FD1" s="873"/>
      <c r="FE1" s="873"/>
      <c r="FF1" s="873"/>
      <c r="FG1" s="873"/>
      <c r="FH1" s="873"/>
      <c r="FI1" s="873"/>
      <c r="FJ1" s="873"/>
      <c r="FK1" s="873"/>
      <c r="FL1" s="873"/>
      <c r="FM1" s="873"/>
      <c r="FN1" s="873"/>
      <c r="FO1" s="873"/>
      <c r="FP1" s="873"/>
      <c r="FQ1" s="873"/>
      <c r="FR1" s="873"/>
      <c r="FS1" s="873"/>
      <c r="FT1" s="873"/>
      <c r="FU1" s="873"/>
      <c r="FV1" s="873"/>
      <c r="FW1" s="873"/>
      <c r="FX1" s="873"/>
      <c r="FY1" s="873"/>
      <c r="FZ1" s="873"/>
      <c r="GA1" s="873"/>
      <c r="GB1" s="873"/>
      <c r="GC1" s="873"/>
      <c r="GD1" s="873"/>
      <c r="GE1" s="873"/>
      <c r="GF1" s="873"/>
      <c r="GG1" s="873"/>
      <c r="GH1" s="873"/>
      <c r="GI1" s="873"/>
      <c r="GJ1" s="873"/>
      <c r="GK1" s="873"/>
      <c r="GL1" s="873"/>
      <c r="GM1" s="873"/>
      <c r="GN1" s="873"/>
      <c r="GO1" s="873"/>
      <c r="GP1" s="873"/>
      <c r="GQ1" s="873"/>
      <c r="GR1" s="873"/>
      <c r="GS1" s="873"/>
      <c r="GT1" s="873"/>
      <c r="GU1" s="60"/>
      <c r="GV1" s="61"/>
      <c r="GW1" s="873" t="s">
        <v>37</v>
      </c>
      <c r="GX1" s="873"/>
      <c r="GY1" s="873"/>
      <c r="GZ1" s="873"/>
      <c r="HA1" s="873"/>
      <c r="HB1" s="873"/>
      <c r="HC1" s="873"/>
      <c r="HD1" s="873"/>
      <c r="HE1" s="873"/>
      <c r="HF1" s="873"/>
      <c r="HG1" s="873"/>
      <c r="HH1" s="873"/>
      <c r="HI1" s="873"/>
      <c r="HJ1" s="873"/>
      <c r="HK1" s="873"/>
      <c r="HL1" s="873"/>
      <c r="HM1" s="873"/>
      <c r="HN1" s="873"/>
      <c r="HO1" s="873"/>
      <c r="HP1" s="873"/>
      <c r="HQ1" s="873"/>
      <c r="HR1" s="873"/>
      <c r="HS1" s="873"/>
      <c r="HT1" s="873"/>
      <c r="HU1" s="873"/>
      <c r="HV1" s="873"/>
      <c r="HW1" s="873"/>
      <c r="HX1" s="873"/>
      <c r="HY1" s="873"/>
      <c r="HZ1" s="873"/>
      <c r="IA1" s="873"/>
      <c r="IB1" s="873"/>
      <c r="IC1" s="873"/>
      <c r="ID1" s="873"/>
      <c r="IE1" s="873"/>
      <c r="IF1" s="873"/>
      <c r="IG1" s="873"/>
      <c r="IH1" s="873"/>
      <c r="II1" s="873"/>
      <c r="IJ1" s="873"/>
      <c r="IK1" s="873"/>
      <c r="IL1" s="873"/>
      <c r="IM1" s="873"/>
      <c r="IN1" s="873"/>
      <c r="IO1" s="873"/>
      <c r="IP1" s="873"/>
      <c r="IQ1" s="873"/>
      <c r="IR1" s="873"/>
      <c r="IS1" s="873"/>
      <c r="IT1" s="873"/>
      <c r="IU1" s="873"/>
      <c r="IV1" s="873"/>
      <c r="IW1" s="60"/>
      <c r="IX1" s="61"/>
      <c r="IY1" s="873" t="s">
        <v>37</v>
      </c>
      <c r="IZ1" s="873"/>
      <c r="JA1" s="873"/>
      <c r="JB1" s="873"/>
      <c r="JC1" s="873"/>
      <c r="JD1" s="873"/>
      <c r="JE1" s="873"/>
      <c r="JF1" s="873"/>
      <c r="JG1" s="873"/>
      <c r="JH1" s="873"/>
      <c r="JI1" s="873"/>
      <c r="JJ1" s="873"/>
      <c r="JK1" s="873"/>
      <c r="JL1" s="873"/>
      <c r="JM1" s="873"/>
      <c r="JN1" s="873"/>
      <c r="JO1" s="873"/>
      <c r="JP1" s="873"/>
      <c r="JQ1" s="873"/>
      <c r="JR1" s="873"/>
      <c r="JS1" s="873"/>
      <c r="JT1" s="873"/>
      <c r="JU1" s="873"/>
      <c r="JV1" s="873"/>
      <c r="JW1" s="873"/>
      <c r="JX1" s="873"/>
      <c r="JY1" s="873"/>
      <c r="JZ1" s="873"/>
      <c r="KA1" s="873"/>
      <c r="KB1" s="873"/>
      <c r="KC1" s="873"/>
      <c r="KD1" s="873"/>
      <c r="KE1" s="873"/>
      <c r="KF1" s="873"/>
      <c r="KG1" s="873"/>
      <c r="KH1" s="873"/>
      <c r="KI1" s="873"/>
      <c r="KJ1" s="873"/>
      <c r="KK1" s="873"/>
      <c r="KL1" s="873"/>
      <c r="KM1" s="873"/>
      <c r="KN1" s="873"/>
      <c r="KO1" s="873"/>
      <c r="KP1" s="873"/>
      <c r="KQ1" s="873"/>
      <c r="KR1" s="873"/>
      <c r="KS1" s="873"/>
      <c r="KT1" s="873"/>
      <c r="KU1" s="873"/>
      <c r="KV1" s="873"/>
      <c r="KW1" s="873"/>
      <c r="KX1" s="873"/>
    </row>
    <row r="2" spans="2:310" ht="18" customHeight="1" thickTop="1" thickBot="1" x14ac:dyDescent="0.3">
      <c r="B2" s="715" t="s">
        <v>1865</v>
      </c>
      <c r="C2" s="716"/>
      <c r="D2" s="716"/>
      <c r="E2" s="716"/>
      <c r="F2" s="716"/>
      <c r="G2" s="716"/>
      <c r="H2" s="716"/>
      <c r="I2" s="716"/>
      <c r="J2" s="716"/>
      <c r="K2" s="716"/>
      <c r="L2" s="717"/>
      <c r="N2" s="596" t="s">
        <v>1691</v>
      </c>
      <c r="O2" s="597"/>
      <c r="P2" s="674"/>
      <c r="Q2" s="674"/>
      <c r="R2" s="674"/>
      <c r="S2" s="597" t="s">
        <v>1693</v>
      </c>
      <c r="T2" s="597"/>
      <c r="U2" s="674"/>
      <c r="V2" s="674"/>
      <c r="W2" s="675"/>
      <c r="Y2" s="602" t="s">
        <v>1696</v>
      </c>
      <c r="Z2" s="603"/>
      <c r="AA2" s="603"/>
      <c r="AB2" s="603"/>
      <c r="AC2" s="603"/>
      <c r="AD2" s="603"/>
      <c r="AE2" s="603"/>
      <c r="AF2" s="603"/>
      <c r="AG2" s="603"/>
      <c r="AH2" s="604"/>
      <c r="AJ2" s="687"/>
      <c r="AK2" s="688"/>
      <c r="AL2" s="688"/>
      <c r="AM2" s="688"/>
      <c r="AN2" s="688"/>
      <c r="AO2" s="689"/>
      <c r="AQ2" s="874" t="s">
        <v>622</v>
      </c>
      <c r="AR2" s="875"/>
      <c r="AS2" s="875"/>
      <c r="AT2" s="875"/>
      <c r="AU2" s="875"/>
      <c r="AV2" s="875"/>
      <c r="AW2" s="875"/>
      <c r="AX2" s="875"/>
      <c r="AY2" s="875"/>
      <c r="AZ2" s="875"/>
      <c r="BA2" s="875"/>
      <c r="BB2" s="875"/>
      <c r="BC2" s="875"/>
      <c r="BD2" s="875"/>
      <c r="BE2" s="875"/>
      <c r="BF2" s="875"/>
      <c r="BG2" s="875"/>
      <c r="BH2" s="875"/>
      <c r="BI2" s="875"/>
      <c r="BJ2" s="875"/>
      <c r="BK2" s="875"/>
      <c r="BL2" s="875"/>
      <c r="BM2" s="875"/>
      <c r="BN2" s="875"/>
      <c r="BO2" s="875"/>
      <c r="BP2" s="875"/>
      <c r="BQ2" s="875"/>
      <c r="BR2" s="875"/>
      <c r="BS2" s="875"/>
      <c r="BT2" s="875"/>
      <c r="BU2" s="875"/>
      <c r="BV2" s="875"/>
      <c r="BW2" s="875"/>
      <c r="BX2" s="875"/>
      <c r="BY2" s="875"/>
      <c r="BZ2" s="875"/>
      <c r="CA2" s="875"/>
      <c r="CB2" s="875"/>
      <c r="CC2" s="875"/>
      <c r="CD2" s="875"/>
      <c r="CE2" s="875"/>
      <c r="CF2" s="875"/>
      <c r="CG2" s="875"/>
      <c r="CH2" s="875"/>
      <c r="CI2" s="875"/>
      <c r="CJ2" s="875"/>
      <c r="CK2" s="875"/>
      <c r="CL2" s="875"/>
      <c r="CM2" s="875"/>
      <c r="CN2" s="875"/>
      <c r="CO2" s="875"/>
      <c r="CP2" s="876"/>
      <c r="CQ2" s="60"/>
      <c r="CS2" s="780" t="s">
        <v>1208</v>
      </c>
      <c r="CT2" s="781"/>
      <c r="CU2" s="781"/>
      <c r="CV2" s="781"/>
      <c r="CW2" s="781"/>
      <c r="CX2" s="781"/>
      <c r="CY2" s="781"/>
      <c r="CZ2" s="781"/>
      <c r="DA2" s="781"/>
      <c r="DB2" s="781"/>
      <c r="DC2" s="781"/>
      <c r="DD2" s="781"/>
      <c r="DE2" s="781"/>
      <c r="DF2" s="781"/>
      <c r="DG2" s="781"/>
      <c r="DH2" s="781"/>
      <c r="DI2" s="781"/>
      <c r="DJ2" s="781"/>
      <c r="DK2" s="781"/>
      <c r="DL2" s="781"/>
      <c r="DM2" s="781"/>
      <c r="DN2" s="781"/>
      <c r="DO2" s="781"/>
      <c r="DP2" s="781"/>
      <c r="DQ2" s="781"/>
      <c r="DR2" s="781"/>
      <c r="DS2" s="781"/>
      <c r="DT2" s="781"/>
      <c r="DU2" s="781"/>
      <c r="DV2" s="781"/>
      <c r="DW2" s="781"/>
      <c r="DX2" s="781"/>
      <c r="DY2" s="781"/>
      <c r="DZ2" s="781"/>
      <c r="EA2" s="781"/>
      <c r="EB2" s="781"/>
      <c r="EC2" s="781"/>
      <c r="ED2" s="781"/>
      <c r="EE2" s="781"/>
      <c r="EF2" s="781"/>
      <c r="EG2" s="781"/>
      <c r="EH2" s="781"/>
      <c r="EI2" s="781"/>
      <c r="EJ2" s="781"/>
      <c r="EK2" s="781"/>
      <c r="EL2" s="781"/>
      <c r="EM2" s="781"/>
      <c r="EN2" s="781"/>
      <c r="EO2" s="781"/>
      <c r="EP2" s="781"/>
      <c r="EQ2" s="781"/>
      <c r="ER2" s="782"/>
      <c r="ES2" s="60"/>
      <c r="EU2" s="780" t="s">
        <v>1210</v>
      </c>
      <c r="EV2" s="781"/>
      <c r="EW2" s="781"/>
      <c r="EX2" s="781"/>
      <c r="EY2" s="781"/>
      <c r="EZ2" s="781"/>
      <c r="FA2" s="781"/>
      <c r="FB2" s="781"/>
      <c r="FC2" s="781"/>
      <c r="FD2" s="781"/>
      <c r="FE2" s="781"/>
      <c r="FF2" s="781"/>
      <c r="FG2" s="781"/>
      <c r="FH2" s="781"/>
      <c r="FI2" s="781"/>
      <c r="FJ2" s="781"/>
      <c r="FK2" s="781"/>
      <c r="FL2" s="781"/>
      <c r="FM2" s="781"/>
      <c r="FN2" s="781"/>
      <c r="FO2" s="781"/>
      <c r="FP2" s="781"/>
      <c r="FQ2" s="781"/>
      <c r="FR2" s="781"/>
      <c r="FS2" s="781"/>
      <c r="FT2" s="781"/>
      <c r="FU2" s="781"/>
      <c r="FV2" s="781"/>
      <c r="FW2" s="781"/>
      <c r="FX2" s="781"/>
      <c r="FY2" s="781"/>
      <c r="FZ2" s="781"/>
      <c r="GA2" s="781"/>
      <c r="GB2" s="781"/>
      <c r="GC2" s="781"/>
      <c r="GD2" s="781"/>
      <c r="GE2" s="781"/>
      <c r="GF2" s="781"/>
      <c r="GG2" s="781"/>
      <c r="GH2" s="781"/>
      <c r="GI2" s="781"/>
      <c r="GJ2" s="781"/>
      <c r="GK2" s="781"/>
      <c r="GL2" s="781"/>
      <c r="GM2" s="781"/>
      <c r="GN2" s="781"/>
      <c r="GO2" s="781"/>
      <c r="GP2" s="781"/>
      <c r="GQ2" s="781"/>
      <c r="GR2" s="781"/>
      <c r="GS2" s="781"/>
      <c r="GT2" s="782"/>
      <c r="GU2" s="60"/>
      <c r="GW2" s="780" t="s">
        <v>1212</v>
      </c>
      <c r="GX2" s="781"/>
      <c r="GY2" s="781"/>
      <c r="GZ2" s="781"/>
      <c r="HA2" s="781"/>
      <c r="HB2" s="781"/>
      <c r="HC2" s="781"/>
      <c r="HD2" s="781"/>
      <c r="HE2" s="781"/>
      <c r="HF2" s="781"/>
      <c r="HG2" s="781"/>
      <c r="HH2" s="781"/>
      <c r="HI2" s="781"/>
      <c r="HJ2" s="781"/>
      <c r="HK2" s="781"/>
      <c r="HL2" s="781"/>
      <c r="HM2" s="781"/>
      <c r="HN2" s="781"/>
      <c r="HO2" s="781"/>
      <c r="HP2" s="781"/>
      <c r="HQ2" s="781"/>
      <c r="HR2" s="781"/>
      <c r="HS2" s="781"/>
      <c r="HT2" s="781"/>
      <c r="HU2" s="781"/>
      <c r="HV2" s="781"/>
      <c r="HW2" s="781"/>
      <c r="HX2" s="781"/>
      <c r="HY2" s="781"/>
      <c r="HZ2" s="781"/>
      <c r="IA2" s="781"/>
      <c r="IB2" s="781"/>
      <c r="IC2" s="781"/>
      <c r="ID2" s="781"/>
      <c r="IE2" s="781"/>
      <c r="IF2" s="781"/>
      <c r="IG2" s="781"/>
      <c r="IH2" s="781"/>
      <c r="II2" s="781"/>
      <c r="IJ2" s="781"/>
      <c r="IK2" s="781"/>
      <c r="IL2" s="781"/>
      <c r="IM2" s="781"/>
      <c r="IN2" s="781"/>
      <c r="IO2" s="781"/>
      <c r="IP2" s="781"/>
      <c r="IQ2" s="781"/>
      <c r="IR2" s="781"/>
      <c r="IS2" s="781"/>
      <c r="IT2" s="781"/>
      <c r="IU2" s="781"/>
      <c r="IV2" s="782"/>
      <c r="IW2" s="60"/>
      <c r="IY2" s="780" t="s">
        <v>1214</v>
      </c>
      <c r="IZ2" s="781"/>
      <c r="JA2" s="781"/>
      <c r="JB2" s="781"/>
      <c r="JC2" s="781"/>
      <c r="JD2" s="781"/>
      <c r="JE2" s="781"/>
      <c r="JF2" s="781"/>
      <c r="JG2" s="781"/>
      <c r="JH2" s="781"/>
      <c r="JI2" s="781"/>
      <c r="JJ2" s="781"/>
      <c r="JK2" s="781"/>
      <c r="JL2" s="781"/>
      <c r="JM2" s="781"/>
      <c r="JN2" s="781"/>
      <c r="JO2" s="781"/>
      <c r="JP2" s="781"/>
      <c r="JQ2" s="781"/>
      <c r="JR2" s="781"/>
      <c r="JS2" s="781"/>
      <c r="JT2" s="781"/>
      <c r="JU2" s="781"/>
      <c r="JV2" s="781"/>
      <c r="JW2" s="781"/>
      <c r="JX2" s="781"/>
      <c r="JY2" s="781"/>
      <c r="JZ2" s="781"/>
      <c r="KA2" s="781"/>
      <c r="KB2" s="781"/>
      <c r="KC2" s="781"/>
      <c r="KD2" s="781"/>
      <c r="KE2" s="781"/>
      <c r="KF2" s="781"/>
      <c r="KG2" s="781"/>
      <c r="KH2" s="781"/>
      <c r="KI2" s="781"/>
      <c r="KJ2" s="781"/>
      <c r="KK2" s="781"/>
      <c r="KL2" s="781"/>
      <c r="KM2" s="781"/>
      <c r="KN2" s="781"/>
      <c r="KO2" s="781"/>
      <c r="KP2" s="781"/>
      <c r="KQ2" s="781"/>
      <c r="KR2" s="781"/>
      <c r="KS2" s="781"/>
      <c r="KT2" s="781"/>
      <c r="KU2" s="781"/>
      <c r="KV2" s="781"/>
      <c r="KW2" s="781"/>
      <c r="KX2" s="782"/>
    </row>
    <row r="3" spans="2:310" ht="18" customHeight="1" x14ac:dyDescent="0.25">
      <c r="B3" s="718"/>
      <c r="C3" s="719"/>
      <c r="D3" s="719"/>
      <c r="E3" s="719"/>
      <c r="F3" s="719"/>
      <c r="G3" s="719"/>
      <c r="H3" s="719"/>
      <c r="I3" s="719"/>
      <c r="J3" s="719"/>
      <c r="K3" s="719"/>
      <c r="L3" s="720"/>
      <c r="N3" s="659" t="s">
        <v>1692</v>
      </c>
      <c r="O3" s="660"/>
      <c r="P3" s="676"/>
      <c r="Q3" s="676"/>
      <c r="R3" s="676"/>
      <c r="S3" s="660" t="s">
        <v>1694</v>
      </c>
      <c r="T3" s="660"/>
      <c r="U3" s="676"/>
      <c r="V3" s="676"/>
      <c r="W3" s="677"/>
      <c r="Y3" s="681"/>
      <c r="Z3" s="682"/>
      <c r="AA3" s="682"/>
      <c r="AB3" s="682"/>
      <c r="AC3" s="682"/>
      <c r="AD3" s="682"/>
      <c r="AE3" s="682"/>
      <c r="AF3" s="682"/>
      <c r="AG3" s="682"/>
      <c r="AH3" s="683"/>
      <c r="AJ3" s="690"/>
      <c r="AK3" s="691"/>
      <c r="AL3" s="691"/>
      <c r="AM3" s="691"/>
      <c r="AN3" s="691"/>
      <c r="AO3" s="692"/>
      <c r="AQ3" s="877"/>
      <c r="AR3" s="878"/>
      <c r="AS3" s="878"/>
      <c r="AT3" s="878"/>
      <c r="AU3" s="878"/>
      <c r="AV3" s="878"/>
      <c r="AW3" s="878"/>
      <c r="AX3" s="878"/>
      <c r="AY3" s="878"/>
      <c r="AZ3" s="878"/>
      <c r="BA3" s="878"/>
      <c r="BB3" s="878"/>
      <c r="BC3" s="878"/>
      <c r="BD3" s="878"/>
      <c r="BE3" s="878"/>
      <c r="BF3" s="878"/>
      <c r="BG3" s="878"/>
      <c r="BH3" s="878"/>
      <c r="BI3" s="878"/>
      <c r="BJ3" s="878"/>
      <c r="BK3" s="878"/>
      <c r="BL3" s="878"/>
      <c r="BM3" s="878"/>
      <c r="BN3" s="878"/>
      <c r="BO3" s="878"/>
      <c r="BP3" s="878"/>
      <c r="BQ3" s="878"/>
      <c r="BR3" s="878"/>
      <c r="BS3" s="878"/>
      <c r="BT3" s="878"/>
      <c r="BU3" s="878"/>
      <c r="BV3" s="878"/>
      <c r="BW3" s="878"/>
      <c r="BX3" s="878"/>
      <c r="BY3" s="878"/>
      <c r="BZ3" s="878"/>
      <c r="CA3" s="878"/>
      <c r="CB3" s="878"/>
      <c r="CC3" s="878"/>
      <c r="CD3" s="878"/>
      <c r="CE3" s="878"/>
      <c r="CF3" s="878"/>
      <c r="CG3" s="878"/>
      <c r="CH3" s="878"/>
      <c r="CI3" s="878"/>
      <c r="CJ3" s="878"/>
      <c r="CK3" s="878"/>
      <c r="CL3" s="878"/>
      <c r="CM3" s="878"/>
      <c r="CN3" s="878"/>
      <c r="CO3" s="878"/>
      <c r="CP3" s="879"/>
      <c r="CQ3" s="60"/>
      <c r="CS3" s="372" t="s">
        <v>1197</v>
      </c>
      <c r="CT3" s="776" t="s">
        <v>1198</v>
      </c>
      <c r="CU3" s="776"/>
      <c r="CV3" s="776"/>
      <c r="CW3" s="776"/>
      <c r="CX3" s="776"/>
      <c r="CY3" s="776"/>
      <c r="CZ3" s="776"/>
      <c r="DA3" s="776"/>
      <c r="DB3" s="776"/>
      <c r="DC3" s="776"/>
      <c r="DD3" s="776"/>
      <c r="DE3" s="776"/>
      <c r="DF3" s="776"/>
      <c r="DG3" s="348">
        <f>SUM(DG4:DG39)</f>
        <v>0</v>
      </c>
      <c r="DH3" s="373" t="s">
        <v>388</v>
      </c>
      <c r="DI3" s="777" t="s">
        <v>1199</v>
      </c>
      <c r="DJ3" s="777"/>
      <c r="DK3" s="777"/>
      <c r="DL3" s="777" t="s">
        <v>1200</v>
      </c>
      <c r="DM3" s="777"/>
      <c r="DN3" s="777"/>
      <c r="DO3" s="374" t="s">
        <v>1201</v>
      </c>
      <c r="DP3" s="374" t="s">
        <v>400</v>
      </c>
      <c r="DQ3" s="378" t="s">
        <v>388</v>
      </c>
      <c r="DR3" s="374"/>
      <c r="DS3" s="376">
        <f>COUNTIF(DS4:DT39,"C")</f>
        <v>0</v>
      </c>
      <c r="DT3" s="374" t="s">
        <v>1196</v>
      </c>
      <c r="DU3" s="377" t="s">
        <v>1197</v>
      </c>
      <c r="DV3" s="778" t="s">
        <v>1217</v>
      </c>
      <c r="DW3" s="779"/>
      <c r="DX3" s="779"/>
      <c r="DY3" s="779"/>
      <c r="DZ3" s="779"/>
      <c r="EA3" s="779"/>
      <c r="EB3" s="779"/>
      <c r="EC3" s="779"/>
      <c r="ED3" s="779"/>
      <c r="EE3" s="779"/>
      <c r="EF3" s="779"/>
      <c r="EG3" s="779"/>
      <c r="EH3" s="779"/>
      <c r="EI3" s="348">
        <f>SUM(EI4:EI43)</f>
        <v>0</v>
      </c>
      <c r="EJ3" s="373" t="s">
        <v>388</v>
      </c>
      <c r="EK3" s="777" t="s">
        <v>1199</v>
      </c>
      <c r="EL3" s="777"/>
      <c r="EM3" s="374"/>
      <c r="EN3" s="374" t="s">
        <v>1200</v>
      </c>
      <c r="EO3" s="374"/>
      <c r="EP3" s="374" t="s">
        <v>1201</v>
      </c>
      <c r="EQ3" s="374" t="s">
        <v>400</v>
      </c>
      <c r="ER3" s="378" t="s">
        <v>388</v>
      </c>
      <c r="ES3" s="60"/>
      <c r="EU3" s="372" t="s">
        <v>1197</v>
      </c>
      <c r="EV3" s="776" t="s">
        <v>1198</v>
      </c>
      <c r="EW3" s="776"/>
      <c r="EX3" s="776"/>
      <c r="EY3" s="776"/>
      <c r="EZ3" s="776"/>
      <c r="FA3" s="776"/>
      <c r="FB3" s="776"/>
      <c r="FC3" s="776"/>
      <c r="FD3" s="776"/>
      <c r="FE3" s="776"/>
      <c r="FF3" s="776"/>
      <c r="FG3" s="776"/>
      <c r="FH3" s="776"/>
      <c r="FI3" s="348">
        <f>SUM(FI4:FI39)</f>
        <v>0</v>
      </c>
      <c r="FJ3" s="373" t="s">
        <v>388</v>
      </c>
      <c r="FK3" s="777" t="s">
        <v>1199</v>
      </c>
      <c r="FL3" s="777"/>
      <c r="FM3" s="777"/>
      <c r="FN3" s="777" t="s">
        <v>1200</v>
      </c>
      <c r="FO3" s="777"/>
      <c r="FP3" s="777"/>
      <c r="FQ3" s="374" t="s">
        <v>1201</v>
      </c>
      <c r="FR3" s="374" t="s">
        <v>400</v>
      </c>
      <c r="FS3" s="378" t="s">
        <v>388</v>
      </c>
      <c r="FT3" s="374"/>
      <c r="FU3" s="376">
        <f>COUNTIF(FU4:FV35,"C")</f>
        <v>0</v>
      </c>
      <c r="FV3" s="374" t="s">
        <v>1196</v>
      </c>
      <c r="FW3" s="377" t="s">
        <v>1197</v>
      </c>
      <c r="FX3" s="778" t="s">
        <v>1217</v>
      </c>
      <c r="FY3" s="779"/>
      <c r="FZ3" s="779"/>
      <c r="GA3" s="779"/>
      <c r="GB3" s="779"/>
      <c r="GC3" s="779"/>
      <c r="GD3" s="779"/>
      <c r="GE3" s="779"/>
      <c r="GF3" s="779"/>
      <c r="GG3" s="779"/>
      <c r="GH3" s="779"/>
      <c r="GI3" s="779"/>
      <c r="GJ3" s="779"/>
      <c r="GK3" s="348">
        <f>SUM(GK4:GK39)</f>
        <v>0</v>
      </c>
      <c r="GL3" s="373" t="s">
        <v>388</v>
      </c>
      <c r="GM3" s="777" t="s">
        <v>1199</v>
      </c>
      <c r="GN3" s="777"/>
      <c r="GO3" s="374"/>
      <c r="GP3" s="374" t="s">
        <v>1200</v>
      </c>
      <c r="GQ3" s="374"/>
      <c r="GR3" s="374" t="s">
        <v>1201</v>
      </c>
      <c r="GS3" s="374" t="s">
        <v>400</v>
      </c>
      <c r="GT3" s="378" t="s">
        <v>388</v>
      </c>
      <c r="GU3" s="60"/>
      <c r="GW3" s="372" t="s">
        <v>1197</v>
      </c>
      <c r="GX3" s="776" t="s">
        <v>1198</v>
      </c>
      <c r="GY3" s="776"/>
      <c r="GZ3" s="776"/>
      <c r="HA3" s="776"/>
      <c r="HB3" s="776"/>
      <c r="HC3" s="776"/>
      <c r="HD3" s="776"/>
      <c r="HE3" s="776"/>
      <c r="HF3" s="776"/>
      <c r="HG3" s="776"/>
      <c r="HH3" s="776"/>
      <c r="HI3" s="776"/>
      <c r="HJ3" s="776"/>
      <c r="HK3" s="348">
        <f>SUM(HK4:HK37)</f>
        <v>0</v>
      </c>
      <c r="HL3" s="373" t="s">
        <v>388</v>
      </c>
      <c r="HM3" s="777" t="s">
        <v>1199</v>
      </c>
      <c r="HN3" s="777"/>
      <c r="HO3" s="777"/>
      <c r="HP3" s="777" t="s">
        <v>1200</v>
      </c>
      <c r="HQ3" s="777"/>
      <c r="HR3" s="777"/>
      <c r="HS3" s="374" t="s">
        <v>1201</v>
      </c>
      <c r="HT3" s="374" t="s">
        <v>400</v>
      </c>
      <c r="HU3" s="378" t="s">
        <v>388</v>
      </c>
      <c r="HV3" s="374"/>
      <c r="HW3" s="376">
        <f>COUNTIF(HW4:HX33,"C")</f>
        <v>0</v>
      </c>
      <c r="HX3" s="374" t="s">
        <v>1196</v>
      </c>
      <c r="HY3" s="377" t="s">
        <v>1197</v>
      </c>
      <c r="HZ3" s="778" t="s">
        <v>1217</v>
      </c>
      <c r="IA3" s="779"/>
      <c r="IB3" s="779"/>
      <c r="IC3" s="779"/>
      <c r="ID3" s="779"/>
      <c r="IE3" s="779"/>
      <c r="IF3" s="779"/>
      <c r="IG3" s="779"/>
      <c r="IH3" s="779"/>
      <c r="II3" s="779"/>
      <c r="IJ3" s="779"/>
      <c r="IK3" s="779"/>
      <c r="IL3" s="779"/>
      <c r="IM3" s="348">
        <f>SUM(IM4:IM37)</f>
        <v>0</v>
      </c>
      <c r="IN3" s="373" t="s">
        <v>388</v>
      </c>
      <c r="IO3" s="777" t="s">
        <v>1199</v>
      </c>
      <c r="IP3" s="777"/>
      <c r="IQ3" s="374"/>
      <c r="IR3" s="374" t="s">
        <v>1200</v>
      </c>
      <c r="IS3" s="374"/>
      <c r="IT3" s="374" t="s">
        <v>1201</v>
      </c>
      <c r="IU3" s="374" t="s">
        <v>400</v>
      </c>
      <c r="IV3" s="378" t="s">
        <v>388</v>
      </c>
      <c r="IW3" s="60"/>
      <c r="IY3" s="379"/>
      <c r="IZ3" s="801"/>
      <c r="JA3" s="801"/>
      <c r="JB3" s="801"/>
      <c r="JC3" s="801"/>
      <c r="JD3" s="801"/>
      <c r="JE3" s="801"/>
      <c r="JF3" s="801"/>
      <c r="JG3" s="801"/>
      <c r="JH3" s="801"/>
      <c r="JI3" s="801"/>
      <c r="JJ3" s="801"/>
      <c r="JK3" s="801"/>
      <c r="JL3" s="801"/>
      <c r="JM3" s="380"/>
      <c r="JN3" s="381"/>
      <c r="JO3" s="802"/>
      <c r="JP3" s="802"/>
      <c r="JQ3" s="802"/>
      <c r="JR3" s="802"/>
      <c r="JS3" s="802"/>
      <c r="JT3" s="802"/>
      <c r="JU3" s="382"/>
      <c r="JV3" s="382"/>
      <c r="JW3" s="383"/>
      <c r="JX3" s="382"/>
      <c r="JY3" s="376">
        <f>COUNTIF(JY4:JZ23,"C")</f>
        <v>0</v>
      </c>
      <c r="JZ3" s="374" t="s">
        <v>1196</v>
      </c>
      <c r="KA3" s="377" t="s">
        <v>1197</v>
      </c>
      <c r="KB3" s="778" t="s">
        <v>1216</v>
      </c>
      <c r="KC3" s="779"/>
      <c r="KD3" s="779"/>
      <c r="KE3" s="779"/>
      <c r="KF3" s="779"/>
      <c r="KG3" s="779"/>
      <c r="KH3" s="779"/>
      <c r="KI3" s="779"/>
      <c r="KJ3" s="779"/>
      <c r="KK3" s="779"/>
      <c r="KL3" s="779"/>
      <c r="KM3" s="779"/>
      <c r="KN3" s="779"/>
      <c r="KO3" s="348">
        <f>SUM(KO4:KO37)</f>
        <v>0</v>
      </c>
      <c r="KP3" s="373" t="s">
        <v>388</v>
      </c>
      <c r="KQ3" s="777" t="s">
        <v>1199</v>
      </c>
      <c r="KR3" s="777"/>
      <c r="KS3" s="374"/>
      <c r="KT3" s="374" t="s">
        <v>1200</v>
      </c>
      <c r="KU3" s="374"/>
      <c r="KV3" s="374" t="s">
        <v>1201</v>
      </c>
      <c r="KW3" s="374" t="s">
        <v>400</v>
      </c>
      <c r="KX3" s="378" t="s">
        <v>388</v>
      </c>
    </row>
    <row r="4" spans="2:310" ht="18" customHeight="1" thickBot="1" x14ac:dyDescent="0.3">
      <c r="B4" s="721"/>
      <c r="C4" s="722"/>
      <c r="D4" s="722"/>
      <c r="E4" s="722"/>
      <c r="F4" s="722"/>
      <c r="G4" s="722"/>
      <c r="H4" s="722"/>
      <c r="I4" s="722"/>
      <c r="J4" s="722"/>
      <c r="K4" s="722"/>
      <c r="L4" s="723"/>
      <c r="N4" s="580" t="s">
        <v>10</v>
      </c>
      <c r="O4" s="661"/>
      <c r="P4" s="678"/>
      <c r="Q4" s="678"/>
      <c r="R4" s="678"/>
      <c r="S4" s="661" t="s">
        <v>1695</v>
      </c>
      <c r="T4" s="661"/>
      <c r="U4" s="678"/>
      <c r="V4" s="678"/>
      <c r="W4" s="679"/>
      <c r="Y4" s="681"/>
      <c r="Z4" s="682"/>
      <c r="AA4" s="682"/>
      <c r="AB4" s="682"/>
      <c r="AC4" s="682"/>
      <c r="AD4" s="682"/>
      <c r="AE4" s="682"/>
      <c r="AF4" s="682"/>
      <c r="AG4" s="682"/>
      <c r="AH4" s="683"/>
      <c r="AJ4" s="690"/>
      <c r="AK4" s="691"/>
      <c r="AL4" s="691"/>
      <c r="AM4" s="691"/>
      <c r="AN4" s="691"/>
      <c r="AO4" s="692"/>
      <c r="AQ4" s="62"/>
      <c r="AR4" s="746" t="s">
        <v>248</v>
      </c>
      <c r="AS4" s="754"/>
      <c r="AT4" s="754"/>
      <c r="AU4" s="747"/>
      <c r="AV4" s="367" t="str">
        <f>IF(OR(Code_Classe=Classe!C4,Code_Classe=Classe!C8,Code_Classe=Classe!C18,Code_Classe=Classe!C19,Code_Classe=Classe!C20,Code_Classe=Classe!C21,Code_Classe=Classe!C22,Code_Classe=Classe!C23,Code_Classe=Classe!C37,Code_Classe=Classe!C38,Code_Classe=Classe!C39),"O","N")</f>
        <v>N</v>
      </c>
      <c r="AW4" s="64"/>
      <c r="AX4" s="748" t="s">
        <v>61</v>
      </c>
      <c r="AY4" s="748"/>
      <c r="AZ4" s="748"/>
      <c r="BA4" s="748"/>
      <c r="BB4" s="367" t="str">
        <f>IF(OR(Code_Classe=Classe!C5,Code_Classe=Classe!C7,Code_Classe=Classe!C13,Code_Classe=Classe!C16,Code_Classe=Classe!C24,Code_Classe=Classe!C25,Code_Classe=Classe!C26,Code_Classe=Classe!C27,Code_Classe=Classe!C32),"O","N")</f>
        <v>N</v>
      </c>
      <c r="BC4" s="60"/>
      <c r="BD4" s="60"/>
      <c r="BE4" s="60"/>
      <c r="BF4" s="60"/>
      <c r="BG4" s="60"/>
      <c r="BH4" s="60"/>
      <c r="BI4" s="60"/>
      <c r="BJ4" s="60"/>
      <c r="BK4" s="60"/>
      <c r="BL4" s="60"/>
      <c r="BM4" s="60"/>
      <c r="BN4" s="60"/>
      <c r="BO4" s="60"/>
      <c r="BP4" s="60"/>
      <c r="BQ4" s="60"/>
      <c r="BR4" s="60"/>
      <c r="BS4" s="60"/>
      <c r="BT4" s="60"/>
      <c r="BU4" s="60"/>
      <c r="BV4" s="60"/>
      <c r="BW4" s="60"/>
      <c r="BX4" s="60"/>
      <c r="BY4" s="60"/>
      <c r="BZ4" s="60"/>
      <c r="CA4" s="60"/>
      <c r="CB4" s="60"/>
      <c r="CC4" s="60"/>
      <c r="CD4" s="60"/>
      <c r="CE4" s="60"/>
      <c r="CF4" s="60"/>
      <c r="CG4" s="60"/>
      <c r="CH4" s="60"/>
      <c r="CI4" s="60"/>
      <c r="CJ4" s="60"/>
      <c r="CK4" s="60"/>
      <c r="CL4" s="60"/>
      <c r="CM4" s="60"/>
      <c r="CN4" s="60"/>
      <c r="CO4" s="60"/>
      <c r="CP4" s="63"/>
      <c r="CQ4" s="60"/>
      <c r="CS4" s="56">
        <v>1</v>
      </c>
      <c r="CT4" s="754" t="str">
        <f>IF($AV$4="O",Sorts!K4,IF($BB$4="O",Sorts!K28,""))</f>
        <v/>
      </c>
      <c r="CU4" s="754"/>
      <c r="CV4" s="754"/>
      <c r="CW4" s="754"/>
      <c r="CX4" s="754"/>
      <c r="CY4" s="754"/>
      <c r="CZ4" s="754"/>
      <c r="DA4" s="754"/>
      <c r="DB4" s="754"/>
      <c r="DC4" s="754"/>
      <c r="DD4" s="754"/>
      <c r="DE4" s="754"/>
      <c r="DF4" s="755"/>
      <c r="DG4" s="756">
        <v>0</v>
      </c>
      <c r="DH4" s="747"/>
      <c r="DI4" s="748" t="str">
        <f>IF($AV$4="O",Sorts!L4,IF($BB$4="O",Sorts!L28,""))</f>
        <v/>
      </c>
      <c r="DJ4" s="748"/>
      <c r="DK4" s="748"/>
      <c r="DL4" s="748" t="str">
        <f>IF($AV$4="O",Sorts!M4,IF($BB$4="O",Sorts!M28,""))</f>
        <v/>
      </c>
      <c r="DM4" s="748"/>
      <c r="DN4" s="748"/>
      <c r="DO4" s="57" t="str">
        <f>IF($AV$4="O",Sorts!N4,IF($BB$4="O",Sorts!N28,""))</f>
        <v/>
      </c>
      <c r="DP4" s="57" t="str">
        <f>IF($AV$4="O",Sorts!O4,IF($BB$4="O",Sorts!O28,""))</f>
        <v/>
      </c>
      <c r="DQ4" s="58" t="str">
        <f>IF($AV$4="O",Sorts!P4,IF($BB$4="O",Sorts!P28,""))</f>
        <v/>
      </c>
      <c r="DR4" s="57"/>
      <c r="DS4" s="757" t="s">
        <v>1204</v>
      </c>
      <c r="DT4" s="747"/>
      <c r="DU4" s="57">
        <v>1</v>
      </c>
      <c r="DV4" s="758" t="str">
        <f>IF(OR($AV$6="O1",$AV$6="O2",$AV$6="O3"),Sorts!K75,IF(OR($BB$6="O1",$BB$6="O2"),Sorts!K137,""))</f>
        <v>Bouche Magique</v>
      </c>
      <c r="DW4" s="744"/>
      <c r="DX4" s="744"/>
      <c r="DY4" s="744"/>
      <c r="DZ4" s="744"/>
      <c r="EA4" s="744"/>
      <c r="EB4" s="744"/>
      <c r="EC4" s="744"/>
      <c r="ED4" s="744"/>
      <c r="EE4" s="744"/>
      <c r="EF4" s="744"/>
      <c r="EG4" s="744"/>
      <c r="EH4" s="744"/>
      <c r="EI4" s="744">
        <v>0</v>
      </c>
      <c r="EJ4" s="745"/>
      <c r="EK4" s="746" t="str">
        <f>IF(OR($AV$6="O1",$AV$6="O2",$AV$6="O3"),Sorts!L75,IF(OR($BB$6="O1",$BB$6="O2"),Sorts!L137,""))</f>
        <v>S</v>
      </c>
      <c r="EL4" s="747"/>
      <c r="EM4" s="748" t="str">
        <f>IF(OR($AV$6="O1",$AV$6="O2",$AV$6="O3"),Sorts!M75,IF(OR($BB$6="O1",$BB$6="O2"),Sorts!M137,""))</f>
        <v>S</v>
      </c>
      <c r="EN4" s="748"/>
      <c r="EO4" s="748"/>
      <c r="EP4" s="57" t="str">
        <f>IF(OR($AV$6="O1",$AV$6="O2",$AV$6="O3"),Sorts!N75,IF(OR($BB$6="O1",$BB$6="O2"),Sorts!N137,""))</f>
        <v>X</v>
      </c>
      <c r="EQ4" s="57" t="str">
        <f>IF(OR($AV$6="O1",$AV$6="O2",$AV$6="O3"),Sorts!O75,IF(OR($BB$6="O1",$BB$6="O2"),Sorts!O137,""))</f>
        <v>X</v>
      </c>
      <c r="ER4" s="58" t="str">
        <f>IF(OR($AV$6="O1",$AV$6="O2",$AV$6="O3"),Sorts!P75,IF(OR($BB$6="O1",$BB$6="O2"),Sorts!P137,""))</f>
        <v>X</v>
      </c>
      <c r="ES4" s="60"/>
      <c r="EU4" s="56">
        <v>1</v>
      </c>
      <c r="EV4" s="754" t="str">
        <f>IF($AV$4="O",Sorts!W4,IF($BB$4="O",Sorts!W28,""))</f>
        <v/>
      </c>
      <c r="EW4" s="754"/>
      <c r="EX4" s="754"/>
      <c r="EY4" s="754"/>
      <c r="EZ4" s="754"/>
      <c r="FA4" s="754"/>
      <c r="FB4" s="754"/>
      <c r="FC4" s="754"/>
      <c r="FD4" s="754"/>
      <c r="FE4" s="754"/>
      <c r="FF4" s="754"/>
      <c r="FG4" s="754"/>
      <c r="FH4" s="755"/>
      <c r="FI4" s="756">
        <v>0</v>
      </c>
      <c r="FJ4" s="747"/>
      <c r="FK4" s="748" t="str">
        <f>IF($AV$4="O",Sorts!X4,IF($BB$4="O",Sorts!X28,""))</f>
        <v/>
      </c>
      <c r="FL4" s="748"/>
      <c r="FM4" s="748"/>
      <c r="FN4" s="746" t="str">
        <f>IF($AV$4="O",Sorts!Y4,IF($BB$4="O",Sorts!Y28,""))</f>
        <v/>
      </c>
      <c r="FO4" s="754"/>
      <c r="FP4" s="747"/>
      <c r="FQ4" s="57" t="str">
        <f>IF($AV$4="O",Sorts!Z4,IF($BB$4="O",Sorts!Z28,""))</f>
        <v/>
      </c>
      <c r="FR4" s="57" t="str">
        <f>IF($AV$4="O",Sorts!AA4,IF($BB$4="O",Sorts!AA28,""))</f>
        <v/>
      </c>
      <c r="FS4" s="58" t="str">
        <f>IF($AV$4="O",Sorts!AB4,IF($BB$4="O",Sorts!AB28,""))</f>
        <v/>
      </c>
      <c r="FT4" s="57"/>
      <c r="FU4" s="757" t="s">
        <v>1204</v>
      </c>
      <c r="FV4" s="747"/>
      <c r="FW4" s="57">
        <v>1</v>
      </c>
      <c r="FX4" s="758" t="str">
        <f>IF(OR($AV$6="O1",$AV$6="O2",$AV$6="O3"),Sorts!W75,IF(OR($BB$6="O1",$BB$6="O2"),Sorts!W137,""))</f>
        <v>Abri Sûr de Léomund</v>
      </c>
      <c r="FY4" s="744"/>
      <c r="FZ4" s="744"/>
      <c r="GA4" s="744"/>
      <c r="GB4" s="744"/>
      <c r="GC4" s="744"/>
      <c r="GD4" s="744"/>
      <c r="GE4" s="744"/>
      <c r="GF4" s="744"/>
      <c r="GG4" s="744"/>
      <c r="GH4" s="744"/>
      <c r="GI4" s="744"/>
      <c r="GJ4" s="744"/>
      <c r="GK4" s="744">
        <v>0</v>
      </c>
      <c r="GL4" s="745"/>
      <c r="GM4" s="746" t="str">
        <f>IF(OR($AV$6="O1",$AV$6="O2",$AV$6="O3"),Sorts!X75,IF(OR($BB$6="O1",$BB$6="O2"),Sorts!X137,""))</f>
        <v>2''</v>
      </c>
      <c r="GN4" s="747"/>
      <c r="GO4" s="748" t="str">
        <f>IF(OR($AV$6="O1",$AV$6="O2",$AV$6="O3"),Sorts!Y75,IF(OR($BB$6="O1",$BB$6="O2"),Sorts!Y137,""))</f>
        <v>3t/n</v>
      </c>
      <c r="GP4" s="748"/>
      <c r="GQ4" s="748"/>
      <c r="GR4" s="57" t="str">
        <f>IF(OR($AV$6="O1",$AV$6="O2",$AV$6="O3"),Sorts!Z75,IF(OR($BB$6="O1",$BB$6="O2"),Sorts!Z137,""))</f>
        <v>X</v>
      </c>
      <c r="GS4" s="57" t="str">
        <f>IF(OR($AV$6="O1",$AV$6="O2",$AV$6="O3"),Sorts!AA75,IF(OR($BB$6="O1",$BB$6="O2"),Sorts!AA137,""))</f>
        <v>X</v>
      </c>
      <c r="GT4" s="58" t="str">
        <f>IF(OR($AV$6="O1",$AV$6="O2",$AV$6="O3"),Sorts!AB75,IF(OR($BB$6="O1",$BB$6="O2"),Sorts!AB137,""))</f>
        <v>X</v>
      </c>
      <c r="GU4" s="60"/>
      <c r="GW4" s="56">
        <v>1</v>
      </c>
      <c r="GX4" s="754" t="str">
        <f>IF($AV$4="O",Sorts!AI4,IF($BB$4="O",Sorts!AI28,""))</f>
        <v/>
      </c>
      <c r="GY4" s="754"/>
      <c r="GZ4" s="754"/>
      <c r="HA4" s="754"/>
      <c r="HB4" s="754"/>
      <c r="HC4" s="754"/>
      <c r="HD4" s="754"/>
      <c r="HE4" s="754"/>
      <c r="HF4" s="754"/>
      <c r="HG4" s="754"/>
      <c r="HH4" s="754"/>
      <c r="HI4" s="754"/>
      <c r="HJ4" s="755"/>
      <c r="HK4" s="756">
        <v>0</v>
      </c>
      <c r="HL4" s="747"/>
      <c r="HM4" s="748" t="str">
        <f>IF($AV$4="O",Sorts!AJ4,IF($BB$4="O",Sorts!AJ28,""))</f>
        <v/>
      </c>
      <c r="HN4" s="748"/>
      <c r="HO4" s="748"/>
      <c r="HP4" s="748" t="str">
        <f>IF($AV$4="O",Sorts!AK4,IF($BB$4="O",Sorts!AK28,""))</f>
        <v/>
      </c>
      <c r="HQ4" s="748"/>
      <c r="HR4" s="748"/>
      <c r="HS4" s="57" t="str">
        <f>IF($AV$4="O",Sorts!AL4,IF($BB$4="O",Sorts!AL28,""))</f>
        <v/>
      </c>
      <c r="HT4" s="57" t="str">
        <f>IF($AV$4="O",Sorts!AM4,IF($BB$4="O",Sorts!AM28,""))</f>
        <v/>
      </c>
      <c r="HU4" s="58" t="str">
        <f>IF($AV$4="O",Sorts!AN4,IF($BB$4="O",Sorts!AN28,""))</f>
        <v/>
      </c>
      <c r="HV4" s="57"/>
      <c r="HW4" s="757" t="s">
        <v>1204</v>
      </c>
      <c r="HX4" s="747"/>
      <c r="HY4" s="57">
        <v>1</v>
      </c>
      <c r="HZ4" s="758" t="str">
        <f>IF(OR($AV$6="O1",$AV$6="O2",$AV$6="O3"),Sorts!AI75,IF(OR($BB$6="O1",$BB$6="O2"),Sorts!AI137,""))</f>
        <v>Abaissement des Eaux</v>
      </c>
      <c r="IA4" s="744"/>
      <c r="IB4" s="744"/>
      <c r="IC4" s="744"/>
      <c r="ID4" s="744"/>
      <c r="IE4" s="744"/>
      <c r="IF4" s="744"/>
      <c r="IG4" s="744"/>
      <c r="IH4" s="744"/>
      <c r="II4" s="744"/>
      <c r="IJ4" s="744"/>
      <c r="IK4" s="744"/>
      <c r="IL4" s="744"/>
      <c r="IM4" s="744">
        <v>0</v>
      </c>
      <c r="IN4" s="745"/>
      <c r="IO4" s="746" t="str">
        <f>IF(OR($AV$6="O1",$AV$6="O2",$AV$6="O3"),Sorts!AJ75,IF(OR($BB$6="O1",$BB$6="O2"),Sorts!AJ137,""))</f>
        <v>8''</v>
      </c>
      <c r="IP4" s="747"/>
      <c r="IQ4" s="748" t="str">
        <f>IF(OR($AV$6="O1",$AV$6="O2",$AV$6="O3"),Sorts!AK75,IF(OR($BB$6="O1",$BB$6="O2"),Sorts!AK137,""))</f>
        <v>5r/n</v>
      </c>
      <c r="IR4" s="748"/>
      <c r="IS4" s="748"/>
      <c r="IT4" s="57" t="str">
        <f>IF(OR($AV$6="O1",$AV$6="O2",$AV$6="O3"),Sorts!AL75,IF(OR($BB$6="O1",$BB$6="O2"),Sorts!AL137,""))</f>
        <v>X</v>
      </c>
      <c r="IU4" s="57" t="str">
        <f>IF(OR($AV$6="O1",$AV$6="O2",$AV$6="O3"),Sorts!AM75,IF(OR($BB$6="O1",$BB$6="O2"),Sorts!AM137,""))</f>
        <v>X</v>
      </c>
      <c r="IV4" s="58" t="str">
        <f>IF(OR($AV$6="O1",$AV$6="O2",$AV$6="O3"),Sorts!AN75,IF(OR($BB$6="O1",$BB$6="O2"),Sorts!AN137,""))</f>
        <v>X</v>
      </c>
      <c r="IW4" s="60"/>
      <c r="IY4" s="384"/>
      <c r="IZ4" s="762"/>
      <c r="JA4" s="762"/>
      <c r="JB4" s="762"/>
      <c r="JC4" s="762"/>
      <c r="JD4" s="762"/>
      <c r="JE4" s="762"/>
      <c r="JF4" s="762"/>
      <c r="JG4" s="762"/>
      <c r="JH4" s="762"/>
      <c r="JI4" s="762"/>
      <c r="JJ4" s="762"/>
      <c r="JK4" s="762"/>
      <c r="JL4" s="763"/>
      <c r="JM4" s="759"/>
      <c r="JN4" s="760"/>
      <c r="JO4" s="761"/>
      <c r="JP4" s="761"/>
      <c r="JQ4" s="761"/>
      <c r="JR4" s="761"/>
      <c r="JS4" s="761"/>
      <c r="JT4" s="761"/>
      <c r="JU4" s="385"/>
      <c r="JV4" s="385"/>
      <c r="JW4" s="386"/>
      <c r="JX4" s="385"/>
      <c r="JY4" s="757" t="s">
        <v>1204</v>
      </c>
      <c r="JZ4" s="747"/>
      <c r="KA4" s="57">
        <v>1</v>
      </c>
      <c r="KB4" s="746" t="str">
        <f>IF(OR($AV$6="O1",$AV$6="O2",$AV$6="O3"),Sorts!AU75,IF(OR($BB$6="O1",$BB$6="O2"),Sorts!AU137,""))</f>
        <v>Antipathie/Sympathie</v>
      </c>
      <c r="KC4" s="754"/>
      <c r="KD4" s="754"/>
      <c r="KE4" s="754"/>
      <c r="KF4" s="754"/>
      <c r="KG4" s="754"/>
      <c r="KH4" s="754"/>
      <c r="KI4" s="754"/>
      <c r="KJ4" s="754"/>
      <c r="KK4" s="754"/>
      <c r="KL4" s="754"/>
      <c r="KM4" s="754"/>
      <c r="KN4" s="755"/>
      <c r="KO4" s="744">
        <v>0</v>
      </c>
      <c r="KP4" s="745"/>
      <c r="KQ4" s="746" t="str">
        <f>IF(OR($AV$6="O1",$AV$6="O2",$AV$6="O3"),Sorts!AV75,IF(OR($BB$6="O1",$BB$6="O2"),Sorts!AV137,""))</f>
        <v>3''</v>
      </c>
      <c r="KR4" s="747"/>
      <c r="KS4" s="748" t="str">
        <f>IF(OR($AV$6="O1",$AV$6="O2",$AV$6="O3"),Sorts!AW75,IF(OR($BB$6="O1",$BB$6="O2"),Sorts!AW137,""))</f>
        <v>12t/n</v>
      </c>
      <c r="KT4" s="748"/>
      <c r="KU4" s="748"/>
      <c r="KV4" s="57" t="str">
        <f>IF(OR($AV$6="O1",$AV$6="O2",$AV$6="O3"),Sorts!AX75,IF(OR($BB$6="O1",$BB$6="O2"),Sorts!AX137,""))</f>
        <v>X</v>
      </c>
      <c r="KW4" s="57" t="str">
        <f>IF(OR($AV$6="O1",$AV$6="O2",$AV$6="O3"),Sorts!AY75,IF(OR($BB$6="O1",$BB$6="O2"),Sorts!AY137,""))</f>
        <v>X</v>
      </c>
      <c r="KX4" s="58" t="str">
        <f>IF(OR($AV$6="O1",$AV$6="O2",$AV$6="O3"),Sorts!AZ75,IF(OR($BB$6="O1",$BB$6="O2"),Sorts!AZ137,""))</f>
        <v>X</v>
      </c>
    </row>
    <row r="5" spans="2:310" ht="18" customHeight="1" thickBot="1" x14ac:dyDescent="0.3">
      <c r="Y5" s="681"/>
      <c r="Z5" s="682"/>
      <c r="AA5" s="682"/>
      <c r="AB5" s="682"/>
      <c r="AC5" s="682"/>
      <c r="AD5" s="682"/>
      <c r="AE5" s="682"/>
      <c r="AF5" s="682"/>
      <c r="AG5" s="682"/>
      <c r="AH5" s="683"/>
      <c r="AJ5" s="690"/>
      <c r="AK5" s="691"/>
      <c r="AL5" s="691"/>
      <c r="AM5" s="691"/>
      <c r="AN5" s="691"/>
      <c r="AO5" s="692"/>
      <c r="AQ5" s="62"/>
      <c r="AR5" s="624" t="s">
        <v>620</v>
      </c>
      <c r="AS5" s="624"/>
      <c r="AT5" s="624"/>
      <c r="AU5" s="872" cm="1">
        <f t="array" ref="AU5">+IF(AND($AV$4="N",$BB$4="N"),0,IF(AND($AV$4="O",$BB$4="N"),INDEX(Niveau!$B$550:$N$586,NivC1+1,MATCH(Classe1,Niveau!$C$550:$N$550,0)+1)+$U$16,IF(AND($AV$4="N",$BB$4="O"),INDEX(Niveau!$B$550:$N$586,NivC1+1,MATCH(Classe1,Niveau!$C$550:$N$550,0)+1)+$U$16)))</f>
        <v>0</v>
      </c>
      <c r="AV5" s="872"/>
      <c r="AW5" s="624" t="s">
        <v>621</v>
      </c>
      <c r="AX5" s="624"/>
      <c r="AY5" s="624"/>
      <c r="AZ5" s="872" cm="1">
        <f t="array" ref="AZ5">+IF(AND($AV$4="N",$BB$4="N"),0,IF(AND($AV$4="O",$BB$4="N"),INDEX(Niveau!$B$588:$N$624,NivC1+1,MATCH(Classe1,Niveau!$C$588:$N$588,0)+1)+$V$16,IF(AND($AV$4="N",$BB$4="O"),INDEX(Niveau!$B$588:$N$624,NivC1+1,MATCH(Classe1,Niveau!$C$588:$N$588,0)+1)+$V$16)))</f>
        <v>0</v>
      </c>
      <c r="BA5" s="872"/>
      <c r="BB5" s="624" t="s">
        <v>623</v>
      </c>
      <c r="BC5" s="624"/>
      <c r="BD5" s="624"/>
      <c r="BE5" s="872" cm="1">
        <f t="array" ref="BE5">+IF(AND($AV$4="N",$BB$4="N"),0,IF(AND($AV$4="O",$BB$4="N"),INDEX(Niveau!$B$626:$N$662,NivC1+1,MATCH(Classe1,Niveau!$C$626:$N$626,0)+1)+$W$16,IF(AND($AV$4="N",$BB$4="O"),INDEX(Niveau!$B$626:$N$662,NivC1+1,MATCH(Classe1,Niveau!$C$626:$N$626,0)+1)+$W$16)))</f>
        <v>0</v>
      </c>
      <c r="BF5" s="872"/>
      <c r="BG5" s="624" t="s">
        <v>624</v>
      </c>
      <c r="BH5" s="624"/>
      <c r="BI5" s="624"/>
      <c r="BJ5" s="872" cm="1">
        <f t="array" ref="BJ5">+IF(AND($AV$4="N",$BB$4="N"),0,IF(AND($AV$4="O",$BB$4="N"),INDEX(Niveau!$B$664:$N$700,NivC1+1,MATCH(Classe1,Niveau!$C$664:$N$664,0)+1)+$X$16,IF(AND($AV$4="N",$BB$4="O"),INDEX(Niveau!$B$664:$N$700,NivC1+1,MATCH(Classe1,Niveau!$C$664:$N$664,0)+1)+$X$16)))</f>
        <v>0</v>
      </c>
      <c r="BK5" s="872"/>
      <c r="BL5" s="624" t="s">
        <v>625</v>
      </c>
      <c r="BM5" s="624"/>
      <c r="BN5" s="624"/>
      <c r="BO5" s="872" cm="1">
        <f t="array" ref="BO5">+IF(AND($AV$4="N",$BB$4="N"),0,IF(AND($AV$4="O",$BB$4="N"),INDEX(Niveau!$B$702:$N$738,NivC1+1,MATCH(Classe1,Niveau!$C$702:$N$702,0)+1),IF(AND($AV$4="N",$BB$4="O"),INDEX(Niveau!$B$702:$N$738,NivC1+1,MATCH(Classe1,Niveau!$C$702:$N$702,0)+1))))</f>
        <v>0</v>
      </c>
      <c r="BP5" s="872"/>
      <c r="BQ5" s="624" t="s">
        <v>626</v>
      </c>
      <c r="BR5" s="624"/>
      <c r="BS5" s="624"/>
      <c r="BT5" s="872" cm="1">
        <f t="array" ref="BT5">+IF(AND($AV$4="N",$BB$4="N"),0,IF(AND($AV$4="O",$BB$4="N"),INDEX(Niveau!$B$740:$N$776,NivC1+1,MATCH(Classe1,Niveau!$C$740:$N$740,0)+1),IF(AND($AV$4="N",$BB$4="O"),INDEX(Niveau!$B$740:$N$776,NivC1+1,MATCH(Classe1,Niveau!$C$740:$N$740,0)+1))))</f>
        <v>0</v>
      </c>
      <c r="BU5" s="872"/>
      <c r="BV5" s="624" t="s">
        <v>627</v>
      </c>
      <c r="BW5" s="624"/>
      <c r="BX5" s="624"/>
      <c r="BY5" s="872" cm="1">
        <f t="array" ref="BY5">+IF(AND($AV$4="N",$BB$4="N"),0,IF(AND($AV$4="O",$BB$4="N"),INDEX(Niveau!$B$778:$N$814,NivC1+1,MATCH(Classe1,Niveau!$C$778:$N$778,0)+1),IF(AND($AV$4="N",$BB$4="O"),INDEX(Niveau!$B$778:$N$814,NivC1+1,MATCH(Classe1,Niveau!$C$778:$N$778,0)+1))))</f>
        <v>0</v>
      </c>
      <c r="BZ5" s="872"/>
      <c r="CA5" s="60"/>
      <c r="CB5" s="60"/>
      <c r="CC5" s="60"/>
      <c r="CD5" s="60"/>
      <c r="CE5" s="60"/>
      <c r="CF5" s="60"/>
      <c r="CG5" s="60"/>
      <c r="CH5" s="60"/>
      <c r="CI5" s="60"/>
      <c r="CJ5" s="60"/>
      <c r="CK5" s="60"/>
      <c r="CL5" s="60"/>
      <c r="CM5" s="60"/>
      <c r="CN5" s="60"/>
      <c r="CO5" s="60"/>
      <c r="CP5" s="63"/>
      <c r="CQ5" s="60"/>
      <c r="CS5" s="56">
        <v>2</v>
      </c>
      <c r="CT5" s="754" t="str">
        <f>IF($AV$4="O",Sorts!K5,IF($BB$4="O",Sorts!K29,""))</f>
        <v/>
      </c>
      <c r="CU5" s="754"/>
      <c r="CV5" s="754"/>
      <c r="CW5" s="754"/>
      <c r="CX5" s="754"/>
      <c r="CY5" s="754"/>
      <c r="CZ5" s="754"/>
      <c r="DA5" s="754"/>
      <c r="DB5" s="754"/>
      <c r="DC5" s="754"/>
      <c r="DD5" s="754"/>
      <c r="DE5" s="754"/>
      <c r="DF5" s="755"/>
      <c r="DG5" s="756">
        <v>0</v>
      </c>
      <c r="DH5" s="747"/>
      <c r="DI5" s="748" t="str">
        <f>IF($AV$4="O",Sorts!L5,IF($BB$4="O",Sorts!L29,""))</f>
        <v/>
      </c>
      <c r="DJ5" s="748"/>
      <c r="DK5" s="748"/>
      <c r="DL5" s="748" t="str">
        <f>IF($AV$4="O",Sorts!M5,IF($BB$4="O",Sorts!M29,""))</f>
        <v/>
      </c>
      <c r="DM5" s="748"/>
      <c r="DN5" s="748"/>
      <c r="DO5" s="57" t="str">
        <f>IF($AV$4="O",Sorts!N5,IF($BB$4="O",Sorts!N29,""))</f>
        <v/>
      </c>
      <c r="DP5" s="57" t="str">
        <f>IF($AV$4="O",Sorts!O5,IF($BB$4="O",Sorts!O29,""))</f>
        <v/>
      </c>
      <c r="DQ5" s="58" t="str">
        <f>IF($AV$4="O",Sorts!P5,IF($BB$4="O",Sorts!P29,""))</f>
        <v/>
      </c>
      <c r="DR5" s="57"/>
      <c r="DS5" s="757" t="s">
        <v>1204</v>
      </c>
      <c r="DT5" s="747"/>
      <c r="DU5" s="57">
        <v>2</v>
      </c>
      <c r="DV5" s="758" t="str">
        <f>IF(OR($AV$6="O1",$AV$6="O2",$AV$6="O3"),Sorts!K76,IF(OR($BB$6="O1",$BB$6="O2"),Sorts!K138,""))</f>
        <v>Bruitage</v>
      </c>
      <c r="DW5" s="744"/>
      <c r="DX5" s="744"/>
      <c r="DY5" s="744"/>
      <c r="DZ5" s="744"/>
      <c r="EA5" s="744"/>
      <c r="EB5" s="744"/>
      <c r="EC5" s="744"/>
      <c r="ED5" s="744"/>
      <c r="EE5" s="744"/>
      <c r="EF5" s="744"/>
      <c r="EG5" s="744"/>
      <c r="EH5" s="744"/>
      <c r="EI5" s="744">
        <v>0</v>
      </c>
      <c r="EJ5" s="745"/>
      <c r="EK5" s="746" t="str">
        <f>IF(OR($AV$6="O1",$AV$6="O2",$AV$6="O3"),Sorts!L76,IF(OR($BB$6="O1",$BB$6="O2"),Sorts!L138,""))</f>
        <v>6''+1/n</v>
      </c>
      <c r="EL5" s="747"/>
      <c r="EM5" s="748" t="str">
        <f>IF(OR($AV$6="O1",$AV$6="O2",$AV$6="O3"),Sorts!M76,IF(OR($BB$6="O1",$BB$6="O2"),Sorts!M138,""))</f>
        <v>2r/n</v>
      </c>
      <c r="EN5" s="748"/>
      <c r="EO5" s="748"/>
      <c r="EP5" s="57" t="str">
        <f>IF(OR($AV$6="O1",$AV$6="O2",$AV$6="O3"),Sorts!N76,IF(OR($BB$6="O1",$BB$6="O2"),Sorts!N138,""))</f>
        <v>X</v>
      </c>
      <c r="EQ5" s="57" t="str">
        <f>IF(OR($AV$6="O1",$AV$6="O2",$AV$6="O3"),Sorts!O76,IF(OR($BB$6="O1",$BB$6="O2"),Sorts!O138,""))</f>
        <v>/</v>
      </c>
      <c r="ER5" s="58" t="str">
        <f>IF(OR($AV$6="O1",$AV$6="O2",$AV$6="O3"),Sorts!P76,IF(OR($BB$6="O1",$BB$6="O2"),Sorts!P138,""))</f>
        <v>X</v>
      </c>
      <c r="ES5" s="60"/>
      <c r="EU5" s="56">
        <v>2</v>
      </c>
      <c r="EV5" s="754" t="str">
        <f>IF($AV$4="O",Sorts!W5,IF($BB$4="O",Sorts!W29,""))</f>
        <v/>
      </c>
      <c r="EW5" s="754"/>
      <c r="EX5" s="754"/>
      <c r="EY5" s="754"/>
      <c r="EZ5" s="754"/>
      <c r="FA5" s="754"/>
      <c r="FB5" s="754"/>
      <c r="FC5" s="754"/>
      <c r="FD5" s="754"/>
      <c r="FE5" s="754"/>
      <c r="FF5" s="754"/>
      <c r="FG5" s="754"/>
      <c r="FH5" s="755"/>
      <c r="FI5" s="756">
        <v>0</v>
      </c>
      <c r="FJ5" s="747"/>
      <c r="FK5" s="748" t="str">
        <f>IF($AV$4="O",Sorts!X5,IF($BB$4="O",Sorts!X29,""))</f>
        <v/>
      </c>
      <c r="FL5" s="748"/>
      <c r="FM5" s="748"/>
      <c r="FN5" s="746" t="str">
        <f>IF($AV$4="O",Sorts!Y5,IF($BB$4="O",Sorts!Y29,""))</f>
        <v/>
      </c>
      <c r="FO5" s="754"/>
      <c r="FP5" s="747"/>
      <c r="FQ5" s="57" t="str">
        <f>IF($AV$4="O",Sorts!Z5,IF($BB$4="O",Sorts!Z29,""))</f>
        <v/>
      </c>
      <c r="FR5" s="57" t="str">
        <f>IF($AV$4="O",Sorts!AA5,IF($BB$4="O",Sorts!AA29,""))</f>
        <v/>
      </c>
      <c r="FS5" s="58" t="str">
        <f>IF($AV$4="O",Sorts!AB5,IF($BB$4="O",Sorts!AB29,""))</f>
        <v/>
      </c>
      <c r="FT5" s="57"/>
      <c r="FU5" s="757" t="s">
        <v>1204</v>
      </c>
      <c r="FV5" s="747"/>
      <c r="FW5" s="57">
        <v>2</v>
      </c>
      <c r="FX5" s="758" t="str">
        <f>IF(OR($AV$6="O1",$AV$6="O2",$AV$6="O3"),Sorts!W76,IF(OR($BB$6="O1",$BB$6="O2"),Sorts!W138,""))</f>
        <v>Allométamorphose</v>
      </c>
      <c r="FY5" s="744"/>
      <c r="FZ5" s="744"/>
      <c r="GA5" s="744"/>
      <c r="GB5" s="744"/>
      <c r="GC5" s="744"/>
      <c r="GD5" s="744"/>
      <c r="GE5" s="744"/>
      <c r="GF5" s="744"/>
      <c r="GG5" s="744"/>
      <c r="GH5" s="744"/>
      <c r="GI5" s="744"/>
      <c r="GJ5" s="744"/>
      <c r="GK5" s="744">
        <v>0</v>
      </c>
      <c r="GL5" s="745"/>
      <c r="GM5" s="746" t="str">
        <f>IF(OR($AV$6="O1",$AV$6="O2",$AV$6="O3"),Sorts!X76,IF(OR($BB$6="O1",$BB$6="O2"),Sorts!X138,""))</f>
        <v>0,5''/n</v>
      </c>
      <c r="GN5" s="747"/>
      <c r="GO5" s="748" t="str">
        <f>IF(OR($AV$6="O1",$AV$6="O2",$AV$6="O3"),Sorts!Y76,IF(OR($BB$6="O1",$BB$6="O2"),Sorts!Y138,""))</f>
        <v>P</v>
      </c>
      <c r="GP5" s="748"/>
      <c r="GQ5" s="748"/>
      <c r="GR5" s="57" t="str">
        <f>IF(OR($AV$6="O1",$AV$6="O2",$AV$6="O3"),Sorts!Z76,IF(OR($BB$6="O1",$BB$6="O2"),Sorts!Z138,""))</f>
        <v>X</v>
      </c>
      <c r="GS5" s="57" t="str">
        <f>IF(OR($AV$6="O1",$AV$6="O2",$AV$6="O3"),Sorts!AA76,IF(OR($BB$6="O1",$BB$6="O2"),Sorts!AA138,""))</f>
        <v>X</v>
      </c>
      <c r="GT5" s="58" t="str">
        <f>IF(OR($AV$6="O1",$AV$6="O2",$AV$6="O3"),Sorts!AB76,IF(OR($BB$6="O1",$BB$6="O2"),Sorts!AB138,""))</f>
        <v>X</v>
      </c>
      <c r="GU5" s="60"/>
      <c r="GW5" s="56">
        <v>2</v>
      </c>
      <c r="GX5" s="754" t="str">
        <f>IF($AV$4="O",Sorts!AI5,IF($BB$4="O",Sorts!AI29,""))</f>
        <v/>
      </c>
      <c r="GY5" s="754"/>
      <c r="GZ5" s="754"/>
      <c r="HA5" s="754"/>
      <c r="HB5" s="754"/>
      <c r="HC5" s="754"/>
      <c r="HD5" s="754"/>
      <c r="HE5" s="754"/>
      <c r="HF5" s="754"/>
      <c r="HG5" s="754"/>
      <c r="HH5" s="754"/>
      <c r="HI5" s="754"/>
      <c r="HJ5" s="755"/>
      <c r="HK5" s="756">
        <v>0</v>
      </c>
      <c r="HL5" s="747"/>
      <c r="HM5" s="748" t="str">
        <f>IF($AV$4="O",Sorts!AJ5,IF($BB$4="O",Sorts!AJ29,""))</f>
        <v/>
      </c>
      <c r="HN5" s="748"/>
      <c r="HO5" s="748"/>
      <c r="HP5" s="748" t="str">
        <f>IF($AV$4="O",Sorts!AK5,IF($BB$4="O",Sorts!AK29,""))</f>
        <v/>
      </c>
      <c r="HQ5" s="748"/>
      <c r="HR5" s="748"/>
      <c r="HS5" s="57" t="str">
        <f>IF($AV$4="O",Sorts!AL5,IF($BB$4="O",Sorts!AL29,""))</f>
        <v/>
      </c>
      <c r="HT5" s="57" t="str">
        <f>IF($AV$4="O",Sorts!AM5,IF($BB$4="O",Sorts!AM29,""))</f>
        <v/>
      </c>
      <c r="HU5" s="58" t="str">
        <f>IF($AV$4="O",Sorts!AN5,IF($BB$4="O",Sorts!AN29,""))</f>
        <v/>
      </c>
      <c r="HV5" s="57"/>
      <c r="HW5" s="757" t="s">
        <v>1204</v>
      </c>
      <c r="HX5" s="747"/>
      <c r="HY5" s="57">
        <v>2</v>
      </c>
      <c r="HZ5" s="758" t="str">
        <f>IF(OR($AV$6="O1",$AV$6="O2",$AV$6="O3"),Sorts!AI76,IF(OR($BB$6="O1",$BB$6="O2"),Sorts!AI138,""))</f>
        <v>Bulle Anti-Magique</v>
      </c>
      <c r="IA5" s="744"/>
      <c r="IB5" s="744"/>
      <c r="IC5" s="744"/>
      <c r="ID5" s="744"/>
      <c r="IE5" s="744"/>
      <c r="IF5" s="744"/>
      <c r="IG5" s="744"/>
      <c r="IH5" s="744"/>
      <c r="II5" s="744"/>
      <c r="IJ5" s="744"/>
      <c r="IK5" s="744"/>
      <c r="IL5" s="744"/>
      <c r="IM5" s="744">
        <v>0</v>
      </c>
      <c r="IN5" s="745"/>
      <c r="IO5" s="746">
        <f>IF(OR($AV$6="O1",$AV$6="O2",$AV$6="O3"),Sorts!AJ76,IF(OR($BB$6="O1",$BB$6="O2"),Sorts!AJ138,""))</f>
        <v>0</v>
      </c>
      <c r="IP5" s="747"/>
      <c r="IQ5" s="748" t="str">
        <f>IF(OR($AV$6="O1",$AV$6="O2",$AV$6="O3"),Sorts!AK76,IF(OR($BB$6="O1",$BB$6="O2"),Sorts!AK138,""))</f>
        <v>1t/n</v>
      </c>
      <c r="IR5" s="748"/>
      <c r="IS5" s="748"/>
      <c r="IT5" s="57" t="str">
        <f>IF(OR($AV$6="O1",$AV$6="O2",$AV$6="O3"),Sorts!AL76,IF(OR($BB$6="O1",$BB$6="O2"),Sorts!AL138,""))</f>
        <v>X</v>
      </c>
      <c r="IU5" s="57" t="str">
        <f>IF(OR($AV$6="O1",$AV$6="O2",$AV$6="O3"),Sorts!AM76,IF(OR($BB$6="O1",$BB$6="O2"),Sorts!AM138,""))</f>
        <v>X</v>
      </c>
      <c r="IV5" s="58" t="str">
        <f>IF(OR($AV$6="O1",$AV$6="O2",$AV$6="O3"),Sorts!AN76,IF(OR($BB$6="O1",$BB$6="O2"),Sorts!AN138,""))</f>
        <v>/</v>
      </c>
      <c r="IW5" s="60"/>
      <c r="IY5" s="384"/>
      <c r="IZ5" s="762"/>
      <c r="JA5" s="762"/>
      <c r="JB5" s="762"/>
      <c r="JC5" s="762"/>
      <c r="JD5" s="762"/>
      <c r="JE5" s="762"/>
      <c r="JF5" s="762"/>
      <c r="JG5" s="762"/>
      <c r="JH5" s="762"/>
      <c r="JI5" s="762"/>
      <c r="JJ5" s="762"/>
      <c r="JK5" s="762"/>
      <c r="JL5" s="763"/>
      <c r="JM5" s="759"/>
      <c r="JN5" s="760"/>
      <c r="JO5" s="761"/>
      <c r="JP5" s="761"/>
      <c r="JQ5" s="761"/>
      <c r="JR5" s="761"/>
      <c r="JS5" s="761"/>
      <c r="JT5" s="761"/>
      <c r="JU5" s="385"/>
      <c r="JV5" s="385"/>
      <c r="JW5" s="386"/>
      <c r="JX5" s="385"/>
      <c r="JY5" s="757" t="s">
        <v>1204</v>
      </c>
      <c r="JZ5" s="747"/>
      <c r="KA5" s="57">
        <v>2</v>
      </c>
      <c r="KB5" s="746" t="str">
        <f>IF(OR($AV$6="O1",$AV$6="O2",$AV$6="O3"),Sorts!AU76,IF(OR($BB$6="O1",$BB$6="O2"),Sorts!AU138,""))</f>
        <v>Attache</v>
      </c>
      <c r="KC5" s="754"/>
      <c r="KD5" s="754"/>
      <c r="KE5" s="754"/>
      <c r="KF5" s="754"/>
      <c r="KG5" s="754"/>
      <c r="KH5" s="754"/>
      <c r="KI5" s="754"/>
      <c r="KJ5" s="754"/>
      <c r="KK5" s="754"/>
      <c r="KL5" s="754"/>
      <c r="KM5" s="754"/>
      <c r="KN5" s="755"/>
      <c r="KO5" s="744">
        <v>0</v>
      </c>
      <c r="KP5" s="745"/>
      <c r="KQ5" s="746" t="str">
        <f>IF(OR($AV$6="O1",$AV$6="O2",$AV$6="O3"),Sorts!AV76,IF(OR($BB$6="O1",$BB$6="O2"),Sorts!AV138,""))</f>
        <v>1''</v>
      </c>
      <c r="KR5" s="747"/>
      <c r="KS5" s="748" t="str">
        <f>IF(OR($AV$6="O1",$AV$6="O2",$AV$6="O3"),Sorts!AW76,IF(OR($BB$6="O1",$BB$6="O2"),Sorts!AW138,""))</f>
        <v>S</v>
      </c>
      <c r="KT5" s="748"/>
      <c r="KU5" s="748"/>
      <c r="KV5" s="57" t="str">
        <f>IF(OR($AV$6="O1",$AV$6="O2",$AV$6="O3"),Sorts!AX76,IF(OR($BB$6="O1",$BB$6="O2"),Sorts!AX138,""))</f>
        <v>X</v>
      </c>
      <c r="KW5" s="57" t="str">
        <f>IF(OR($AV$6="O1",$AV$6="O2",$AV$6="O3"),Sorts!AY76,IF(OR($BB$6="O1",$BB$6="O2"),Sorts!AY138,""))</f>
        <v>X</v>
      </c>
      <c r="KX5" s="58" t="str">
        <f>IF(OR($AV$6="O1",$AV$6="O2",$AV$6="O3"),Sorts!AZ76,IF(OR($BB$6="O1",$BB$6="O2"),Sorts!AZ138,""))</f>
        <v>X</v>
      </c>
    </row>
    <row r="6" spans="2:310" ht="18" customHeight="1" x14ac:dyDescent="0.25">
      <c r="B6" s="664" t="s">
        <v>1687</v>
      </c>
      <c r="C6" s="665"/>
      <c r="D6" s="711" t="s">
        <v>1433</v>
      </c>
      <c r="E6" s="711"/>
      <c r="F6" s="711"/>
      <c r="G6" s="711"/>
      <c r="H6" s="711"/>
      <c r="I6" s="711"/>
      <c r="J6" s="711"/>
      <c r="K6" s="711"/>
      <c r="L6" s="712"/>
      <c r="N6" s="596" t="s">
        <v>1689</v>
      </c>
      <c r="O6" s="597"/>
      <c r="P6" s="674"/>
      <c r="Q6" s="674"/>
      <c r="R6" s="674"/>
      <c r="S6" s="674"/>
      <c r="T6" s="674"/>
      <c r="U6" s="674"/>
      <c r="V6" s="674"/>
      <c r="W6" s="675"/>
      <c r="Y6" s="681"/>
      <c r="Z6" s="682"/>
      <c r="AA6" s="682"/>
      <c r="AB6" s="682"/>
      <c r="AC6" s="682"/>
      <c r="AD6" s="682"/>
      <c r="AE6" s="682"/>
      <c r="AF6" s="682"/>
      <c r="AG6" s="682"/>
      <c r="AH6" s="683"/>
      <c r="AJ6" s="690"/>
      <c r="AK6" s="691"/>
      <c r="AL6" s="691"/>
      <c r="AM6" s="691"/>
      <c r="AN6" s="691"/>
      <c r="AO6" s="692"/>
      <c r="AQ6" s="62"/>
      <c r="AR6" s="889" t="s">
        <v>102</v>
      </c>
      <c r="AS6" s="890"/>
      <c r="AT6" s="890"/>
      <c r="AU6" s="891"/>
      <c r="AV6" s="389" t="str">
        <f>IF(OR(Code_Classe=Classe!C7,Code_Classe=Classe!C11,Code_Classe=Classe!C33,Code_Classe=Classe!C34),"O1",IF(OR(Code_Classe=Classe!C19,Code_Classe=Classe!C20,Code_Classe=Classe!C25,Code_Classe=Classe!C26,Code_Classe=Classe!C28,Code_Classe=Classe!C32,Code_Classe=Classe!C39,Code_Classe=Classe!C40),"O2",IF(Code_Classe=Classe!C37,"O3","N")))</f>
        <v>O2</v>
      </c>
      <c r="AW6" s="64"/>
      <c r="AX6" s="892" t="s">
        <v>117</v>
      </c>
      <c r="AY6" s="892"/>
      <c r="AZ6" s="892"/>
      <c r="BA6" s="892"/>
      <c r="BB6" s="389" t="str">
        <f>IF(OR(Code_Classe=Classe!C12,Code_Classe=Classe!C35,Code_Classe=Classe!C36),"O1",IF(OR(Code_Classe=Classe!C21,Code_Classe=Classe!C29),"O2","N"))</f>
        <v>N</v>
      </c>
      <c r="BC6" s="60"/>
      <c r="BD6" s="60">
        <f>IF(OR($D$7="MAGICIEN",$D$7="ILLUSIONISTE",$D$7="RANGER"),1,0)</f>
        <v>0</v>
      </c>
      <c r="BE6" s="60"/>
      <c r="BF6" s="64"/>
      <c r="BG6" s="60"/>
      <c r="BH6" s="60"/>
      <c r="BI6" s="60"/>
      <c r="BJ6" s="65" t="s">
        <v>1196</v>
      </c>
      <c r="BK6" s="64" t="s">
        <v>1207</v>
      </c>
      <c r="BL6" s="60"/>
      <c r="BN6" s="60"/>
      <c r="BP6" s="60"/>
      <c r="BQ6" s="65" t="s">
        <v>1203</v>
      </c>
      <c r="BR6" s="64" t="s">
        <v>1206</v>
      </c>
      <c r="BS6" s="60"/>
      <c r="BT6" s="60"/>
      <c r="BU6" s="60"/>
      <c r="BV6" s="60"/>
      <c r="BW6" s="60"/>
      <c r="BX6" s="60"/>
      <c r="BY6" s="60"/>
      <c r="BZ6" s="60"/>
      <c r="CA6" s="60"/>
      <c r="CB6" s="65" t="s">
        <v>1204</v>
      </c>
      <c r="CC6" s="64" t="s">
        <v>1205</v>
      </c>
      <c r="CD6" s="60"/>
      <c r="CE6" s="60"/>
      <c r="CF6" s="60"/>
      <c r="CG6" s="60"/>
      <c r="CH6" s="60"/>
      <c r="CI6" s="60"/>
      <c r="CJ6" s="60"/>
      <c r="CK6" s="60"/>
      <c r="CL6" s="60"/>
      <c r="CM6" s="60"/>
      <c r="CN6" s="60"/>
      <c r="CO6" s="60"/>
      <c r="CP6" s="63"/>
      <c r="CQ6" s="60"/>
      <c r="CS6" s="56">
        <v>3</v>
      </c>
      <c r="CT6" s="754" t="str">
        <f>IF($AV$4="O",Sorts!K6,IF($BB$4="O",Sorts!K30,""))</f>
        <v/>
      </c>
      <c r="CU6" s="754"/>
      <c r="CV6" s="754"/>
      <c r="CW6" s="754"/>
      <c r="CX6" s="754"/>
      <c r="CY6" s="754"/>
      <c r="CZ6" s="754"/>
      <c r="DA6" s="754"/>
      <c r="DB6" s="754"/>
      <c r="DC6" s="754"/>
      <c r="DD6" s="754"/>
      <c r="DE6" s="754"/>
      <c r="DF6" s="755"/>
      <c r="DG6" s="756">
        <v>0</v>
      </c>
      <c r="DH6" s="747"/>
      <c r="DI6" s="748" t="str">
        <f>IF($AV$4="O",Sorts!L6,IF($BB$4="O",Sorts!L30,""))</f>
        <v/>
      </c>
      <c r="DJ6" s="748"/>
      <c r="DK6" s="748"/>
      <c r="DL6" s="748" t="str">
        <f>IF($AV$4="O",Sorts!M6,IF($BB$4="O",Sorts!M30,""))</f>
        <v/>
      </c>
      <c r="DM6" s="748"/>
      <c r="DN6" s="748"/>
      <c r="DO6" s="57" t="str">
        <f>IF($AV$4="O",Sorts!N6,IF($BB$4="O",Sorts!N30,""))</f>
        <v/>
      </c>
      <c r="DP6" s="57" t="str">
        <f>IF($AV$4="O",Sorts!O6,IF($BB$4="O",Sorts!O30,""))</f>
        <v/>
      </c>
      <c r="DQ6" s="58" t="str">
        <f>IF($AV$4="O",Sorts!P6,IF($BB$4="O",Sorts!P30,""))</f>
        <v/>
      </c>
      <c r="DR6" s="57"/>
      <c r="DS6" s="757" t="s">
        <v>1204</v>
      </c>
      <c r="DT6" s="747"/>
      <c r="DU6" s="57">
        <v>3</v>
      </c>
      <c r="DV6" s="758" t="str">
        <f>IF(OR($AV$6="O1",$AV$6="O2",$AV$6="O3"),Sorts!K77,IF(OR($BB$6="O1",$BB$6="O2"),Sorts!K139,""))</f>
        <v>Corde Enchantée</v>
      </c>
      <c r="DW6" s="744"/>
      <c r="DX6" s="744"/>
      <c r="DY6" s="744"/>
      <c r="DZ6" s="744"/>
      <c r="EA6" s="744"/>
      <c r="EB6" s="744"/>
      <c r="EC6" s="744"/>
      <c r="ED6" s="744"/>
      <c r="EE6" s="744"/>
      <c r="EF6" s="744"/>
      <c r="EG6" s="744"/>
      <c r="EH6" s="744"/>
      <c r="EI6" s="744">
        <v>0</v>
      </c>
      <c r="EJ6" s="745"/>
      <c r="EK6" s="746" t="str">
        <f>IF(OR($AV$6="O1",$AV$6="O2",$AV$6="O3"),Sorts!L77,IF(OR($BB$6="O1",$BB$6="O2"),Sorts!L139,""))</f>
        <v>T</v>
      </c>
      <c r="EL6" s="747"/>
      <c r="EM6" s="748" t="str">
        <f>IF(OR($AV$6="O1",$AV$6="O2",$AV$6="O3"),Sorts!M77,IF(OR($BB$6="O1",$BB$6="O2"),Sorts!M139,""))</f>
        <v>2t/n</v>
      </c>
      <c r="EN6" s="748"/>
      <c r="EO6" s="748"/>
      <c r="EP6" s="57" t="str">
        <f>IF(OR($AV$6="O1",$AV$6="O2",$AV$6="O3"),Sorts!N77,IF(OR($BB$6="O1",$BB$6="O2"),Sorts!N139,""))</f>
        <v>X</v>
      </c>
      <c r="EQ6" s="57" t="str">
        <f>IF(OR($AV$6="O1",$AV$6="O2",$AV$6="O3"),Sorts!O77,IF(OR($BB$6="O1",$BB$6="O2"),Sorts!O139,""))</f>
        <v>X</v>
      </c>
      <c r="ER6" s="58" t="str">
        <f>IF(OR($AV$6="O1",$AV$6="O2",$AV$6="O3"),Sorts!P77,IF(OR($BB$6="O1",$BB$6="O2"),Sorts!P139,""))</f>
        <v>X</v>
      </c>
      <c r="ES6" s="60"/>
      <c r="EU6" s="56">
        <v>3</v>
      </c>
      <c r="EV6" s="754" t="str">
        <f>IF($AV$4="O",Sorts!W6,IF($BB$4="O",Sorts!W30,""))</f>
        <v/>
      </c>
      <c r="EW6" s="754"/>
      <c r="EX6" s="754"/>
      <c r="EY6" s="754"/>
      <c r="EZ6" s="754"/>
      <c r="FA6" s="754"/>
      <c r="FB6" s="754"/>
      <c r="FC6" s="754"/>
      <c r="FD6" s="754"/>
      <c r="FE6" s="754"/>
      <c r="FF6" s="754"/>
      <c r="FG6" s="754"/>
      <c r="FH6" s="755"/>
      <c r="FI6" s="756">
        <v>0</v>
      </c>
      <c r="FJ6" s="747"/>
      <c r="FK6" s="748" t="str">
        <f>IF($AV$4="O",Sorts!X6,IF($BB$4="O",Sorts!X30,""))</f>
        <v/>
      </c>
      <c r="FL6" s="748"/>
      <c r="FM6" s="748"/>
      <c r="FN6" s="746" t="str">
        <f>IF($AV$4="O",Sorts!Y6,IF($BB$4="O",Sorts!Y30,""))</f>
        <v/>
      </c>
      <c r="FO6" s="754"/>
      <c r="FP6" s="747"/>
      <c r="FQ6" s="57" t="str">
        <f>IF($AV$4="O",Sorts!Z6,IF($BB$4="O",Sorts!Z30,""))</f>
        <v/>
      </c>
      <c r="FR6" s="57" t="str">
        <f>IF($AV$4="O",Sorts!AA6,IF($BB$4="O",Sorts!AA30,""))</f>
        <v/>
      </c>
      <c r="FS6" s="58" t="str">
        <f>IF($AV$4="O",Sorts!AB6,IF($BB$4="O",Sorts!AB30,""))</f>
        <v/>
      </c>
      <c r="FT6" s="57"/>
      <c r="FU6" s="757" t="s">
        <v>1204</v>
      </c>
      <c r="FV6" s="747"/>
      <c r="FW6" s="57">
        <v>3</v>
      </c>
      <c r="FX6" s="758" t="str">
        <f>IF(OR($AV$6="O1",$AV$6="O2",$AV$6="O3"),Sorts!W77,IF(OR($BB$6="O1",$BB$6="O2"),Sorts!W139,""))</f>
        <v>Arme Enchantée</v>
      </c>
      <c r="FY6" s="744"/>
      <c r="FZ6" s="744"/>
      <c r="GA6" s="744"/>
      <c r="GB6" s="744"/>
      <c r="GC6" s="744"/>
      <c r="GD6" s="744"/>
      <c r="GE6" s="744"/>
      <c r="GF6" s="744"/>
      <c r="GG6" s="744"/>
      <c r="GH6" s="744"/>
      <c r="GI6" s="744"/>
      <c r="GJ6" s="744"/>
      <c r="GK6" s="744">
        <v>0</v>
      </c>
      <c r="GL6" s="745"/>
      <c r="GM6" s="746" t="str">
        <f>IF(OR($AV$6="O1",$AV$6="O2",$AV$6="O3"),Sorts!X77,IF(OR($BB$6="O1",$BB$6="O2"),Sorts!X139,""))</f>
        <v>T</v>
      </c>
      <c r="GN6" s="747"/>
      <c r="GO6" s="748" t="str">
        <f>IF(OR($AV$6="O1",$AV$6="O2",$AV$6="O3"),Sorts!Y77,IF(OR($BB$6="O1",$BB$6="O2"),Sorts!Y139,""))</f>
        <v>5r/n</v>
      </c>
      <c r="GP6" s="748"/>
      <c r="GQ6" s="748"/>
      <c r="GR6" s="57" t="str">
        <f>IF(OR($AV$6="O1",$AV$6="O2",$AV$6="O3"),Sorts!Z77,IF(OR($BB$6="O1",$BB$6="O2"),Sorts!Z139,""))</f>
        <v>X</v>
      </c>
      <c r="GS6" s="57" t="str">
        <f>IF(OR($AV$6="O1",$AV$6="O2",$AV$6="O3"),Sorts!AA77,IF(OR($BB$6="O1",$BB$6="O2"),Sorts!AA139,""))</f>
        <v>X</v>
      </c>
      <c r="GT6" s="58" t="str">
        <f>IF(OR($AV$6="O1",$AV$6="O2",$AV$6="O3"),Sorts!AB77,IF(OR($BB$6="O1",$BB$6="O2"),Sorts!AB139,""))</f>
        <v>X</v>
      </c>
      <c r="GU6" s="60"/>
      <c r="GW6" s="56">
        <v>3</v>
      </c>
      <c r="GX6" s="754" t="str">
        <f>IF($AV$4="O",Sorts!AI6,IF($BB$4="O",Sorts!AI30,""))</f>
        <v/>
      </c>
      <c r="GY6" s="754"/>
      <c r="GZ6" s="754"/>
      <c r="HA6" s="754"/>
      <c r="HB6" s="754"/>
      <c r="HC6" s="754"/>
      <c r="HD6" s="754"/>
      <c r="HE6" s="754"/>
      <c r="HF6" s="754"/>
      <c r="HG6" s="754"/>
      <c r="HH6" s="754"/>
      <c r="HI6" s="754"/>
      <c r="HJ6" s="755"/>
      <c r="HK6" s="756">
        <v>0</v>
      </c>
      <c r="HL6" s="747"/>
      <c r="HM6" s="748" t="str">
        <f>IF($AV$4="O",Sorts!AJ6,IF($BB$4="O",Sorts!AJ30,""))</f>
        <v/>
      </c>
      <c r="HN6" s="748"/>
      <c r="HO6" s="748"/>
      <c r="HP6" s="748" t="str">
        <f>IF($AV$4="O",Sorts!AK6,IF($BB$4="O",Sorts!AK30,""))</f>
        <v/>
      </c>
      <c r="HQ6" s="748"/>
      <c r="HR6" s="748"/>
      <c r="HS6" s="57" t="str">
        <f>IF($AV$4="O",Sorts!AL6,IF($BB$4="O",Sorts!AL30,""))</f>
        <v/>
      </c>
      <c r="HT6" s="57" t="str">
        <f>IF($AV$4="O",Sorts!AM6,IF($BB$4="O",Sorts!AM30,""))</f>
        <v/>
      </c>
      <c r="HU6" s="58" t="str">
        <f>IF($AV$4="O",Sorts!AN6,IF($BB$4="O",Sorts!AN30,""))</f>
        <v/>
      </c>
      <c r="HV6" s="57"/>
      <c r="HW6" s="757" t="s">
        <v>1204</v>
      </c>
      <c r="HX6" s="747"/>
      <c r="HY6" s="57">
        <v>3</v>
      </c>
      <c r="HZ6" s="758" t="str">
        <f>IF(OR($AV$6="O1",$AV$6="O2",$AV$6="O3"),Sorts!AI77,IF(OR($BB$6="O1",$BB$6="O2"),Sorts!AI139,""))</f>
        <v>Chasseur Invisible</v>
      </c>
      <c r="IA6" s="744"/>
      <c r="IB6" s="744"/>
      <c r="IC6" s="744"/>
      <c r="ID6" s="744"/>
      <c r="IE6" s="744"/>
      <c r="IF6" s="744"/>
      <c r="IG6" s="744"/>
      <c r="IH6" s="744"/>
      <c r="II6" s="744"/>
      <c r="IJ6" s="744"/>
      <c r="IK6" s="744"/>
      <c r="IL6" s="744"/>
      <c r="IM6" s="744">
        <v>0</v>
      </c>
      <c r="IN6" s="745"/>
      <c r="IO6" s="746" t="str">
        <f>IF(OR($AV$6="O1",$AV$6="O2",$AV$6="O3"),Sorts!AJ77,IF(OR($BB$6="O1",$BB$6="O2"),Sorts!AJ139,""))</f>
        <v>1''</v>
      </c>
      <c r="IP6" s="747"/>
      <c r="IQ6" s="748" t="str">
        <f>IF(OR($AV$6="O1",$AV$6="O2",$AV$6="O3"),Sorts!AK77,IF(OR($BB$6="O1",$BB$6="O2"),Sorts!AK139,""))</f>
        <v>S</v>
      </c>
      <c r="IR6" s="748"/>
      <c r="IS6" s="748"/>
      <c r="IT6" s="57" t="str">
        <f>IF(OR($AV$6="O1",$AV$6="O2",$AV$6="O3"),Sorts!AL77,IF(OR($BB$6="O1",$BB$6="O2"),Sorts!AL139,""))</f>
        <v>X</v>
      </c>
      <c r="IU6" s="57" t="str">
        <f>IF(OR($AV$6="O1",$AV$6="O2",$AV$6="O3"),Sorts!AM77,IF(OR($BB$6="O1",$BB$6="O2"),Sorts!AM139,""))</f>
        <v>X</v>
      </c>
      <c r="IV6" s="58" t="str">
        <f>IF(OR($AV$6="O1",$AV$6="O2",$AV$6="O3"),Sorts!AN77,IF(OR($BB$6="O1",$BB$6="O2"),Sorts!AN139,""))</f>
        <v>X</v>
      </c>
      <c r="IW6" s="60"/>
      <c r="IY6" s="384"/>
      <c r="IZ6" s="762"/>
      <c r="JA6" s="762"/>
      <c r="JB6" s="762"/>
      <c r="JC6" s="762"/>
      <c r="JD6" s="762"/>
      <c r="JE6" s="762"/>
      <c r="JF6" s="762"/>
      <c r="JG6" s="762"/>
      <c r="JH6" s="762"/>
      <c r="JI6" s="762"/>
      <c r="JJ6" s="762"/>
      <c r="JK6" s="762"/>
      <c r="JL6" s="763"/>
      <c r="JM6" s="759"/>
      <c r="JN6" s="760"/>
      <c r="JO6" s="761"/>
      <c r="JP6" s="761"/>
      <c r="JQ6" s="761"/>
      <c r="JR6" s="761"/>
      <c r="JS6" s="761"/>
      <c r="JT6" s="761"/>
      <c r="JU6" s="385"/>
      <c r="JV6" s="385"/>
      <c r="JW6" s="386"/>
      <c r="JX6" s="385"/>
      <c r="JY6" s="757" t="s">
        <v>1204</v>
      </c>
      <c r="JZ6" s="747"/>
      <c r="KA6" s="57">
        <v>3</v>
      </c>
      <c r="KB6" s="746" t="str">
        <f>IF(OR($AV$6="O1",$AV$6="O2",$AV$6="O3"),Sorts!AU77,IF(OR($BB$6="O1",$BB$6="O2"),Sorts!AU139,""))</f>
        <v>Charme-Masse</v>
      </c>
      <c r="KC6" s="754"/>
      <c r="KD6" s="754"/>
      <c r="KE6" s="754"/>
      <c r="KF6" s="754"/>
      <c r="KG6" s="754"/>
      <c r="KH6" s="754"/>
      <c r="KI6" s="754"/>
      <c r="KJ6" s="754"/>
      <c r="KK6" s="754"/>
      <c r="KL6" s="754"/>
      <c r="KM6" s="754"/>
      <c r="KN6" s="755"/>
      <c r="KO6" s="744">
        <v>0</v>
      </c>
      <c r="KP6" s="745"/>
      <c r="KQ6" s="746" t="str">
        <f>IF(OR($AV$6="O1",$AV$6="O2",$AV$6="O3"),Sorts!AV77,IF(OR($BB$6="O1",$BB$6="O2"),Sorts!AV139,""))</f>
        <v>0,5''/n</v>
      </c>
      <c r="KR6" s="747"/>
      <c r="KS6" s="748" t="str">
        <f>IF(OR($AV$6="O1",$AV$6="O2",$AV$6="O3"),Sorts!AW77,IF(OR($BB$6="O1",$BB$6="O2"),Sorts!AW139,""))</f>
        <v>S</v>
      </c>
      <c r="KT6" s="748"/>
      <c r="KU6" s="748"/>
      <c r="KV6" s="57" t="str">
        <f>IF(OR($AV$6="O1",$AV$6="O2",$AV$6="O3"),Sorts!AX77,IF(OR($BB$6="O1",$BB$6="O2"),Sorts!AX139,""))</f>
        <v>X</v>
      </c>
      <c r="KW6" s="57" t="str">
        <f>IF(OR($AV$6="O1",$AV$6="O2",$AV$6="O3"),Sorts!AY77,IF(OR($BB$6="O1",$BB$6="O2"),Sorts!AY139,""))</f>
        <v>/</v>
      </c>
      <c r="KX6" s="58" t="str">
        <f>IF(OR($AV$6="O1",$AV$6="O2",$AV$6="O3"),Sorts!AZ77,IF(OR($BB$6="O1",$BB$6="O2"),Sorts!AZ139,""))</f>
        <v>/</v>
      </c>
    </row>
    <row r="7" spans="2:310" ht="18" customHeight="1" thickBot="1" x14ac:dyDescent="0.3">
      <c r="B7" s="666" t="s">
        <v>1686</v>
      </c>
      <c r="C7" s="667"/>
      <c r="D7" s="713" t="s">
        <v>1458</v>
      </c>
      <c r="E7" s="713"/>
      <c r="F7" s="713"/>
      <c r="G7" s="713"/>
      <c r="H7" s="713"/>
      <c r="I7" s="713"/>
      <c r="J7" s="713"/>
      <c r="K7" s="713"/>
      <c r="L7" s="714"/>
      <c r="N7" s="659" t="s">
        <v>335</v>
      </c>
      <c r="O7" s="660"/>
      <c r="P7" s="676"/>
      <c r="Q7" s="676"/>
      <c r="R7" s="676"/>
      <c r="S7" s="676"/>
      <c r="T7" s="676"/>
      <c r="U7" s="676"/>
      <c r="V7" s="676"/>
      <c r="W7" s="677"/>
      <c r="Y7" s="681"/>
      <c r="Z7" s="682"/>
      <c r="AA7" s="682"/>
      <c r="AB7" s="682"/>
      <c r="AC7" s="682"/>
      <c r="AD7" s="682"/>
      <c r="AE7" s="682"/>
      <c r="AF7" s="682"/>
      <c r="AG7" s="682"/>
      <c r="AH7" s="683"/>
      <c r="AI7" s="424"/>
      <c r="AJ7" s="690"/>
      <c r="AK7" s="691"/>
      <c r="AL7" s="691"/>
      <c r="AM7" s="691"/>
      <c r="AN7" s="691"/>
      <c r="AO7" s="692"/>
      <c r="AQ7" s="62"/>
      <c r="AR7" s="624" t="s">
        <v>620</v>
      </c>
      <c r="AS7" s="624"/>
      <c r="AT7" s="624"/>
      <c r="AU7" s="871" cm="1">
        <f t="array" ref="AU7">+IF(AND($AV$6="N",$BB$6="N"),0,IF(AND($AV$6="O1",$BB$6="N"),INDEX(Niveau!$B$550:$N$586,NivC1+1,MATCH(Classe1,Niveau!$C$550:$N$550,0)+1),IF(AND($AV$6="O2",$BB$6="N"),INDEX(Niveau!$B$550:$N$586,NivC2+1,MATCH(Classe2,Niveau!$C$550:$N$550,0)+1),IF(AND($AV$6="O3",$BB$6="N"),INDEX(Niveau!$B$550:$N$586,NivC3+1,MATCH(Classe3,Niveau!$C$550:$N$550,0)+1),IF(AND($AV$6="N",$BB$6="O1"),INDEX(Niveau!$B$550:$N$586,NivC1+1,MATCH(Classe1,Niveau!$C$550:$N$550,0)+1),IF(AND($AV$6="N",$BB$6="O2"),INDEX(Niveau!$B$550:$N$586,NivC2+1,MATCH(Classe2,Niveau!$C$550:$N$550,0)+1)))))))</f>
        <v>2</v>
      </c>
      <c r="AV7" s="871"/>
      <c r="AW7" s="624" t="s">
        <v>621</v>
      </c>
      <c r="AX7" s="624"/>
      <c r="AY7" s="624"/>
      <c r="AZ7" s="871" cm="1">
        <f t="array" ref="AZ7">+IF(AND($AV$6="N",$BB$6="N"),0,IF(AND($AV$6="O1",$BB$6="N"),INDEX(Niveau!$B$588:$N$624,NivC1+1,MATCH(Classe1,Niveau!$C$588:$N$588,0)+1),IF(AND($AV$6="O2",$BB$6="N"),INDEX(Niveau!$B$588:$N$624,NivC2+1,MATCH(Classe2,Niveau!$C$588:$N$588,0)+1),IF(AND($AV$6="O3",$BB$6="N"),INDEX(Niveau!$B$588:$N$624,NivC3+1,MATCH(Classe3,Niveau!$C$588:$N$588,0)+1),IF(AND($AV$6="N",$BB$6="O1"),INDEX(Niveau!$B$588:$N$624,NivC1+1,MATCH(Classe1,Niveau!$C$588:$N$588,0)+1),IF(AND($AV$6="N",$BB$6="O2"),INDEX(Niveau!$B$588:$N$624,NivC2+1,MATCH(Classe2,Niveau!$C$588:$N$588,0)+1)))))))</f>
        <v>0</v>
      </c>
      <c r="BA7" s="871"/>
      <c r="BB7" s="624" t="s">
        <v>623</v>
      </c>
      <c r="BC7" s="624"/>
      <c r="BD7" s="624"/>
      <c r="BE7" s="872" cm="1">
        <f t="array" ref="BE7">+IF(AND($AV$6="N",$BB$6="N"),0,IF(AND($AV$6="O1",$BB$6="N"),INDEX(Niveau!$B$626:$N$662,NivC1+1,MATCH(Classe1,Niveau!$C$626:$N$626,0)+1),IF(AND($AV$6="O2",$BB$6="N"),INDEX(Niveau!$B$626:$N$662,NivC2+1,MATCH(Classe2,Niveau!$C$626:$N$626,0)+1),IF(AND($AV$6="O3",$BB$6="N"),INDEX(Niveau!$B$626:$N$662,NivC3+1,MATCH(Classe3,Niveau!$C$626:$N$626,0)+1),IF(AND($AV$6="N",$BB$6="O1"),INDEX(Niveau!$B$626:$N$662,NivC1+1,MATCH(Classe1,Niveau!$C$626:$N$626,0)+1),IF(AND($AV$6="N",$BB$6="O2"),INDEX(Niveau!$B$626:$N$662,NivC2+1,MATCH(Classe2,Niveau!$C$626:$N$626,0)+1)))))))</f>
        <v>0</v>
      </c>
      <c r="BF7" s="872"/>
      <c r="BG7" s="624" t="s">
        <v>624</v>
      </c>
      <c r="BH7" s="624"/>
      <c r="BI7" s="624"/>
      <c r="BJ7" s="871" cm="1">
        <f t="array" ref="BJ7">+IF(AND($AV$6="N",$BB$6="N"),0,IF(AND($AV$6="O1",$BB$6="N"),INDEX(Niveau!$B$664:$N$700,NivC1+1,MATCH(Classe1,Niveau!$C$664:$N$664,0)+1),IF(AND($AV$6="O2",$BB$6="N"),INDEX(Niveau!$B$664:$N$700,NivC2+1,MATCH(Classe2,Niveau!$C$664:$N$664,0)+1),IF(AND($AV$6="O3",$BB$6="N"),INDEX(Niveau!$B$664:$N$700,NivC3+1,MATCH(Classe3,Niveau!$C$664:$N$664,0)+1),IF(AND($AV$6="N",$BB$6="O1"),INDEX(Niveau!$B$664:$N$700,NivC1+1,MATCH(Classe1,Niveau!$C$664:$N$664,0)+1),IF(AND($AV$6="N",$BB$6="O2"),INDEX(Niveau!$B$664:$N$700,NivC2+1,MATCH(Classe2,Niveau!$C$664:$N$664,0)+1)))))))</f>
        <v>0</v>
      </c>
      <c r="BK7" s="871"/>
      <c r="BL7" s="624" t="s">
        <v>625</v>
      </c>
      <c r="BM7" s="624"/>
      <c r="BN7" s="624"/>
      <c r="BO7" s="872" cm="1">
        <f t="array" ref="BO7">+IF(AND($AV$6="N",$BB$6="N"),0,IF(AND($AV$6="O1",$BB$6="N"),INDEX(Niveau!$B$702:$N$738,NivC1+1,MATCH(Classe1,Niveau!$C$702:$N$702,0)+1),IF(AND($AV$6="O2",$BB$6="N"),INDEX(Niveau!$B$702:$N$738,NivC2+1,MATCH(Classe2,Niveau!$C$702:$N$702,0)+1),IF(AND($AV$6="O3",$BB$6="N"),INDEX(Niveau!$B$702:$N$738,NivC3+1,MATCH(Classe3,Niveau!$C$702:$N$702,0)+1),IF(AND($AV$6="N",$BB$6="O1"),INDEX(Niveau!$B$702:$N$738,NivC1+1,MATCH(Classe1,Niveau!$C$702:$N$702,0)+1),IF(AND($AV$6="N",$BB$6="O2"),INDEX(Niveau!$B$702:$N$738,NivC2+1,MATCH(Classe2,Niveau!$C$702:$N$702,0)+1)))))))</f>
        <v>0</v>
      </c>
      <c r="BP7" s="872"/>
      <c r="BQ7" s="624" t="s">
        <v>626</v>
      </c>
      <c r="BR7" s="624"/>
      <c r="BS7" s="624"/>
      <c r="BT7" s="872" cm="1">
        <f t="array" ref="BT7">+IF(AND($AV$6="N",$BB$6="N"),0,IF(AND($AV$6="O1",$BB$6="N"),INDEX(Niveau!$B$740:$N$776,NivC1+1,MATCH(Classe1,Niveau!$C$740:$N$740,0)+1),IF(AND($AV$6="O2",$BB$6="N"),INDEX(Niveau!$B$740:$N$776,NivC2+1,MATCH(Classe2,Niveau!$C$740:$N$740,0)+1),IF(AND($AV$6="O3",$BB$6="N"),INDEX(Niveau!$B$740:$N$776,NivC3+1,MATCH(Classe3,Niveau!$C$740:$N$740,0)+1),IF(AND($AV$6="N",$BB$6="O1"),INDEX(Niveau!$B$740:$N$776,NivC1+1,MATCH(Classe1,Niveau!$C$740:$N$740,0)+1),IF(AND($AV$6="N",$BB$6="O2"),INDEX(Niveau!$B$740:$N$776,NivC2+1,MATCH(Classe2,Niveau!$C$740:$N$740,0)+1)))))))</f>
        <v>0</v>
      </c>
      <c r="BU7" s="872"/>
      <c r="BV7" s="624" t="s">
        <v>627</v>
      </c>
      <c r="BW7" s="624"/>
      <c r="BX7" s="624"/>
      <c r="BY7" s="872" t="e" cm="1">
        <f t="array" ref="BY7">+IF(AND($AV$6="N",$BB$6="N"),0,IF(AND($AV$6="O1",$BB$6="N"),INDEX(Niveau!$B$778:$N$814,NivC1+1,MATCH(Classe1,Niveau!$C$778:$N$778,0)+1),IF(AND($AV$6="O2",$BB$6="N"),INDEX(Niveau!$B$778:$N$814:$N$776,NivC2+1,MATCH(Classe2,Niveau!$C$778:$N$778,0)+1),IF(AND($AV$6="O3",$BB$6="N"),INDEX(Niveau!$B$778:$N$814,NivC3+1,MATCH(Classe3,Niveau!$C$778:$N$778,0)+1),IF(AND($AV$6="N",$BB$6="O1"),INDEX(Niveau!$B$778:$N$814,NivC1+1,MATCH(Classe1,Niveau!$C$778:$N$778,0)+1),IF(AND($AV$6="N",$BB$6="O2"),INDEX(Niveau!$B$778:$N$814,NivC2+1,MATCH(Classe2,Niveau!$C$778:$N$778,0)+1)))))))</f>
        <v>#VALUE!</v>
      </c>
      <c r="BZ7" s="872"/>
      <c r="CA7" s="624" t="s">
        <v>628</v>
      </c>
      <c r="CB7" s="624"/>
      <c r="CC7" s="624"/>
      <c r="CD7" s="872" cm="1">
        <f t="array" ref="CD7">+IF(AND($AV$6="N",$BB$6="N"),0,IF(AND($AV$6="O1",$BB$6="N"),INDEX(Niveau!$B$816:$N$852,NivC1+1,MATCH(Classe1,Niveau!$C$816:$N$816,0)+1),IF(AND($AV$6="O2",$BB$6="N"),INDEX(Niveau!$B$816:$N$852,NivC2+1,MATCH(Classe2,Niveau!$C$816:$N$816,0)+1),IF(AND($AV$6="O3",$BB$6="N"),INDEX(Niveau!$B$816:$N$852,NivC3+1,MATCH(Classe3,Niveau!$C$816:$N$816,0)+1),IF(AND($AV$6="N",$BB$6="O1"),INDEX(Niveau!$B$816:$N$852,NivC1+1,MATCH(Classe1,Niveau!$C$816:$N$816,0)+1),IF(AND($AV$6="N",$BB$6="O2"),INDEX(Niveau!$B$816:$N$852,NivC2+1,MATCH(Classe2,Niveau!$C$816:$N$816,0)+1)))))))</f>
        <v>0</v>
      </c>
      <c r="CE7" s="872"/>
      <c r="CF7" s="624" t="s">
        <v>629</v>
      </c>
      <c r="CG7" s="624"/>
      <c r="CH7" s="624"/>
      <c r="CI7" s="872" cm="1">
        <f t="array" ref="CI7">+IF(AND($AV$6="N",$BB$6="N"),0,IF(AND($AV$6="O1",$BB$6="N"),INDEX(Niveau!$B$854:$N$890,NivC1+1,MATCH(Classe1,Niveau!$C$854:$N$854,0)+1),IF(AND($AV$6="O2",$BB$6="N"),INDEX(Niveau!$B$854:$N$890,NivC2+1,MATCH(Classe2,Niveau!$C$854:$N$854,0)+1),IF(AND($AV$6="O3",$BB$6="N"),INDEX(Niveau!$B$854:$N$890,NivC3+1,MATCH(Classe3,Niveau!$C$854:$N$854,0)+1),IF(AND($AV$6="N",$BB$6="O1"),INDEX(Niveau!$B$854:$N$890,NivC1+1,MATCH(Classe1,Niveau!$C$854:$N$854,0)+1),IF(AND($AV$6="N",$BB$6="O2"),INDEX(Niveau!$B$854:$N$890,NivC2+1,MATCH(Classe2,Niveau!$C$854:$N$854,0)+1)))))))</f>
        <v>0</v>
      </c>
      <c r="CJ7" s="872"/>
      <c r="CK7" s="60"/>
      <c r="CL7" s="60"/>
      <c r="CM7" s="60"/>
      <c r="CN7" s="60"/>
      <c r="CO7" s="60"/>
      <c r="CP7" s="63"/>
      <c r="CQ7" s="60"/>
      <c r="CS7" s="56">
        <v>4</v>
      </c>
      <c r="CT7" s="754" t="str">
        <f>IF($AV$4="O",Sorts!K7,IF($BB$4="O",Sorts!K31,""))</f>
        <v/>
      </c>
      <c r="CU7" s="754"/>
      <c r="CV7" s="754"/>
      <c r="CW7" s="754"/>
      <c r="CX7" s="754"/>
      <c r="CY7" s="754"/>
      <c r="CZ7" s="754"/>
      <c r="DA7" s="754"/>
      <c r="DB7" s="754"/>
      <c r="DC7" s="754"/>
      <c r="DD7" s="754"/>
      <c r="DE7" s="754"/>
      <c r="DF7" s="755"/>
      <c r="DG7" s="756">
        <v>0</v>
      </c>
      <c r="DH7" s="747"/>
      <c r="DI7" s="748" t="str">
        <f>IF($AV$4="O",Sorts!L7,IF($BB$4="O",Sorts!L31,""))</f>
        <v/>
      </c>
      <c r="DJ7" s="748"/>
      <c r="DK7" s="748"/>
      <c r="DL7" s="748" t="str">
        <f>IF($AV$4="O",Sorts!M7,IF($BB$4="O",Sorts!M31,""))</f>
        <v/>
      </c>
      <c r="DM7" s="748"/>
      <c r="DN7" s="748"/>
      <c r="DO7" s="57" t="str">
        <f>IF($AV$4="O",Sorts!N7,IF($BB$4="O",Sorts!N31,""))</f>
        <v/>
      </c>
      <c r="DP7" s="57" t="str">
        <f>IF($AV$4="O",Sorts!O7,IF($BB$4="O",Sorts!O31,""))</f>
        <v/>
      </c>
      <c r="DQ7" s="58" t="str">
        <f>IF($AV$4="O",Sorts!P7,IF($BB$4="O",Sorts!P31,""))</f>
        <v/>
      </c>
      <c r="DR7" s="57"/>
      <c r="DS7" s="757" t="s">
        <v>1204</v>
      </c>
      <c r="DT7" s="747"/>
      <c r="DU7" s="57">
        <v>4</v>
      </c>
      <c r="DV7" s="758" t="str">
        <f>IF(OR($AV$6="O1",$AV$6="O2",$AV$6="O3"),Sorts!K78,IF(OR($BB$6="O1",$BB$6="O2"),Sorts!K140,""))</f>
        <v>Détection de l’Invisibilité</v>
      </c>
      <c r="DW7" s="744"/>
      <c r="DX7" s="744"/>
      <c r="DY7" s="744"/>
      <c r="DZ7" s="744"/>
      <c r="EA7" s="744"/>
      <c r="EB7" s="744"/>
      <c r="EC7" s="744"/>
      <c r="ED7" s="744"/>
      <c r="EE7" s="744"/>
      <c r="EF7" s="744"/>
      <c r="EG7" s="744"/>
      <c r="EH7" s="744"/>
      <c r="EI7" s="744">
        <v>0</v>
      </c>
      <c r="EJ7" s="745"/>
      <c r="EK7" s="746" t="str">
        <f>IF(OR($AV$6="O1",$AV$6="O2",$AV$6="O3"),Sorts!L78,IF(OR($BB$6="O1",$BB$6="O2"),Sorts!L140,""))</f>
        <v>1''/n</v>
      </c>
      <c r="EL7" s="747"/>
      <c r="EM7" s="748" t="str">
        <f>IF(OR($AV$6="O1",$AV$6="O2",$AV$6="O3"),Sorts!M78,IF(OR($BB$6="O1",$BB$6="O2"),Sorts!M140,""))</f>
        <v>5r/n</v>
      </c>
      <c r="EN7" s="748"/>
      <c r="EO7" s="748"/>
      <c r="EP7" s="57" t="str">
        <f>IF(OR($AV$6="O1",$AV$6="O2",$AV$6="O3"),Sorts!N78,IF(OR($BB$6="O1",$BB$6="O2"),Sorts!N140,""))</f>
        <v>X</v>
      </c>
      <c r="EQ7" s="57" t="str">
        <f>IF(OR($AV$6="O1",$AV$6="O2",$AV$6="O3"),Sorts!O78,IF(OR($BB$6="O1",$BB$6="O2"),Sorts!O140,""))</f>
        <v>X</v>
      </c>
      <c r="ER7" s="58" t="str">
        <f>IF(OR($AV$6="O1",$AV$6="O2",$AV$6="O3"),Sorts!P78,IF(OR($BB$6="O1",$BB$6="O2"),Sorts!P140,""))</f>
        <v>X</v>
      </c>
      <c r="ES7" s="60"/>
      <c r="EU7" s="56">
        <v>4</v>
      </c>
      <c r="EV7" s="754" t="str">
        <f>IF($AV$4="O",Sorts!W7,IF($BB$4="O",Sorts!W31,""))</f>
        <v/>
      </c>
      <c r="EW7" s="754"/>
      <c r="EX7" s="754"/>
      <c r="EY7" s="754"/>
      <c r="EZ7" s="754"/>
      <c r="FA7" s="754"/>
      <c r="FB7" s="754"/>
      <c r="FC7" s="754"/>
      <c r="FD7" s="754"/>
      <c r="FE7" s="754"/>
      <c r="FF7" s="754"/>
      <c r="FG7" s="754"/>
      <c r="FH7" s="755"/>
      <c r="FI7" s="756">
        <v>0</v>
      </c>
      <c r="FJ7" s="747"/>
      <c r="FK7" s="748" t="str">
        <f>IF($AV$4="O",Sorts!X7,IF($BB$4="O",Sorts!X31,""))</f>
        <v/>
      </c>
      <c r="FL7" s="748"/>
      <c r="FM7" s="748"/>
      <c r="FN7" s="746" t="str">
        <f>IF($AV$4="O",Sorts!Y7,IF($BB$4="O",Sorts!Y31,""))</f>
        <v/>
      </c>
      <c r="FO7" s="754"/>
      <c r="FP7" s="747"/>
      <c r="FQ7" s="57" t="str">
        <f>IF($AV$4="O",Sorts!Z7,IF($BB$4="O",Sorts!Z31,""))</f>
        <v/>
      </c>
      <c r="FR7" s="57" t="str">
        <f>IF($AV$4="O",Sorts!AA7,IF($BB$4="O",Sorts!AA31,""))</f>
        <v/>
      </c>
      <c r="FS7" s="58" t="str">
        <f>IF($AV$4="O",Sorts!AB7,IF($BB$4="O",Sorts!AB31,""))</f>
        <v/>
      </c>
      <c r="FT7" s="57"/>
      <c r="FU7" s="757" t="s">
        <v>1204</v>
      </c>
      <c r="FV7" s="747"/>
      <c r="FW7" s="57">
        <v>4</v>
      </c>
      <c r="FX7" s="758" t="str">
        <f>IF(OR($AV$6="O1",$AV$6="O2",$AV$6="O3"),Sorts!W78,IF(OR($BB$6="O1",$BB$6="O2"),Sorts!W140,""))</f>
        <v>Autométamorphose</v>
      </c>
      <c r="FY7" s="744"/>
      <c r="FZ7" s="744"/>
      <c r="GA7" s="744"/>
      <c r="GB7" s="744"/>
      <c r="GC7" s="744"/>
      <c r="GD7" s="744"/>
      <c r="GE7" s="744"/>
      <c r="GF7" s="744"/>
      <c r="GG7" s="744"/>
      <c r="GH7" s="744"/>
      <c r="GI7" s="744"/>
      <c r="GJ7" s="744"/>
      <c r="GK7" s="744">
        <v>0</v>
      </c>
      <c r="GL7" s="745"/>
      <c r="GM7" s="746">
        <f>IF(OR($AV$6="O1",$AV$6="O2",$AV$6="O3"),Sorts!X78,IF(OR($BB$6="O1",$BB$6="O2"),Sorts!X140,""))</f>
        <v>0</v>
      </c>
      <c r="GN7" s="747"/>
      <c r="GO7" s="748" t="str">
        <f>IF(OR($AV$6="O1",$AV$6="O2",$AV$6="O3"),Sorts!Y78,IF(OR($BB$6="O1",$BB$6="O2"),Sorts!Y140,""))</f>
        <v>2t/n</v>
      </c>
      <c r="GP7" s="748"/>
      <c r="GQ7" s="748"/>
      <c r="GR7" s="57" t="str">
        <f>IF(OR($AV$6="O1",$AV$6="O2",$AV$6="O3"),Sorts!Z78,IF(OR($BB$6="O1",$BB$6="O2"),Sorts!Z140,""))</f>
        <v>X</v>
      </c>
      <c r="GS7" s="57" t="str">
        <f>IF(OR($AV$6="O1",$AV$6="O2",$AV$6="O3"),Sorts!AA78,IF(OR($BB$6="O1",$BB$6="O2"),Sorts!AA140,""))</f>
        <v>/</v>
      </c>
      <c r="GT7" s="58" t="str">
        <f>IF(OR($AV$6="O1",$AV$6="O2",$AV$6="O3"),Sorts!AB78,IF(OR($BB$6="O1",$BB$6="O2"),Sorts!AB140,""))</f>
        <v>/</v>
      </c>
      <c r="GU7" s="60"/>
      <c r="GW7" s="56">
        <v>4</v>
      </c>
      <c r="GX7" s="754" t="str">
        <f>IF($AV$4="O",Sorts!AI7,IF($BB$4="O",Sorts!AI31,""))</f>
        <v/>
      </c>
      <c r="GY7" s="754"/>
      <c r="GZ7" s="754"/>
      <c r="HA7" s="754"/>
      <c r="HB7" s="754"/>
      <c r="HC7" s="754"/>
      <c r="HD7" s="754"/>
      <c r="HE7" s="754"/>
      <c r="HF7" s="754"/>
      <c r="HG7" s="754"/>
      <c r="HH7" s="754"/>
      <c r="HI7" s="754"/>
      <c r="HJ7" s="755"/>
      <c r="HK7" s="756">
        <v>0</v>
      </c>
      <c r="HL7" s="747"/>
      <c r="HM7" s="748" t="str">
        <f>IF($AV$4="O",Sorts!AJ7,IF($BB$4="O",Sorts!AJ31,""))</f>
        <v/>
      </c>
      <c r="HN7" s="748"/>
      <c r="HO7" s="748"/>
      <c r="HP7" s="748" t="str">
        <f>IF($AV$4="O",Sorts!AK7,IF($BB$4="O",Sorts!AK31,""))</f>
        <v/>
      </c>
      <c r="HQ7" s="748"/>
      <c r="HR7" s="748"/>
      <c r="HS7" s="57" t="str">
        <f>IF($AV$4="O",Sorts!AL7,IF($BB$4="O",Sorts!AL31,""))</f>
        <v/>
      </c>
      <c r="HT7" s="57" t="str">
        <f>IF($AV$4="O",Sorts!AM7,IF($BB$4="O",Sorts!AM31,""))</f>
        <v/>
      </c>
      <c r="HU7" s="58" t="str">
        <f>IF($AV$4="O",Sorts!AN7,IF($BB$4="O",Sorts!AN31,""))</f>
        <v/>
      </c>
      <c r="HV7" s="57"/>
      <c r="HW7" s="757" t="s">
        <v>1204</v>
      </c>
      <c r="HX7" s="747"/>
      <c r="HY7" s="57">
        <v>4</v>
      </c>
      <c r="HZ7" s="758" t="str">
        <f>IF(OR($AV$6="O1",$AV$6="O2",$AV$6="O3"),Sorts!AI78,IF(OR($BB$6="O1",$BB$6="O2"),Sorts!AI140,""))</f>
        <v>Contingence</v>
      </c>
      <c r="IA7" s="744"/>
      <c r="IB7" s="744"/>
      <c r="IC7" s="744"/>
      <c r="ID7" s="744"/>
      <c r="IE7" s="744"/>
      <c r="IF7" s="744"/>
      <c r="IG7" s="744"/>
      <c r="IH7" s="744"/>
      <c r="II7" s="744"/>
      <c r="IJ7" s="744"/>
      <c r="IK7" s="744"/>
      <c r="IL7" s="744"/>
      <c r="IM7" s="744">
        <v>0</v>
      </c>
      <c r="IN7" s="745"/>
      <c r="IO7" s="746">
        <f>IF(OR($AV$6="O1",$AV$6="O2",$AV$6="O3"),Sorts!AJ78,IF(OR($BB$6="O1",$BB$6="O2"),Sorts!AJ140,""))</f>
        <v>0</v>
      </c>
      <c r="IP7" s="747"/>
      <c r="IQ7" s="748" t="str">
        <f>IF(OR($AV$6="O1",$AV$6="O2",$AV$6="O3"),Sorts!AK78,IF(OR($BB$6="O1",$BB$6="O2"),Sorts!AK140,""))</f>
        <v>1j/n</v>
      </c>
      <c r="IR7" s="748"/>
      <c r="IS7" s="748"/>
      <c r="IT7" s="57" t="str">
        <f>IF(OR($AV$6="O1",$AV$6="O2",$AV$6="O3"),Sorts!AL78,IF(OR($BB$6="O1",$BB$6="O2"),Sorts!AL140,""))</f>
        <v>X</v>
      </c>
      <c r="IU7" s="57" t="str">
        <f>IF(OR($AV$6="O1",$AV$6="O2",$AV$6="O3"),Sorts!AM78,IF(OR($BB$6="O1",$BB$6="O2"),Sorts!AM140,""))</f>
        <v>X</v>
      </c>
      <c r="IV7" s="58" t="str">
        <f>IF(OR($AV$6="O1",$AV$6="O2",$AV$6="O3"),Sorts!AN78,IF(OR($BB$6="O1",$BB$6="O2"),Sorts!AN140,""))</f>
        <v>X</v>
      </c>
      <c r="IW7" s="60"/>
      <c r="IY7" s="384"/>
      <c r="IZ7" s="762"/>
      <c r="JA7" s="762"/>
      <c r="JB7" s="762"/>
      <c r="JC7" s="762"/>
      <c r="JD7" s="762"/>
      <c r="JE7" s="762"/>
      <c r="JF7" s="762"/>
      <c r="JG7" s="762"/>
      <c r="JH7" s="762"/>
      <c r="JI7" s="762"/>
      <c r="JJ7" s="762"/>
      <c r="JK7" s="762"/>
      <c r="JL7" s="763"/>
      <c r="JM7" s="759"/>
      <c r="JN7" s="760"/>
      <c r="JO7" s="761"/>
      <c r="JP7" s="761"/>
      <c r="JQ7" s="761"/>
      <c r="JR7" s="761"/>
      <c r="JS7" s="761"/>
      <c r="JT7" s="761"/>
      <c r="JU7" s="385"/>
      <c r="JV7" s="385"/>
      <c r="JW7" s="386"/>
      <c r="JX7" s="385"/>
      <c r="JY7" s="757" t="s">
        <v>1204</v>
      </c>
      <c r="JZ7" s="747"/>
      <c r="KA7" s="57">
        <v>4</v>
      </c>
      <c r="KB7" s="746" t="str">
        <f>IF(OR($AV$6="O1",$AV$6="O2",$AV$6="O3"),Sorts!AU78,IF(OR($BB$6="O1",$BB$6="O2"),Sorts!AU140,""))</f>
        <v>Clone</v>
      </c>
      <c r="KC7" s="754"/>
      <c r="KD7" s="754"/>
      <c r="KE7" s="754"/>
      <c r="KF7" s="754"/>
      <c r="KG7" s="754"/>
      <c r="KH7" s="754"/>
      <c r="KI7" s="754"/>
      <c r="KJ7" s="754"/>
      <c r="KK7" s="754"/>
      <c r="KL7" s="754"/>
      <c r="KM7" s="754"/>
      <c r="KN7" s="755"/>
      <c r="KO7" s="744">
        <v>0</v>
      </c>
      <c r="KP7" s="745"/>
      <c r="KQ7" s="746" t="str">
        <f>IF(OR($AV$6="O1",$AV$6="O2",$AV$6="O3"),Sorts!AV78,IF(OR($BB$6="O1",$BB$6="O2"),Sorts!AV140,""))</f>
        <v>T</v>
      </c>
      <c r="KR7" s="747"/>
      <c r="KS7" s="748" t="str">
        <f>IF(OR($AV$6="O1",$AV$6="O2",$AV$6="O3"),Sorts!AW78,IF(OR($BB$6="O1",$BB$6="O2"),Sorts!AW140,""))</f>
        <v>P</v>
      </c>
      <c r="KT7" s="748"/>
      <c r="KU7" s="748"/>
      <c r="KV7" s="57" t="str">
        <f>IF(OR($AV$6="O1",$AV$6="O2",$AV$6="O3"),Sorts!AX78,IF(OR($BB$6="O1",$BB$6="O2"),Sorts!AX140,""))</f>
        <v>X</v>
      </c>
      <c r="KW7" s="57" t="str">
        <f>IF(OR($AV$6="O1",$AV$6="O2",$AV$6="O3"),Sorts!AY78,IF(OR($BB$6="O1",$BB$6="O2"),Sorts!AY140,""))</f>
        <v>X</v>
      </c>
      <c r="KX7" s="58" t="str">
        <f>IF(OR($AV$6="O1",$AV$6="O2",$AV$6="O3"),Sorts!AZ78,IF(OR($BB$6="O1",$BB$6="O2"),Sorts!AZ140,""))</f>
        <v>X</v>
      </c>
    </row>
    <row r="8" spans="2:310" ht="18" customHeight="1" thickTop="1" thickBot="1" x14ac:dyDescent="0.3">
      <c r="B8" s="582" t="s">
        <v>250</v>
      </c>
      <c r="C8" s="583"/>
      <c r="D8" s="710" t="s">
        <v>262</v>
      </c>
      <c r="E8" s="710"/>
      <c r="F8" s="710"/>
      <c r="G8" s="710"/>
      <c r="H8" s="710"/>
      <c r="I8" s="710"/>
      <c r="J8" s="662" t="s">
        <v>1688</v>
      </c>
      <c r="K8" s="663"/>
      <c r="L8" s="501" t="s">
        <v>389</v>
      </c>
      <c r="N8" s="580" t="s">
        <v>1690</v>
      </c>
      <c r="O8" s="661"/>
      <c r="P8" s="678"/>
      <c r="Q8" s="678"/>
      <c r="R8" s="678"/>
      <c r="S8" s="678"/>
      <c r="T8" s="678"/>
      <c r="U8" s="678"/>
      <c r="V8" s="678"/>
      <c r="W8" s="679"/>
      <c r="Y8" s="684"/>
      <c r="Z8" s="685"/>
      <c r="AA8" s="685"/>
      <c r="AB8" s="685"/>
      <c r="AC8" s="685"/>
      <c r="AD8" s="685"/>
      <c r="AE8" s="685"/>
      <c r="AF8" s="685"/>
      <c r="AG8" s="685"/>
      <c r="AH8" s="686"/>
      <c r="AI8" s="424"/>
      <c r="AJ8" s="693"/>
      <c r="AK8" s="694"/>
      <c r="AL8" s="694"/>
      <c r="AM8" s="694"/>
      <c r="AN8" s="694"/>
      <c r="AO8" s="695"/>
      <c r="AQ8" s="780" t="s">
        <v>268</v>
      </c>
      <c r="AR8" s="781"/>
      <c r="AS8" s="781"/>
      <c r="AT8" s="781"/>
      <c r="AU8" s="781"/>
      <c r="AV8" s="781"/>
      <c r="AW8" s="781"/>
      <c r="AX8" s="781"/>
      <c r="AY8" s="781"/>
      <c r="AZ8" s="781"/>
      <c r="BA8" s="781"/>
      <c r="BB8" s="781"/>
      <c r="BC8" s="781"/>
      <c r="BD8" s="781"/>
      <c r="BE8" s="781"/>
      <c r="BF8" s="781"/>
      <c r="BG8" s="781"/>
      <c r="BH8" s="781"/>
      <c r="BI8" s="781"/>
      <c r="BJ8" s="781"/>
      <c r="BK8" s="781"/>
      <c r="BL8" s="781"/>
      <c r="BM8" s="781"/>
      <c r="BN8" s="781"/>
      <c r="BO8" s="781"/>
      <c r="BP8" s="781"/>
      <c r="BQ8" s="781"/>
      <c r="BR8" s="781"/>
      <c r="BS8" s="781"/>
      <c r="BT8" s="781"/>
      <c r="BU8" s="781"/>
      <c r="BV8" s="781"/>
      <c r="BW8" s="781"/>
      <c r="BX8" s="781"/>
      <c r="BY8" s="781"/>
      <c r="BZ8" s="781"/>
      <c r="CA8" s="781"/>
      <c r="CB8" s="781"/>
      <c r="CC8" s="781"/>
      <c r="CD8" s="781"/>
      <c r="CE8" s="781"/>
      <c r="CF8" s="781"/>
      <c r="CG8" s="781"/>
      <c r="CH8" s="781"/>
      <c r="CI8" s="781"/>
      <c r="CJ8" s="781"/>
      <c r="CK8" s="781"/>
      <c r="CL8" s="781"/>
      <c r="CM8" s="781"/>
      <c r="CN8" s="781"/>
      <c r="CO8" s="781"/>
      <c r="CP8" s="782"/>
      <c r="CQ8" s="25"/>
      <c r="CS8" s="56">
        <v>5</v>
      </c>
      <c r="CT8" s="754" t="str">
        <f>IF($AV$4="O",Sorts!K8,IF($BB$4="O",Sorts!K32,""))</f>
        <v/>
      </c>
      <c r="CU8" s="754"/>
      <c r="CV8" s="754"/>
      <c r="CW8" s="754"/>
      <c r="CX8" s="754"/>
      <c r="CY8" s="754"/>
      <c r="CZ8" s="754"/>
      <c r="DA8" s="754"/>
      <c r="DB8" s="754"/>
      <c r="DC8" s="754"/>
      <c r="DD8" s="754"/>
      <c r="DE8" s="754"/>
      <c r="DF8" s="755"/>
      <c r="DG8" s="756">
        <v>0</v>
      </c>
      <c r="DH8" s="747"/>
      <c r="DI8" s="748" t="str">
        <f>IF($AV$4="O",Sorts!L8,IF($BB$4="O",Sorts!L32,""))</f>
        <v/>
      </c>
      <c r="DJ8" s="748"/>
      <c r="DK8" s="748"/>
      <c r="DL8" s="748" t="str">
        <f>IF($AV$4="O",Sorts!M8,IF($BB$4="O",Sorts!M32,""))</f>
        <v/>
      </c>
      <c r="DM8" s="748"/>
      <c r="DN8" s="748"/>
      <c r="DO8" s="57" t="str">
        <f>IF($AV$4="O",Sorts!N8,IF($BB$4="O",Sorts!N32,""))</f>
        <v/>
      </c>
      <c r="DP8" s="57" t="str">
        <f>IF($AV$4="O",Sorts!O8,IF($BB$4="O",Sorts!O32,""))</f>
        <v/>
      </c>
      <c r="DQ8" s="58" t="str">
        <f>IF($AV$4="O",Sorts!P8,IF($BB$4="O",Sorts!P32,""))</f>
        <v/>
      </c>
      <c r="DR8" s="57"/>
      <c r="DS8" s="757" t="s">
        <v>1204</v>
      </c>
      <c r="DT8" s="747"/>
      <c r="DU8" s="57">
        <v>5</v>
      </c>
      <c r="DV8" s="758" t="str">
        <f>IF(OR($AV$6="O1",$AV$6="O2",$AV$6="O3"),Sorts!K79,IF(OR($BB$6="O1",$BB$6="O2"),Sorts!K141,""))</f>
        <v>Détection du Mal</v>
      </c>
      <c r="DW8" s="744"/>
      <c r="DX8" s="744"/>
      <c r="DY8" s="744"/>
      <c r="DZ8" s="744"/>
      <c r="EA8" s="744"/>
      <c r="EB8" s="744"/>
      <c r="EC8" s="744"/>
      <c r="ED8" s="744"/>
      <c r="EE8" s="744"/>
      <c r="EF8" s="744"/>
      <c r="EG8" s="744"/>
      <c r="EH8" s="744"/>
      <c r="EI8" s="744">
        <v>0</v>
      </c>
      <c r="EJ8" s="745"/>
      <c r="EK8" s="746" t="str">
        <f>IF(OR($AV$6="O1",$AV$6="O2",$AV$6="O3"),Sorts!L79,IF(OR($BB$6="O1",$BB$6="O2"),Sorts!L141,""))</f>
        <v>6''</v>
      </c>
      <c r="EL8" s="747"/>
      <c r="EM8" s="748" t="str">
        <f>IF(OR($AV$6="O1",$AV$6="O2",$AV$6="O3"),Sorts!M79,IF(OR($BB$6="O1",$BB$6="O2"),Sorts!M141,""))</f>
        <v>5r/n</v>
      </c>
      <c r="EN8" s="748"/>
      <c r="EO8" s="748"/>
      <c r="EP8" s="57" t="str">
        <f>IF(OR($AV$6="O1",$AV$6="O2",$AV$6="O3"),Sorts!N79,IF(OR($BB$6="O1",$BB$6="O2"),Sorts!N141,""))</f>
        <v>X</v>
      </c>
      <c r="EQ8" s="57" t="str">
        <f>IF(OR($AV$6="O1",$AV$6="O2",$AV$6="O3"),Sorts!O79,IF(OR($BB$6="O1",$BB$6="O2"),Sorts!O141,""))</f>
        <v>X</v>
      </c>
      <c r="ER8" s="58" t="str">
        <f>IF(OR($AV$6="O1",$AV$6="O2",$AV$6="O3"),Sorts!P79,IF(OR($BB$6="O1",$BB$6="O2"),Sorts!P141,""))</f>
        <v>/</v>
      </c>
      <c r="ES8" s="25"/>
      <c r="EU8" s="56">
        <v>5</v>
      </c>
      <c r="EV8" s="754" t="str">
        <f>IF($AV$4="O",Sorts!W8,IF($BB$4="O",Sorts!W32,""))</f>
        <v/>
      </c>
      <c r="EW8" s="754"/>
      <c r="EX8" s="754"/>
      <c r="EY8" s="754"/>
      <c r="EZ8" s="754"/>
      <c r="FA8" s="754"/>
      <c r="FB8" s="754"/>
      <c r="FC8" s="754"/>
      <c r="FD8" s="754"/>
      <c r="FE8" s="754"/>
      <c r="FF8" s="754"/>
      <c r="FG8" s="754"/>
      <c r="FH8" s="755"/>
      <c r="FI8" s="756">
        <v>0</v>
      </c>
      <c r="FJ8" s="747"/>
      <c r="FK8" s="748" t="str">
        <f>IF($AV$4="O",Sorts!X8,IF($BB$4="O",Sorts!X32,""))</f>
        <v/>
      </c>
      <c r="FL8" s="748"/>
      <c r="FM8" s="748"/>
      <c r="FN8" s="746" t="str">
        <f>IF($AV$4="O",Sorts!Y8,IF($BB$4="O",Sorts!Y32,""))</f>
        <v/>
      </c>
      <c r="FO8" s="754"/>
      <c r="FP8" s="747"/>
      <c r="FQ8" s="57" t="str">
        <f>IF($AV$4="O",Sorts!Z8,IF($BB$4="O",Sorts!Z32,""))</f>
        <v/>
      </c>
      <c r="FR8" s="57" t="str">
        <f>IF($AV$4="O",Sorts!AA8,IF($BB$4="O",Sorts!AA32,""))</f>
        <v/>
      </c>
      <c r="FS8" s="58" t="str">
        <f>IF($AV$4="O",Sorts!AB8,IF($BB$4="O",Sorts!AB32,""))</f>
        <v/>
      </c>
      <c r="FT8" s="57"/>
      <c r="FU8" s="757" t="s">
        <v>1204</v>
      </c>
      <c r="FV8" s="747"/>
      <c r="FW8" s="57">
        <v>5</v>
      </c>
      <c r="FX8" s="758" t="str">
        <f>IF(OR($AV$6="O1",$AV$6="O2",$AV$6="O3"),Sorts!W79,IF(OR($BB$6="O1",$BB$6="O2"),Sorts!W141,""))</f>
        <v>Bouclier de Feu</v>
      </c>
      <c r="FY8" s="744"/>
      <c r="FZ8" s="744"/>
      <c r="GA8" s="744"/>
      <c r="GB8" s="744"/>
      <c r="GC8" s="744"/>
      <c r="GD8" s="744"/>
      <c r="GE8" s="744"/>
      <c r="GF8" s="744"/>
      <c r="GG8" s="744"/>
      <c r="GH8" s="744"/>
      <c r="GI8" s="744"/>
      <c r="GJ8" s="744"/>
      <c r="GK8" s="744">
        <v>0</v>
      </c>
      <c r="GL8" s="745"/>
      <c r="GM8" s="746">
        <f>IF(OR($AV$6="O1",$AV$6="O2",$AV$6="O3"),Sorts!X79,IF(OR($BB$6="O1",$BB$6="O2"),Sorts!X141,""))</f>
        <v>0</v>
      </c>
      <c r="GN8" s="747"/>
      <c r="GO8" s="748" t="str">
        <f>IF(OR($AV$6="O1",$AV$6="O2",$AV$6="O3"),Sorts!Y79,IF(OR($BB$6="O1",$BB$6="O2"),Sorts!Y141,""))</f>
        <v>2r+1/n</v>
      </c>
      <c r="GP8" s="748"/>
      <c r="GQ8" s="748"/>
      <c r="GR8" s="57" t="str">
        <f>IF(OR($AV$6="O1",$AV$6="O2",$AV$6="O3"),Sorts!Z79,IF(OR($BB$6="O1",$BB$6="O2"),Sorts!Z141,""))</f>
        <v>X</v>
      </c>
      <c r="GS8" s="57" t="str">
        <f>IF(OR($AV$6="O1",$AV$6="O2",$AV$6="O3"),Sorts!AA79,IF(OR($BB$6="O1",$BB$6="O2"),Sorts!AA141,""))</f>
        <v>X</v>
      </c>
      <c r="GT8" s="58" t="str">
        <f>IF(OR($AV$6="O1",$AV$6="O2",$AV$6="O3"),Sorts!AB79,IF(OR($BB$6="O1",$BB$6="O2"),Sorts!AB141,""))</f>
        <v>X</v>
      </c>
      <c r="GU8" s="25"/>
      <c r="GW8" s="56">
        <v>5</v>
      </c>
      <c r="GX8" s="754" t="str">
        <f>IF($AV$4="O",Sorts!AI8,IF($BB$4="O",Sorts!AI32,""))</f>
        <v/>
      </c>
      <c r="GY8" s="754"/>
      <c r="GZ8" s="754"/>
      <c r="HA8" s="754"/>
      <c r="HB8" s="754"/>
      <c r="HC8" s="754"/>
      <c r="HD8" s="754"/>
      <c r="HE8" s="754"/>
      <c r="HF8" s="754"/>
      <c r="HG8" s="754"/>
      <c r="HH8" s="754"/>
      <c r="HI8" s="754"/>
      <c r="HJ8" s="755"/>
      <c r="HK8" s="756">
        <v>0</v>
      </c>
      <c r="HL8" s="747"/>
      <c r="HM8" s="748" t="str">
        <f>IF($AV$4="O",Sorts!AJ8,IF($BB$4="O",Sorts!AJ32,""))</f>
        <v/>
      </c>
      <c r="HN8" s="748"/>
      <c r="HO8" s="748"/>
      <c r="HP8" s="748" t="str">
        <f>IF($AV$4="O",Sorts!AK8,IF($BB$4="O",Sorts!AK32,""))</f>
        <v/>
      </c>
      <c r="HQ8" s="748"/>
      <c r="HR8" s="748"/>
      <c r="HS8" s="57" t="str">
        <f>IF($AV$4="O",Sorts!AL8,IF($BB$4="O",Sorts!AL32,""))</f>
        <v/>
      </c>
      <c r="HT8" s="57" t="str">
        <f>IF($AV$4="O",Sorts!AM8,IF($BB$4="O",Sorts!AM32,""))</f>
        <v/>
      </c>
      <c r="HU8" s="58" t="str">
        <f>IF($AV$4="O",Sorts!AN8,IF($BB$4="O",Sorts!AN32,""))</f>
        <v/>
      </c>
      <c r="HV8" s="57"/>
      <c r="HW8" s="757" t="s">
        <v>1204</v>
      </c>
      <c r="HX8" s="747"/>
      <c r="HY8" s="57">
        <v>5</v>
      </c>
      <c r="HZ8" s="758" t="str">
        <f>IF(OR($AV$6="O1",$AV$6="O2",$AV$6="O3"),Sorts!AI79,IF(OR($BB$6="O1",$BB$6="O2"),Sorts!AI141,""))</f>
        <v>Contrôle du Climat</v>
      </c>
      <c r="IA8" s="744"/>
      <c r="IB8" s="744"/>
      <c r="IC8" s="744"/>
      <c r="ID8" s="744"/>
      <c r="IE8" s="744"/>
      <c r="IF8" s="744"/>
      <c r="IG8" s="744"/>
      <c r="IH8" s="744"/>
      <c r="II8" s="744"/>
      <c r="IJ8" s="744"/>
      <c r="IK8" s="744"/>
      <c r="IL8" s="744"/>
      <c r="IM8" s="744">
        <v>0</v>
      </c>
      <c r="IN8" s="745"/>
      <c r="IO8" s="746">
        <f>IF(OR($AV$6="O1",$AV$6="O2",$AV$6="O3"),Sorts!AJ79,IF(OR($BB$6="O1",$BB$6="O2"),Sorts!AJ141,""))</f>
        <v>0</v>
      </c>
      <c r="IP8" s="747"/>
      <c r="IQ8" s="748" t="str">
        <f>IF(OR($AV$6="O1",$AV$6="O2",$AV$6="O3"),Sorts!AK79,IF(OR($BB$6="O1",$BB$6="O2"),Sorts!AK141,""))</f>
        <v>4-24h</v>
      </c>
      <c r="IR8" s="748"/>
      <c r="IS8" s="748"/>
      <c r="IT8" s="57" t="str">
        <f>IF(OR($AV$6="O1",$AV$6="O2",$AV$6="O3"),Sorts!AL79,IF(OR($BB$6="O1",$BB$6="O2"),Sorts!AL141,""))</f>
        <v>X</v>
      </c>
      <c r="IU8" s="57" t="str">
        <f>IF(OR($AV$6="O1",$AV$6="O2",$AV$6="O3"),Sorts!AM79,IF(OR($BB$6="O1",$BB$6="O2"),Sorts!AM141,""))</f>
        <v>X</v>
      </c>
      <c r="IV8" s="58" t="str">
        <f>IF(OR($AV$6="O1",$AV$6="O2",$AV$6="O3"),Sorts!AN79,IF(OR($BB$6="O1",$BB$6="O2"),Sorts!AN141,""))</f>
        <v>X</v>
      </c>
      <c r="IW8" s="25"/>
      <c r="IY8" s="384"/>
      <c r="IZ8" s="762"/>
      <c r="JA8" s="762"/>
      <c r="JB8" s="762"/>
      <c r="JC8" s="762"/>
      <c r="JD8" s="762"/>
      <c r="JE8" s="762"/>
      <c r="JF8" s="762"/>
      <c r="JG8" s="762"/>
      <c r="JH8" s="762"/>
      <c r="JI8" s="762"/>
      <c r="JJ8" s="762"/>
      <c r="JK8" s="762"/>
      <c r="JL8" s="763"/>
      <c r="JM8" s="759"/>
      <c r="JN8" s="760"/>
      <c r="JO8" s="761"/>
      <c r="JP8" s="761"/>
      <c r="JQ8" s="761"/>
      <c r="JR8" s="761"/>
      <c r="JS8" s="761"/>
      <c r="JT8" s="761"/>
      <c r="JU8" s="385"/>
      <c r="JV8" s="385"/>
      <c r="JW8" s="386"/>
      <c r="JX8" s="385"/>
      <c r="JY8" s="757" t="s">
        <v>1204</v>
      </c>
      <c r="JZ8" s="747"/>
      <c r="KA8" s="57">
        <v>5</v>
      </c>
      <c r="KB8" s="746" t="str">
        <f>IF(OR($AV$6="O1",$AV$6="O2",$AV$6="O3"),Sorts!AU79,IF(OR($BB$6="O1",$BB$6="O2"),Sorts!AU141,""))</f>
        <v>Cristairin</v>
      </c>
      <c r="KC8" s="754"/>
      <c r="KD8" s="754"/>
      <c r="KE8" s="754"/>
      <c r="KF8" s="754"/>
      <c r="KG8" s="754"/>
      <c r="KH8" s="754"/>
      <c r="KI8" s="754"/>
      <c r="KJ8" s="754"/>
      <c r="KK8" s="754"/>
      <c r="KL8" s="754"/>
      <c r="KM8" s="754"/>
      <c r="KN8" s="755"/>
      <c r="KO8" s="744">
        <v>0</v>
      </c>
      <c r="KP8" s="745"/>
      <c r="KQ8" s="746" t="str">
        <f>IF(OR($AV$6="O1",$AV$6="O2",$AV$6="O3"),Sorts!AV79,IF(OR($BB$6="O1",$BB$6="O2"),Sorts!AV141,""))</f>
        <v>T</v>
      </c>
      <c r="KR8" s="747"/>
      <c r="KS8" s="748" t="str">
        <f>IF(OR($AV$6="O1",$AV$6="O2",$AV$6="O3"),Sorts!AW79,IF(OR($BB$6="O1",$BB$6="O2"),Sorts!AW141,""))</f>
        <v>P</v>
      </c>
      <c r="KT8" s="748"/>
      <c r="KU8" s="748"/>
      <c r="KV8" s="57" t="str">
        <f>IF(OR($AV$6="O1",$AV$6="O2",$AV$6="O3"),Sorts!AX79,IF(OR($BB$6="O1",$BB$6="O2"),Sorts!AX141,""))</f>
        <v>X</v>
      </c>
      <c r="KW8" s="57" t="str">
        <f>IF(OR($AV$6="O1",$AV$6="O2",$AV$6="O3"),Sorts!AY79,IF(OR($BB$6="O1",$BB$6="O2"),Sorts!AY141,""))</f>
        <v>X</v>
      </c>
      <c r="KX8" s="58" t="str">
        <f>IF(OR($AV$6="O1",$AV$6="O2",$AV$6="O3"),Sorts!AZ79,IF(OR($BB$6="O1",$BB$6="O2"),Sorts!AZ141,""))</f>
        <v>X</v>
      </c>
    </row>
    <row r="9" spans="2:310" ht="18" customHeight="1" x14ac:dyDescent="0.25">
      <c r="B9" s="680" t="s">
        <v>0</v>
      </c>
      <c r="C9" s="680"/>
      <c r="D9" s="680"/>
      <c r="E9" s="680"/>
      <c r="F9" s="680"/>
      <c r="G9" s="680" t="s">
        <v>1697</v>
      </c>
      <c r="H9" s="680"/>
      <c r="I9" s="680"/>
      <c r="J9" s="680"/>
      <c r="K9" s="680"/>
      <c r="L9" s="680"/>
      <c r="AQ9" s="372" t="s">
        <v>1197</v>
      </c>
      <c r="AR9" s="776" t="s">
        <v>1198</v>
      </c>
      <c r="AS9" s="776"/>
      <c r="AT9" s="776"/>
      <c r="AU9" s="776"/>
      <c r="AV9" s="776"/>
      <c r="AW9" s="776"/>
      <c r="AX9" s="776"/>
      <c r="AY9" s="776"/>
      <c r="AZ9" s="776"/>
      <c r="BA9" s="776"/>
      <c r="BB9" s="776"/>
      <c r="BC9" s="776"/>
      <c r="BD9" s="776"/>
      <c r="BE9" s="348">
        <f>SUM(BE10:BE49)</f>
        <v>0</v>
      </c>
      <c r="BF9" s="373" t="s">
        <v>388</v>
      </c>
      <c r="BG9" s="777" t="s">
        <v>1199</v>
      </c>
      <c r="BH9" s="777"/>
      <c r="BI9" s="777"/>
      <c r="BJ9" s="777" t="s">
        <v>1200</v>
      </c>
      <c r="BK9" s="777"/>
      <c r="BL9" s="777"/>
      <c r="BM9" s="374" t="s">
        <v>1201</v>
      </c>
      <c r="BN9" s="374" t="s">
        <v>400</v>
      </c>
      <c r="BO9" s="375" t="s">
        <v>388</v>
      </c>
      <c r="BP9" s="373"/>
      <c r="BQ9" s="376">
        <f>COUNTIF(BQ10:BR49,"C")</f>
        <v>0</v>
      </c>
      <c r="BR9" s="374" t="s">
        <v>1196</v>
      </c>
      <c r="BS9" s="377" t="s">
        <v>1197</v>
      </c>
      <c r="BT9" s="778" t="s">
        <v>1202</v>
      </c>
      <c r="BU9" s="779"/>
      <c r="BV9" s="779"/>
      <c r="BW9" s="779"/>
      <c r="BX9" s="779"/>
      <c r="BY9" s="779"/>
      <c r="BZ9" s="779"/>
      <c r="CA9" s="779"/>
      <c r="CB9" s="779"/>
      <c r="CC9" s="779"/>
      <c r="CD9" s="779"/>
      <c r="CE9" s="779"/>
      <c r="CF9" s="779"/>
      <c r="CG9" s="348">
        <f>SUM(CG10:CG49)</f>
        <v>0</v>
      </c>
      <c r="CH9" s="373" t="s">
        <v>388</v>
      </c>
      <c r="CI9" s="777" t="s">
        <v>1199</v>
      </c>
      <c r="CJ9" s="777"/>
      <c r="CK9" s="374"/>
      <c r="CL9" s="374" t="s">
        <v>1200</v>
      </c>
      <c r="CM9" s="374"/>
      <c r="CN9" s="374" t="s">
        <v>1201</v>
      </c>
      <c r="CO9" s="374" t="s">
        <v>400</v>
      </c>
      <c r="CP9" s="378" t="s">
        <v>388</v>
      </c>
      <c r="CQ9" s="60"/>
      <c r="CS9" s="56">
        <v>6</v>
      </c>
      <c r="CT9" s="754" t="str">
        <f>IF($AV$4="O",Sorts!K9,IF($BB$4="O",Sorts!K33,""))</f>
        <v/>
      </c>
      <c r="CU9" s="754"/>
      <c r="CV9" s="754"/>
      <c r="CW9" s="754"/>
      <c r="CX9" s="754"/>
      <c r="CY9" s="754"/>
      <c r="CZ9" s="754"/>
      <c r="DA9" s="754"/>
      <c r="DB9" s="754"/>
      <c r="DC9" s="754"/>
      <c r="DD9" s="754"/>
      <c r="DE9" s="754"/>
      <c r="DF9" s="755"/>
      <c r="DG9" s="756">
        <v>0</v>
      </c>
      <c r="DH9" s="747"/>
      <c r="DI9" s="748" t="str">
        <f>IF($AV$4="O",Sorts!L9,IF($BB$4="O",Sorts!L33,""))</f>
        <v/>
      </c>
      <c r="DJ9" s="748"/>
      <c r="DK9" s="748"/>
      <c r="DL9" s="748" t="str">
        <f>IF($AV$4="O",Sorts!M9,IF($BB$4="O",Sorts!M33,""))</f>
        <v/>
      </c>
      <c r="DM9" s="748"/>
      <c r="DN9" s="748"/>
      <c r="DO9" s="57" t="str">
        <f>IF($AV$4="O",Sorts!N9,IF($BB$4="O",Sorts!N33,""))</f>
        <v/>
      </c>
      <c r="DP9" s="57" t="str">
        <f>IF($AV$4="O",Sorts!O9,IF($BB$4="O",Sorts!O33,""))</f>
        <v/>
      </c>
      <c r="DQ9" s="58" t="str">
        <f>IF($AV$4="O",Sorts!P9,IF($BB$4="O",Sorts!P33,""))</f>
        <v/>
      </c>
      <c r="DR9" s="57"/>
      <c r="DS9" s="757" t="s">
        <v>1204</v>
      </c>
      <c r="DT9" s="747"/>
      <c r="DU9" s="57">
        <v>6</v>
      </c>
      <c r="DV9" s="758" t="str">
        <f>IF(OR($AV$6="O1",$AV$6="O2",$AV$6="O3"),Sorts!K80,IF(OR($BB$6="O1",$BB$6="O2"),Sorts!K142,""))</f>
        <v>ESP</v>
      </c>
      <c r="DW9" s="744"/>
      <c r="DX9" s="744"/>
      <c r="DY9" s="744"/>
      <c r="DZ9" s="744"/>
      <c r="EA9" s="744"/>
      <c r="EB9" s="744"/>
      <c r="EC9" s="744"/>
      <c r="ED9" s="744"/>
      <c r="EE9" s="744"/>
      <c r="EF9" s="744"/>
      <c r="EG9" s="744"/>
      <c r="EH9" s="744"/>
      <c r="EI9" s="744">
        <v>0</v>
      </c>
      <c r="EJ9" s="745"/>
      <c r="EK9" s="746" t="str">
        <f>IF(OR($AV$6="O1",$AV$6="O2",$AV$6="O3"),Sorts!L80,IF(OR($BB$6="O1",$BB$6="O2"),Sorts!L142,""))</f>
        <v>0,5''/n</v>
      </c>
      <c r="EL9" s="747"/>
      <c r="EM9" s="748" t="str">
        <f>IF(OR($AV$6="O1",$AV$6="O2",$AV$6="O3"),Sorts!M80,IF(OR($BB$6="O1",$BB$6="O2"),Sorts!M142,""))</f>
        <v>1r/n</v>
      </c>
      <c r="EN9" s="748"/>
      <c r="EO9" s="748"/>
      <c r="EP9" s="57" t="str">
        <f>IF(OR($AV$6="O1",$AV$6="O2",$AV$6="O3"),Sorts!N80,IF(OR($BB$6="O1",$BB$6="O2"),Sorts!N142,""))</f>
        <v>X</v>
      </c>
      <c r="EQ9" s="57" t="str">
        <f>IF(OR($AV$6="O1",$AV$6="O2",$AV$6="O3"),Sorts!O80,IF(OR($BB$6="O1",$BB$6="O2"),Sorts!O142,""))</f>
        <v>X</v>
      </c>
      <c r="ER9" s="58" t="str">
        <f>IF(OR($AV$6="O1",$AV$6="O2",$AV$6="O3"),Sorts!P80,IF(OR($BB$6="O1",$BB$6="O2"),Sorts!P142,""))</f>
        <v>X</v>
      </c>
      <c r="ES9" s="60"/>
      <c r="EU9" s="56">
        <v>6</v>
      </c>
      <c r="EV9" s="754" t="str">
        <f>IF($AV$4="O",Sorts!W9,IF($BB$4="O",Sorts!W33,""))</f>
        <v/>
      </c>
      <c r="EW9" s="754"/>
      <c r="EX9" s="754"/>
      <c r="EY9" s="754"/>
      <c r="EZ9" s="754"/>
      <c r="FA9" s="754"/>
      <c r="FB9" s="754"/>
      <c r="FC9" s="754"/>
      <c r="FD9" s="754"/>
      <c r="FE9" s="754"/>
      <c r="FF9" s="754"/>
      <c r="FG9" s="754"/>
      <c r="FH9" s="755"/>
      <c r="FI9" s="756">
        <v>0</v>
      </c>
      <c r="FJ9" s="747"/>
      <c r="FK9" s="748" t="str">
        <f>IF($AV$4="O",Sorts!X9,IF($BB$4="O",Sorts!X33,""))</f>
        <v/>
      </c>
      <c r="FL9" s="748"/>
      <c r="FM9" s="748"/>
      <c r="FN9" s="746" t="str">
        <f>IF($AV$4="O",Sorts!Y9,IF($BB$4="O",Sorts!Y33,""))</f>
        <v/>
      </c>
      <c r="FO9" s="754"/>
      <c r="FP9" s="747"/>
      <c r="FQ9" s="57" t="str">
        <f>IF($AV$4="O",Sorts!Z9,IF($BB$4="O",Sorts!Z33,""))</f>
        <v/>
      </c>
      <c r="FR9" s="57" t="str">
        <f>IF($AV$4="O",Sorts!AA9,IF($BB$4="O",Sorts!AA33,""))</f>
        <v/>
      </c>
      <c r="FS9" s="58" t="str">
        <f>IF($AV$4="O",Sorts!AB9,IF($BB$4="O",Sorts!AB33,""))</f>
        <v/>
      </c>
      <c r="FT9" s="57"/>
      <c r="FU9" s="757" t="s">
        <v>1204</v>
      </c>
      <c r="FV9" s="747"/>
      <c r="FW9" s="57">
        <v>6</v>
      </c>
      <c r="FX9" s="758" t="str">
        <f>IF(OR($AV$6="O1",$AV$6="O2",$AV$6="O3"),Sorts!W80,IF(OR($BB$6="O1",$BB$6="O2"),Sorts!W142,""))</f>
        <v>Charme-Monstres</v>
      </c>
      <c r="FY9" s="744"/>
      <c r="FZ9" s="744"/>
      <c r="GA9" s="744"/>
      <c r="GB9" s="744"/>
      <c r="GC9" s="744"/>
      <c r="GD9" s="744"/>
      <c r="GE9" s="744"/>
      <c r="GF9" s="744"/>
      <c r="GG9" s="744"/>
      <c r="GH9" s="744"/>
      <c r="GI9" s="744"/>
      <c r="GJ9" s="744"/>
      <c r="GK9" s="744">
        <v>0</v>
      </c>
      <c r="GL9" s="745"/>
      <c r="GM9" s="746" t="str">
        <f>IF(OR($AV$6="O1",$AV$6="O2",$AV$6="O3"),Sorts!X80,IF(OR($BB$6="O1",$BB$6="O2"),Sorts!X142,""))</f>
        <v>6''</v>
      </c>
      <c r="GN9" s="747"/>
      <c r="GO9" s="748" t="str">
        <f>IF(OR($AV$6="O1",$AV$6="O2",$AV$6="O3"),Sorts!Y80,IF(OR($BB$6="O1",$BB$6="O2"),Sorts!Y142,""))</f>
        <v>S</v>
      </c>
      <c r="GP9" s="748"/>
      <c r="GQ9" s="748"/>
      <c r="GR9" s="57" t="str">
        <f>IF(OR($AV$6="O1",$AV$6="O2",$AV$6="O3"),Sorts!Z80,IF(OR($BB$6="O1",$BB$6="O2"),Sorts!Z142,""))</f>
        <v>X</v>
      </c>
      <c r="GS9" s="57" t="str">
        <f>IF(OR($AV$6="O1",$AV$6="O2",$AV$6="O3"),Sorts!AA80,IF(OR($BB$6="O1",$BB$6="O2"),Sorts!AA142,""))</f>
        <v>X</v>
      </c>
      <c r="GT9" s="58" t="str">
        <f>IF(OR($AV$6="O1",$AV$6="O2",$AV$6="O3"),Sorts!AB80,IF(OR($BB$6="O1",$BB$6="O2"),Sorts!AB142,""))</f>
        <v>/</v>
      </c>
      <c r="GU9" s="60"/>
      <c r="GW9" s="56">
        <v>6</v>
      </c>
      <c r="GX9" s="754" t="str">
        <f>IF($AV$4="O",Sorts!AI9,IF($BB$4="O",Sorts!AI33,""))</f>
        <v/>
      </c>
      <c r="GY9" s="754"/>
      <c r="GZ9" s="754"/>
      <c r="HA9" s="754"/>
      <c r="HB9" s="754"/>
      <c r="HC9" s="754"/>
      <c r="HD9" s="754"/>
      <c r="HE9" s="754"/>
      <c r="HF9" s="754"/>
      <c r="HG9" s="754"/>
      <c r="HH9" s="754"/>
      <c r="HI9" s="754"/>
      <c r="HJ9" s="755"/>
      <c r="HK9" s="756">
        <v>0</v>
      </c>
      <c r="HL9" s="747"/>
      <c r="HM9" s="748" t="str">
        <f>IF($AV$4="O",Sorts!AJ9,IF($BB$4="O",Sorts!AJ33,""))</f>
        <v/>
      </c>
      <c r="HN9" s="748"/>
      <c r="HO9" s="748"/>
      <c r="HP9" s="748" t="str">
        <f>IF($AV$4="O",Sorts!AK9,IF($BB$4="O",Sorts!AK33,""))</f>
        <v/>
      </c>
      <c r="HQ9" s="748"/>
      <c r="HR9" s="748"/>
      <c r="HS9" s="57" t="str">
        <f>IF($AV$4="O",Sorts!AL9,IF($BB$4="O",Sorts!AL33,""))</f>
        <v/>
      </c>
      <c r="HT9" s="57" t="str">
        <f>IF($AV$4="O",Sorts!AM9,IF($BB$4="O",Sorts!AM33,""))</f>
        <v/>
      </c>
      <c r="HU9" s="58" t="str">
        <f>IF($AV$4="O",Sorts!AN9,IF($BB$4="O",Sorts!AN33,""))</f>
        <v/>
      </c>
      <c r="HV9" s="57"/>
      <c r="HW9" s="757" t="s">
        <v>1204</v>
      </c>
      <c r="HX9" s="747"/>
      <c r="HY9" s="57">
        <v>6</v>
      </c>
      <c r="HZ9" s="758" t="str">
        <f>IF(OR($AV$6="O1",$AV$6="O2",$AV$6="O3"),Sorts!AI80,IF(OR($BB$6="O1",$BB$6="O2"),Sorts!AI142,""))</f>
        <v>Désintégration</v>
      </c>
      <c r="IA9" s="744"/>
      <c r="IB9" s="744"/>
      <c r="IC9" s="744"/>
      <c r="ID9" s="744"/>
      <c r="IE9" s="744"/>
      <c r="IF9" s="744"/>
      <c r="IG9" s="744"/>
      <c r="IH9" s="744"/>
      <c r="II9" s="744"/>
      <c r="IJ9" s="744"/>
      <c r="IK9" s="744"/>
      <c r="IL9" s="744"/>
      <c r="IM9" s="744">
        <v>0</v>
      </c>
      <c r="IN9" s="745"/>
      <c r="IO9" s="746" t="str">
        <f>IF(OR($AV$6="O1",$AV$6="O2",$AV$6="O3"),Sorts!AJ80,IF(OR($BB$6="O1",$BB$6="O2"),Sorts!AJ142,""))</f>
        <v>0,5''/n</v>
      </c>
      <c r="IP9" s="747"/>
      <c r="IQ9" s="748" t="str">
        <f>IF(OR($AV$6="O1",$AV$6="O2",$AV$6="O3"),Sorts!AK80,IF(OR($BB$6="O1",$BB$6="O2"),Sorts!AK142,""))</f>
        <v>P</v>
      </c>
      <c r="IR9" s="748"/>
      <c r="IS9" s="748"/>
      <c r="IT9" s="57" t="str">
        <f>IF(OR($AV$6="O1",$AV$6="O2",$AV$6="O3"),Sorts!AL80,IF(OR($BB$6="O1",$BB$6="O2"),Sorts!AL142,""))</f>
        <v>X</v>
      </c>
      <c r="IU9" s="57" t="str">
        <f>IF(OR($AV$6="O1",$AV$6="O2",$AV$6="O3"),Sorts!AM80,IF(OR($BB$6="O1",$BB$6="O2"),Sorts!AM142,""))</f>
        <v>X</v>
      </c>
      <c r="IV9" s="58" t="str">
        <f>IF(OR($AV$6="O1",$AV$6="O2",$AV$6="O3"),Sorts!AN80,IF(OR($BB$6="O1",$BB$6="O2"),Sorts!AN142,""))</f>
        <v>X</v>
      </c>
      <c r="IW9" s="60"/>
      <c r="IY9" s="384"/>
      <c r="IZ9" s="762"/>
      <c r="JA9" s="762"/>
      <c r="JB9" s="762"/>
      <c r="JC9" s="762"/>
      <c r="JD9" s="762"/>
      <c r="JE9" s="762"/>
      <c r="JF9" s="762"/>
      <c r="JG9" s="762"/>
      <c r="JH9" s="762"/>
      <c r="JI9" s="762"/>
      <c r="JJ9" s="762"/>
      <c r="JK9" s="762"/>
      <c r="JL9" s="763"/>
      <c r="JM9" s="759"/>
      <c r="JN9" s="760"/>
      <c r="JO9" s="761"/>
      <c r="JP9" s="761"/>
      <c r="JQ9" s="761"/>
      <c r="JR9" s="761"/>
      <c r="JS9" s="761"/>
      <c r="JT9" s="761"/>
      <c r="JU9" s="385"/>
      <c r="JV9" s="385"/>
      <c r="JW9" s="386"/>
      <c r="JX9" s="385"/>
      <c r="JY9" s="757" t="s">
        <v>1204</v>
      </c>
      <c r="JZ9" s="747"/>
      <c r="KA9" s="57">
        <v>6</v>
      </c>
      <c r="KB9" s="746" t="str">
        <f>IF(OR($AV$6="O1",$AV$6="O2",$AV$6="O3"),Sorts!AU80,IF(OR($BB$6="O1",$BB$6="O2"),Sorts!AU142,""))</f>
        <v>Danse Irrésistible d’Otto</v>
      </c>
      <c r="KC9" s="754"/>
      <c r="KD9" s="754"/>
      <c r="KE9" s="754"/>
      <c r="KF9" s="754"/>
      <c r="KG9" s="754"/>
      <c r="KH9" s="754"/>
      <c r="KI9" s="754"/>
      <c r="KJ9" s="754"/>
      <c r="KK9" s="754"/>
      <c r="KL9" s="754"/>
      <c r="KM9" s="754"/>
      <c r="KN9" s="755"/>
      <c r="KO9" s="744">
        <v>0</v>
      </c>
      <c r="KP9" s="745"/>
      <c r="KQ9" s="746" t="str">
        <f>IF(OR($AV$6="O1",$AV$6="O2",$AV$6="O3"),Sorts!AV80,IF(OR($BB$6="O1",$BB$6="O2"),Sorts!AV142,""))</f>
        <v>T</v>
      </c>
      <c r="KR9" s="747"/>
      <c r="KS9" s="748" t="str">
        <f>IF(OR($AV$6="O1",$AV$6="O2",$AV$6="O3"),Sorts!AW80,IF(OR($BB$6="O1",$BB$6="O2"),Sorts!AW142,""))</f>
        <v>1d4+1r</v>
      </c>
      <c r="KT9" s="748"/>
      <c r="KU9" s="748"/>
      <c r="KV9" s="57" t="str">
        <f>IF(OR($AV$6="O1",$AV$6="O2",$AV$6="O3"),Sorts!AX80,IF(OR($BB$6="O1",$BB$6="O2"),Sorts!AX142,""))</f>
        <v>X</v>
      </c>
      <c r="KW9" s="57" t="str">
        <f>IF(OR($AV$6="O1",$AV$6="O2",$AV$6="O3"),Sorts!AY80,IF(OR($BB$6="O1",$BB$6="O2"),Sorts!AY142,""))</f>
        <v>/</v>
      </c>
      <c r="KX9" s="58" t="str">
        <f>IF(OR($AV$6="O1",$AV$6="O2",$AV$6="O3"),Sorts!AZ80,IF(OR($BB$6="O1",$BB$6="O2"),Sorts!AZ142,""))</f>
        <v>/</v>
      </c>
    </row>
    <row r="10" spans="2:310" ht="18" customHeight="1" thickBot="1" x14ac:dyDescent="0.3">
      <c r="AQ10" s="56">
        <v>1</v>
      </c>
      <c r="AR10" s="754" t="str">
        <f>IF($AV$4="O",Sorts!E4,IF($BB$4="O",Sorts!E28,""))</f>
        <v/>
      </c>
      <c r="AS10" s="754"/>
      <c r="AT10" s="754"/>
      <c r="AU10" s="754"/>
      <c r="AV10" s="754"/>
      <c r="AW10" s="754"/>
      <c r="AX10" s="754"/>
      <c r="AY10" s="754"/>
      <c r="AZ10" s="754"/>
      <c r="BA10" s="754"/>
      <c r="BB10" s="754"/>
      <c r="BC10" s="754"/>
      <c r="BD10" s="755"/>
      <c r="BE10" s="745">
        <v>0</v>
      </c>
      <c r="BF10" s="748"/>
      <c r="BG10" s="748" t="str">
        <f>IF($AV$4="O",Sorts!F4,IF($BB$4="O",Sorts!F28,""))</f>
        <v/>
      </c>
      <c r="BH10" s="748"/>
      <c r="BI10" s="748"/>
      <c r="BJ10" s="746" t="str">
        <f>IF($AV$4="O",Sorts!G4,IF($BB$4="O",Sorts!G28,""))</f>
        <v/>
      </c>
      <c r="BK10" s="754"/>
      <c r="BL10" s="747"/>
      <c r="BM10" s="57" t="str">
        <f>IF($AV$4="O",Sorts!H4,IF($BB$4="O",Sorts!H28,""))</f>
        <v/>
      </c>
      <c r="BN10" s="57" t="str">
        <f>IF($AV$4="O",Sorts!I4,IF($BB$4="O",Sorts!I28,""))</f>
        <v/>
      </c>
      <c r="BO10" s="369" t="str">
        <f>IF($AV$4="O",Sorts!J4,IF($BB$4="O",Sorts!J28,""))</f>
        <v/>
      </c>
      <c r="BP10" s="366"/>
      <c r="BQ10" s="757" t="s">
        <v>1204</v>
      </c>
      <c r="BR10" s="747"/>
      <c r="BS10" s="57">
        <v>1</v>
      </c>
      <c r="BT10" s="758" t="str">
        <f>IF(OR($AV$6="O1",$AV$6="O2",$AV$6="O3"),Sorts!E75,IF(OR($BB$6="O1",$BB$6="O2"),Sorts!E137,""))</f>
        <v>Agrandissement</v>
      </c>
      <c r="BU10" s="744"/>
      <c r="BV10" s="744"/>
      <c r="BW10" s="744"/>
      <c r="BX10" s="744"/>
      <c r="BY10" s="744"/>
      <c r="BZ10" s="744"/>
      <c r="CA10" s="744"/>
      <c r="CB10" s="744"/>
      <c r="CC10" s="744"/>
      <c r="CD10" s="744"/>
      <c r="CE10" s="744"/>
      <c r="CF10" s="744"/>
      <c r="CG10" s="744">
        <v>0</v>
      </c>
      <c r="CH10" s="745"/>
      <c r="CI10" s="746">
        <f>IF(OR($AV$6="O1",$AV$6="O2",$AV$6="O3"),Sorts!F75,IF(OR($BB$6="O1",$BB$6="O2"),Sorts!F137,""))</f>
        <v>0</v>
      </c>
      <c r="CJ10" s="747"/>
      <c r="CK10" s="748" t="str">
        <f>IF(OR($AV$6="O1",$AV$6="O2",$AV$6="O3"),Sorts!G75,IF(OR($BB$6="O1",$BB$6="O2"),Sorts!G137,""))</f>
        <v>1t/n</v>
      </c>
      <c r="CL10" s="748"/>
      <c r="CM10" s="748"/>
      <c r="CN10" s="57" t="str">
        <f>IF(OR($AV$6="O1",$AV$6="O2",$AV$6="O3"),Sorts!H75,IF(OR($BB$6="O1",$BB$6="O2"),Sorts!H137,""))</f>
        <v>X</v>
      </c>
      <c r="CO10" s="57" t="str">
        <f>IF(OR($AV$6="O1",$AV$6="O2",$AV$6="O3"),Sorts!I75,IF(OR($BB$6="O1",$BB$6="O2"),Sorts!I137,""))</f>
        <v>X</v>
      </c>
      <c r="CP10" s="58" t="str">
        <f>IF(OR($AV$6="O1",$AV$6="O2",$AV$6="O3"),Sorts!J75,IF(OR($BB$6="O1",$BB$6="O2"),Sorts!J137,""))</f>
        <v>X</v>
      </c>
      <c r="CQ10" s="60"/>
      <c r="CS10" s="56">
        <v>7</v>
      </c>
      <c r="CT10" s="754" t="str">
        <f>IF($AV$4="O",Sorts!K10,IF($BB$4="O",Sorts!K34,""))</f>
        <v/>
      </c>
      <c r="CU10" s="754"/>
      <c r="CV10" s="754"/>
      <c r="CW10" s="754"/>
      <c r="CX10" s="754"/>
      <c r="CY10" s="754"/>
      <c r="CZ10" s="754"/>
      <c r="DA10" s="754"/>
      <c r="DB10" s="754"/>
      <c r="DC10" s="754"/>
      <c r="DD10" s="754"/>
      <c r="DE10" s="754"/>
      <c r="DF10" s="755"/>
      <c r="DG10" s="756">
        <v>0</v>
      </c>
      <c r="DH10" s="747"/>
      <c r="DI10" s="748" t="str">
        <f>IF($AV$4="O",Sorts!L10,IF($BB$4="O",Sorts!L34,""))</f>
        <v/>
      </c>
      <c r="DJ10" s="748"/>
      <c r="DK10" s="748"/>
      <c r="DL10" s="748" t="str">
        <f>IF($AV$4="O",Sorts!M10,IF($BB$4="O",Sorts!M34,""))</f>
        <v/>
      </c>
      <c r="DM10" s="748"/>
      <c r="DN10" s="748"/>
      <c r="DO10" s="57" t="str">
        <f>IF($AV$4="O",Sorts!N10,IF($BB$4="O",Sorts!N34,""))</f>
        <v/>
      </c>
      <c r="DP10" s="57" t="str">
        <f>IF($AV$4="O",Sorts!O10,IF($BB$4="O",Sorts!O34,""))</f>
        <v/>
      </c>
      <c r="DQ10" s="58" t="str">
        <f>IF($AV$4="O",Sorts!P10,IF($BB$4="O",Sorts!P34,""))</f>
        <v/>
      </c>
      <c r="DR10" s="57"/>
      <c r="DS10" s="757" t="s">
        <v>1204</v>
      </c>
      <c r="DT10" s="747"/>
      <c r="DU10" s="57">
        <v>7</v>
      </c>
      <c r="DV10" s="758" t="str">
        <f>IF(OR($AV$6="O1",$AV$6="O2",$AV$6="O3"),Sorts!K81,IF(OR($BB$6="O1",$BB$6="O2"),Sorts!K143,""))</f>
        <v>Flèche Acide de Melf</v>
      </c>
      <c r="DW10" s="744"/>
      <c r="DX10" s="744"/>
      <c r="DY10" s="744"/>
      <c r="DZ10" s="744"/>
      <c r="EA10" s="744"/>
      <c r="EB10" s="744"/>
      <c r="EC10" s="744"/>
      <c r="ED10" s="744"/>
      <c r="EE10" s="744"/>
      <c r="EF10" s="744"/>
      <c r="EG10" s="744"/>
      <c r="EH10" s="744"/>
      <c r="EI10" s="744">
        <v>0</v>
      </c>
      <c r="EJ10" s="745"/>
      <c r="EK10" s="746" t="str">
        <f>IF(OR($AV$6="O1",$AV$6="O2",$AV$6="O3"),Sorts!L81,IF(OR($BB$6="O1",$BB$6="O2"),Sorts!L143,""))</f>
        <v>3''</v>
      </c>
      <c r="EL10" s="747"/>
      <c r="EM10" s="748" t="str">
        <f>IF(OR($AV$6="O1",$AV$6="O2",$AV$6="O3"),Sorts!M81,IF(OR($BB$6="O1",$BB$6="O2"),Sorts!M143,""))</f>
        <v>S</v>
      </c>
      <c r="EN10" s="748"/>
      <c r="EO10" s="748"/>
      <c r="EP10" s="57" t="str">
        <f>IF(OR($AV$6="O1",$AV$6="O2",$AV$6="O3"),Sorts!N81,IF(OR($BB$6="O1",$BB$6="O2"),Sorts!N143,""))</f>
        <v>X</v>
      </c>
      <c r="EQ10" s="57" t="str">
        <f>IF(OR($AV$6="O1",$AV$6="O2",$AV$6="O3"),Sorts!O81,IF(OR($BB$6="O1",$BB$6="O2"),Sorts!O143,""))</f>
        <v>X</v>
      </c>
      <c r="ER10" s="58" t="str">
        <f>IF(OR($AV$6="O1",$AV$6="O2",$AV$6="O3"),Sorts!P81,IF(OR($BB$6="O1",$BB$6="O2"),Sorts!P143,""))</f>
        <v>X</v>
      </c>
      <c r="ES10" s="60"/>
      <c r="EU10" s="56">
        <v>7</v>
      </c>
      <c r="EV10" s="754" t="str">
        <f>IF($AV$4="O",Sorts!W10,IF($BB$4="O",Sorts!W34,""))</f>
        <v/>
      </c>
      <c r="EW10" s="754"/>
      <c r="EX10" s="754"/>
      <c r="EY10" s="754"/>
      <c r="EZ10" s="754"/>
      <c r="FA10" s="754"/>
      <c r="FB10" s="754"/>
      <c r="FC10" s="754"/>
      <c r="FD10" s="754"/>
      <c r="FE10" s="754"/>
      <c r="FF10" s="754"/>
      <c r="FG10" s="754"/>
      <c r="FH10" s="755"/>
      <c r="FI10" s="756">
        <v>0</v>
      </c>
      <c r="FJ10" s="747"/>
      <c r="FK10" s="748" t="str">
        <f>IF($AV$4="O",Sorts!X10,IF($BB$4="O",Sorts!X34,""))</f>
        <v/>
      </c>
      <c r="FL10" s="748"/>
      <c r="FM10" s="748"/>
      <c r="FN10" s="746" t="str">
        <f>IF($AV$4="O",Sorts!Y10,IF($BB$4="O",Sorts!Y34,""))</f>
        <v/>
      </c>
      <c r="FO10" s="754"/>
      <c r="FP10" s="747"/>
      <c r="FQ10" s="57" t="str">
        <f>IF($AV$4="O",Sorts!Z10,IF($BB$4="O",Sorts!Z34,""))</f>
        <v/>
      </c>
      <c r="FR10" s="57" t="str">
        <f>IF($AV$4="O",Sorts!AA10,IF($BB$4="O",Sorts!AA34,""))</f>
        <v/>
      </c>
      <c r="FS10" s="58" t="str">
        <f>IF($AV$4="O",Sorts!AB10,IF($BB$4="O",Sorts!AB34,""))</f>
        <v/>
      </c>
      <c r="FT10" s="57"/>
      <c r="FU10" s="757" t="s">
        <v>1204</v>
      </c>
      <c r="FV10" s="747"/>
      <c r="FW10" s="57">
        <v>7</v>
      </c>
      <c r="FX10" s="758" t="str">
        <f>IF(OR($AV$6="O1",$AV$6="O2",$AV$6="O3"),Sorts!W81,IF(OR($BB$6="O1",$BB$6="O2"),Sorts!W143,""))</f>
        <v>Confusion</v>
      </c>
      <c r="FY10" s="744"/>
      <c r="FZ10" s="744"/>
      <c r="GA10" s="744"/>
      <c r="GB10" s="744"/>
      <c r="GC10" s="744"/>
      <c r="GD10" s="744"/>
      <c r="GE10" s="744"/>
      <c r="GF10" s="744"/>
      <c r="GG10" s="744"/>
      <c r="GH10" s="744"/>
      <c r="GI10" s="744"/>
      <c r="GJ10" s="744"/>
      <c r="GK10" s="744">
        <v>0</v>
      </c>
      <c r="GL10" s="745"/>
      <c r="GM10" s="746" t="str">
        <f>IF(OR($AV$6="O1",$AV$6="O2",$AV$6="O3"),Sorts!X81,IF(OR($BB$6="O1",$BB$6="O2"),Sorts!X143,""))</f>
        <v>12''</v>
      </c>
      <c r="GN10" s="747"/>
      <c r="GO10" s="748" t="str">
        <f>IF(OR($AV$6="O1",$AV$6="O2",$AV$6="O3"),Sorts!Y81,IF(OR($BB$6="O1",$BB$6="O2"),Sorts!Y143,""))</f>
        <v>2r+1/n</v>
      </c>
      <c r="GP10" s="748"/>
      <c r="GQ10" s="748"/>
      <c r="GR10" s="57" t="str">
        <f>IF(OR($AV$6="O1",$AV$6="O2",$AV$6="O3"),Sorts!Z81,IF(OR($BB$6="O1",$BB$6="O2"),Sorts!Z143,""))</f>
        <v>X</v>
      </c>
      <c r="GS10" s="57" t="str">
        <f>IF(OR($AV$6="O1",$AV$6="O2",$AV$6="O3"),Sorts!AA81,IF(OR($BB$6="O1",$BB$6="O2"),Sorts!AA143,""))</f>
        <v>/</v>
      </c>
      <c r="GT10" s="58" t="str">
        <f>IF(OR($AV$6="O1",$AV$6="O2",$AV$6="O3"),Sorts!AB81,IF(OR($BB$6="O1",$BB$6="O2"),Sorts!AB143,""))</f>
        <v>/</v>
      </c>
      <c r="GU10" s="60"/>
      <c r="GW10" s="56">
        <v>7</v>
      </c>
      <c r="GX10" s="754" t="str">
        <f>IF($AV$4="O",Sorts!AI10,IF($BB$4="O",Sorts!AI34,""))</f>
        <v/>
      </c>
      <c r="GY10" s="754"/>
      <c r="GZ10" s="754"/>
      <c r="HA10" s="754"/>
      <c r="HB10" s="754"/>
      <c r="HC10" s="754"/>
      <c r="HD10" s="754"/>
      <c r="HE10" s="754"/>
      <c r="HF10" s="754"/>
      <c r="HG10" s="754"/>
      <c r="HH10" s="754"/>
      <c r="HI10" s="754"/>
      <c r="HJ10" s="755"/>
      <c r="HK10" s="756">
        <v>0</v>
      </c>
      <c r="HL10" s="747"/>
      <c r="HM10" s="748" t="str">
        <f>IF($AV$4="O",Sorts!AJ10,IF($BB$4="O",Sorts!AJ34,""))</f>
        <v/>
      </c>
      <c r="HN10" s="748"/>
      <c r="HO10" s="748"/>
      <c r="HP10" s="748" t="str">
        <f>IF($AV$4="O",Sorts!AK10,IF($BB$4="O",Sorts!AK34,""))</f>
        <v/>
      </c>
      <c r="HQ10" s="748"/>
      <c r="HR10" s="748"/>
      <c r="HS10" s="57" t="str">
        <f>IF($AV$4="O",Sorts!AL10,IF($BB$4="O",Sorts!AL34,""))</f>
        <v/>
      </c>
      <c r="HT10" s="57" t="str">
        <f>IF($AV$4="O",Sorts!AM10,IF($BB$4="O",Sorts!AM34,""))</f>
        <v/>
      </c>
      <c r="HU10" s="58" t="str">
        <f>IF($AV$4="O",Sorts!AN10,IF($BB$4="O",Sorts!AN34,""))</f>
        <v/>
      </c>
      <c r="HV10" s="57"/>
      <c r="HW10" s="757" t="s">
        <v>1204</v>
      </c>
      <c r="HX10" s="747"/>
      <c r="HY10" s="57">
        <v>7</v>
      </c>
      <c r="HZ10" s="758" t="str">
        <f>IF(OR($AV$6="O1",$AV$6="O2",$AV$6="O3"),Sorts!AI81,IF(OR($BB$6="O1",$BB$6="O2"),Sorts!AI143,""))</f>
        <v>Élucubration de Mordenkainen</v>
      </c>
      <c r="IA10" s="744"/>
      <c r="IB10" s="744"/>
      <c r="IC10" s="744"/>
      <c r="ID10" s="744"/>
      <c r="IE10" s="744"/>
      <c r="IF10" s="744"/>
      <c r="IG10" s="744"/>
      <c r="IH10" s="744"/>
      <c r="II10" s="744"/>
      <c r="IJ10" s="744"/>
      <c r="IK10" s="744"/>
      <c r="IL10" s="744"/>
      <c r="IM10" s="744">
        <v>0</v>
      </c>
      <c r="IN10" s="745"/>
      <c r="IO10" s="746">
        <f>IF(OR($AV$6="O1",$AV$6="O2",$AV$6="O3"),Sorts!AJ81,IF(OR($BB$6="O1",$BB$6="O2"),Sorts!AJ143,""))</f>
        <v>0</v>
      </c>
      <c r="IP10" s="747"/>
      <c r="IQ10" s="748" t="str">
        <f>IF(OR($AV$6="O1",$AV$6="O2",$AV$6="O3"),Sorts!AK81,IF(OR($BB$6="O1",$BB$6="O2"),Sorts!AK143,""))</f>
        <v>I</v>
      </c>
      <c r="IR10" s="748"/>
      <c r="IS10" s="748"/>
      <c r="IT10" s="57" t="str">
        <f>IF(OR($AV$6="O1",$AV$6="O2",$AV$6="O3"),Sorts!AL81,IF(OR($BB$6="O1",$BB$6="O2"),Sorts!AL143,""))</f>
        <v>X</v>
      </c>
      <c r="IU10" s="57" t="str">
        <f>IF(OR($AV$6="O1",$AV$6="O2",$AV$6="O3"),Sorts!AM81,IF(OR($BB$6="O1",$BB$6="O2"),Sorts!AM143,""))</f>
        <v>X</v>
      </c>
      <c r="IV10" s="58" t="str">
        <f>IF(OR($AV$6="O1",$AV$6="O2",$AV$6="O3"),Sorts!AN81,IF(OR($BB$6="O1",$BB$6="O2"),Sorts!AN143,""))</f>
        <v>/</v>
      </c>
      <c r="IW10" s="60"/>
      <c r="IY10" s="384"/>
      <c r="IZ10" s="762"/>
      <c r="JA10" s="762"/>
      <c r="JB10" s="762"/>
      <c r="JC10" s="762"/>
      <c r="JD10" s="762"/>
      <c r="JE10" s="762"/>
      <c r="JF10" s="762"/>
      <c r="JG10" s="762"/>
      <c r="JH10" s="762"/>
      <c r="JI10" s="762"/>
      <c r="JJ10" s="762"/>
      <c r="JK10" s="762"/>
      <c r="JL10" s="763"/>
      <c r="JM10" s="759"/>
      <c r="JN10" s="760"/>
      <c r="JO10" s="761"/>
      <c r="JP10" s="761"/>
      <c r="JQ10" s="761"/>
      <c r="JR10" s="761"/>
      <c r="JS10" s="761"/>
      <c r="JT10" s="761"/>
      <c r="JU10" s="385"/>
      <c r="JV10" s="385"/>
      <c r="JW10" s="386"/>
      <c r="JX10" s="385"/>
      <c r="JY10" s="757" t="s">
        <v>1204</v>
      </c>
      <c r="JZ10" s="747"/>
      <c r="KA10" s="57">
        <v>7</v>
      </c>
      <c r="KB10" s="746" t="str">
        <f>IF(OR($AV$6="O1",$AV$6="O2",$AV$6="O3"),Sorts!AU81,IF(OR($BB$6="O1",$BB$6="O2"),Sorts!AU143,""))</f>
        <v>Emprisonnement de l’Âme</v>
      </c>
      <c r="KC10" s="754"/>
      <c r="KD10" s="754"/>
      <c r="KE10" s="754"/>
      <c r="KF10" s="754"/>
      <c r="KG10" s="754"/>
      <c r="KH10" s="754"/>
      <c r="KI10" s="754"/>
      <c r="KJ10" s="754"/>
      <c r="KK10" s="754"/>
      <c r="KL10" s="754"/>
      <c r="KM10" s="754"/>
      <c r="KN10" s="755"/>
      <c r="KO10" s="744">
        <v>0</v>
      </c>
      <c r="KP10" s="745"/>
      <c r="KQ10" s="746" t="str">
        <f>IF(OR($AV$6="O1",$AV$6="O2",$AV$6="O3"),Sorts!AV81,IF(OR($BB$6="O1",$BB$6="O2"),Sorts!AV143,""))</f>
        <v>1''</v>
      </c>
      <c r="KR10" s="747"/>
      <c r="KS10" s="748" t="str">
        <f>IF(OR($AV$6="O1",$AV$6="O2",$AV$6="O3"),Sorts!AW81,IF(OR($BB$6="O1",$BB$6="O2"),Sorts!AW143,""))</f>
        <v>P</v>
      </c>
      <c r="KT10" s="748"/>
      <c r="KU10" s="748"/>
      <c r="KV10" s="57" t="str">
        <f>IF(OR($AV$6="O1",$AV$6="O2",$AV$6="O3"),Sorts!AX81,IF(OR($BB$6="O1",$BB$6="O2"),Sorts!AX143,""))</f>
        <v>X</v>
      </c>
      <c r="KW10" s="57" t="str">
        <f>IF(OR($AV$6="O1",$AV$6="O2",$AV$6="O3"),Sorts!AY81,IF(OR($BB$6="O1",$BB$6="O2"),Sorts!AY143,""))</f>
        <v>X</v>
      </c>
      <c r="KX10" s="58" t="str">
        <f>IF(OR($AV$6="O1",$AV$6="O2",$AV$6="O3"),Sorts!AZ81,IF(OR($BB$6="O1",$BB$6="O2"),Sorts!AZ143,""))</f>
        <v>X</v>
      </c>
    </row>
    <row r="11" spans="2:310" ht="18" customHeight="1" thickTop="1" thickBot="1" x14ac:dyDescent="0.3">
      <c r="B11" s="728">
        <v>12</v>
      </c>
      <c r="C11" s="869"/>
      <c r="D11" s="347"/>
      <c r="E11" s="732" t="s">
        <v>1</v>
      </c>
      <c r="F11" s="733"/>
      <c r="G11" s="734" t="s">
        <v>7</v>
      </c>
      <c r="H11" s="735"/>
      <c r="I11" s="736">
        <f>IF($D$12=0,VLOOKUP(FOR,Caractéristiques!$B$2:$H$27,2,FALSE),VLOOKUP('Joueur 1'!$D$11,Caractéristiques!$B$29:$H$130,2,FALSE))</f>
        <v>0</v>
      </c>
      <c r="J11" s="737"/>
      <c r="K11" s="734" t="s">
        <v>8</v>
      </c>
      <c r="L11" s="735"/>
      <c r="M11" s="736">
        <f>IF($D$12=0,VLOOKUP(FOR,Caractéristiques!$B$2:$H$27,3,FALSE),VLOOKUP('Joueur 1'!$D$11,Caractéristiques!$B$29:$H$130,3,FALSE))</f>
        <v>0</v>
      </c>
      <c r="N11" s="737"/>
      <c r="O11" s="734" t="s">
        <v>9</v>
      </c>
      <c r="P11" s="735"/>
      <c r="Q11" s="736">
        <f>IF($D$12=0,VLOOKUP(FOR,Caractéristiques!$B$2:$H$27,4,FALSE),VLOOKUP('Joueur 1'!$D$11,Caractéristiques!$B$29:$H$130,4,FALSE))</f>
        <v>100</v>
      </c>
      <c r="R11" s="737"/>
      <c r="S11" s="734" t="s">
        <v>11</v>
      </c>
      <c r="T11" s="735"/>
      <c r="U11" s="736" t="str">
        <f>IF($D$12=0,VLOOKUP(FOR,Caractéristiques!$B$2:$H$27,5,FALSE),VLOOKUP('Joueur 1'!$D$11,Caractéristiques!$B$29:$H$130,5,FALSE))</f>
        <v>1 - 2</v>
      </c>
      <c r="V11" s="736"/>
      <c r="W11" s="734" t="s">
        <v>13</v>
      </c>
      <c r="X11" s="887"/>
      <c r="Y11" s="827">
        <f>IF($D$12=0,VLOOKUP(FOR,Caractéristiques!$B$2:$H$27,7,FALSE),VLOOKUP('Joueur 1'!$D$11,Caractéristiques!$B$29:$H$130,7,FALSE))</f>
        <v>0.04</v>
      </c>
      <c r="Z11" s="828"/>
      <c r="AB11" s="696" t="s">
        <v>1702</v>
      </c>
      <c r="AC11" s="697"/>
      <c r="AD11" s="698"/>
      <c r="AF11" s="657" t="s">
        <v>1705</v>
      </c>
      <c r="AG11" s="658"/>
      <c r="AH11" s="658"/>
      <c r="AI11" s="658"/>
      <c r="AJ11" s="658"/>
      <c r="AK11" s="658"/>
      <c r="AL11" s="415"/>
      <c r="AM11" s="415"/>
      <c r="AN11" s="416" t="s">
        <v>1563</v>
      </c>
      <c r="AO11" s="417">
        <f>VLOOKUP(D7,Classe!B4:C40,2,FALSE)</f>
        <v>25</v>
      </c>
      <c r="AQ11" s="56">
        <v>2</v>
      </c>
      <c r="AR11" s="754" t="str">
        <f>IF($AV$4="O",Sorts!E5,IF($BB$4="O",Sorts!E29,""))</f>
        <v/>
      </c>
      <c r="AS11" s="754"/>
      <c r="AT11" s="754"/>
      <c r="AU11" s="754"/>
      <c r="AV11" s="754"/>
      <c r="AW11" s="754"/>
      <c r="AX11" s="754"/>
      <c r="AY11" s="754"/>
      <c r="AZ11" s="754"/>
      <c r="BA11" s="754"/>
      <c r="BB11" s="754"/>
      <c r="BC11" s="754"/>
      <c r="BD11" s="755"/>
      <c r="BE11" s="745">
        <v>0</v>
      </c>
      <c r="BF11" s="748"/>
      <c r="BG11" s="748" t="str">
        <f>IF($AV$4="O",Sorts!F5,IF($BB$4="O",Sorts!F29,""))</f>
        <v/>
      </c>
      <c r="BH11" s="748"/>
      <c r="BI11" s="748"/>
      <c r="BJ11" s="748" t="str">
        <f>IF($AV$4="O",Sorts!G5,IF($BB$4="O",Sorts!G29,""))</f>
        <v/>
      </c>
      <c r="BK11" s="748"/>
      <c r="BL11" s="748"/>
      <c r="BM11" s="57" t="str">
        <f>IF($AV$4="O",Sorts!H5,IF($BB$4="O",Sorts!H29,""))</f>
        <v/>
      </c>
      <c r="BN11" s="57" t="str">
        <f>IF($AV$4="O",Sorts!I5,IF($BB$4="O",Sorts!I29,""))</f>
        <v/>
      </c>
      <c r="BO11" s="369" t="str">
        <f>IF($AV$4="O",Sorts!J5,IF($BB$4="O",Sorts!J29,""))</f>
        <v/>
      </c>
      <c r="BP11" s="366"/>
      <c r="BQ11" s="757" t="s">
        <v>1204</v>
      </c>
      <c r="BR11" s="747"/>
      <c r="BS11" s="57">
        <v>2</v>
      </c>
      <c r="BT11" s="758" t="str">
        <f>IF(OR($AV$6="O1",$AV$6="O2",$AV$6="O3"),Sorts!E76,IF(OR($BB$6="O1",$BB$6="O2"),Sorts!E138,""))</f>
        <v>Alarme</v>
      </c>
      <c r="BU11" s="744"/>
      <c r="BV11" s="744"/>
      <c r="BW11" s="744"/>
      <c r="BX11" s="744"/>
      <c r="BY11" s="744"/>
      <c r="BZ11" s="744"/>
      <c r="CA11" s="744"/>
      <c r="CB11" s="744"/>
      <c r="CC11" s="744"/>
      <c r="CD11" s="744"/>
      <c r="CE11" s="744"/>
      <c r="CF11" s="744"/>
      <c r="CG11" s="744">
        <v>0</v>
      </c>
      <c r="CH11" s="745"/>
      <c r="CI11" s="746" t="str">
        <f>IF(OR($AV$6="O1",$AV$6="O2",$AV$6="O3"),Sorts!F76,IF(OR($BB$6="O1",$BB$6="O2"),Sorts!F138,""))</f>
        <v>1’’</v>
      </c>
      <c r="CJ11" s="747"/>
      <c r="CK11" s="748" t="str">
        <f>IF(OR($AV$6="O1",$AV$6="O2",$AV$6="O3"),Sorts!G76,IF(OR($BB$6="O1",$BB$6="O2"),Sorts!G138,""))</f>
        <v>2-8t+1t/n</v>
      </c>
      <c r="CL11" s="748"/>
      <c r="CM11" s="748"/>
      <c r="CN11" s="57" t="str">
        <f>IF(OR($AV$6="O1",$AV$6="O2",$AV$6="O3"),Sorts!H76,IF(OR($BB$6="O1",$BB$6="O2"),Sorts!H138,""))</f>
        <v>X</v>
      </c>
      <c r="CO11" s="57" t="str">
        <f>IF(OR($AV$6="O1",$AV$6="O2",$AV$6="O3"),Sorts!I76,IF(OR($BB$6="O1",$BB$6="O2"),Sorts!I138,""))</f>
        <v>X</v>
      </c>
      <c r="CP11" s="58" t="str">
        <f>IF(OR($AV$6="O1",$AV$6="O2",$AV$6="O3"),Sorts!J76,IF(OR($BB$6="O1",$BB$6="O2"),Sorts!J138,""))</f>
        <v>X</v>
      </c>
      <c r="CQ11" s="60"/>
      <c r="CS11" s="56">
        <v>8</v>
      </c>
      <c r="CT11" s="754" t="str">
        <f>IF($AV$4="O",Sorts!K11,IF($BB$4="O",Sorts!K35,""))</f>
        <v/>
      </c>
      <c r="CU11" s="754"/>
      <c r="CV11" s="754"/>
      <c r="CW11" s="754"/>
      <c r="CX11" s="754"/>
      <c r="CY11" s="754"/>
      <c r="CZ11" s="754"/>
      <c r="DA11" s="754"/>
      <c r="DB11" s="754"/>
      <c r="DC11" s="754"/>
      <c r="DD11" s="754"/>
      <c r="DE11" s="754"/>
      <c r="DF11" s="755"/>
      <c r="DG11" s="756">
        <v>0</v>
      </c>
      <c r="DH11" s="747"/>
      <c r="DI11" s="748" t="str">
        <f>IF($AV$4="O",Sorts!L11,IF($BB$4="O",Sorts!L35,""))</f>
        <v/>
      </c>
      <c r="DJ11" s="748"/>
      <c r="DK11" s="748"/>
      <c r="DL11" s="748" t="str">
        <f>IF($AV$4="O",Sorts!M11,IF($BB$4="O",Sorts!M35,""))</f>
        <v/>
      </c>
      <c r="DM11" s="748"/>
      <c r="DN11" s="748"/>
      <c r="DO11" s="57" t="str">
        <f>IF($AV$4="O",Sorts!N11,IF($BB$4="O",Sorts!N35,""))</f>
        <v/>
      </c>
      <c r="DP11" s="57" t="str">
        <f>IF($AV$4="O",Sorts!O11,IF($BB$4="O",Sorts!O35,""))</f>
        <v/>
      </c>
      <c r="DQ11" s="58" t="str">
        <f>IF($AV$4="O",Sorts!P11,IF($BB$4="O",Sorts!P35,""))</f>
        <v/>
      </c>
      <c r="DR11" s="57"/>
      <c r="DS11" s="757" t="s">
        <v>1204</v>
      </c>
      <c r="DT11" s="747"/>
      <c r="DU11" s="57">
        <v>8</v>
      </c>
      <c r="DV11" s="758" t="str">
        <f>IF(OR($AV$6="O1",$AV$6="O2",$AV$6="O3"),Sorts!K82,IF(OR($BB$6="O1",$BB$6="O2"),Sorts!K144,""))</f>
        <v>Force</v>
      </c>
      <c r="DW11" s="744"/>
      <c r="DX11" s="744"/>
      <c r="DY11" s="744"/>
      <c r="DZ11" s="744"/>
      <c r="EA11" s="744"/>
      <c r="EB11" s="744"/>
      <c r="EC11" s="744"/>
      <c r="ED11" s="744"/>
      <c r="EE11" s="744"/>
      <c r="EF11" s="744"/>
      <c r="EG11" s="744"/>
      <c r="EH11" s="744"/>
      <c r="EI11" s="744">
        <v>0</v>
      </c>
      <c r="EJ11" s="745"/>
      <c r="EK11" s="746" t="str">
        <f>IF(OR($AV$6="O1",$AV$6="O2",$AV$6="O3"),Sorts!L82,IF(OR($BB$6="O1",$BB$6="O2"),Sorts!L144,""))</f>
        <v>T</v>
      </c>
      <c r="EL11" s="747"/>
      <c r="EM11" s="748" t="str">
        <f>IF(OR($AV$6="O1",$AV$6="O2",$AV$6="O3"),Sorts!M82,IF(OR($BB$6="O1",$BB$6="O2"),Sorts!M144,""))</f>
        <v>6t/n</v>
      </c>
      <c r="EN11" s="748"/>
      <c r="EO11" s="748"/>
      <c r="EP11" s="57" t="str">
        <f>IF(OR($AV$6="O1",$AV$6="O2",$AV$6="O3"),Sorts!N82,IF(OR($BB$6="O1",$BB$6="O2"),Sorts!N144,""))</f>
        <v>X</v>
      </c>
      <c r="EQ11" s="57" t="str">
        <f>IF(OR($AV$6="O1",$AV$6="O2",$AV$6="O3"),Sorts!O82,IF(OR($BB$6="O1",$BB$6="O2"),Sorts!O144,""))</f>
        <v>X</v>
      </c>
      <c r="ER11" s="58" t="str">
        <f>IF(OR($AV$6="O1",$AV$6="O2",$AV$6="O3"),Sorts!P82,IF(OR($BB$6="O1",$BB$6="O2"),Sorts!P144,""))</f>
        <v>X</v>
      </c>
      <c r="ES11" s="60"/>
      <c r="EU11" s="56">
        <v>8</v>
      </c>
      <c r="EV11" s="754" t="str">
        <f>IF($AV$4="O",Sorts!W11,IF($BB$4="O",Sorts!W35,""))</f>
        <v/>
      </c>
      <c r="EW11" s="754"/>
      <c r="EX11" s="754"/>
      <c r="EY11" s="754"/>
      <c r="EZ11" s="754"/>
      <c r="FA11" s="754"/>
      <c r="FB11" s="754"/>
      <c r="FC11" s="754"/>
      <c r="FD11" s="754"/>
      <c r="FE11" s="754"/>
      <c r="FF11" s="754"/>
      <c r="FG11" s="754"/>
      <c r="FH11" s="755"/>
      <c r="FI11" s="756">
        <v>0</v>
      </c>
      <c r="FJ11" s="747"/>
      <c r="FK11" s="748" t="str">
        <f>IF($AV$4="O",Sorts!X11,IF($BB$4="O",Sorts!X35,""))</f>
        <v/>
      </c>
      <c r="FL11" s="748"/>
      <c r="FM11" s="748"/>
      <c r="FN11" s="746" t="str">
        <f>IF($AV$4="O",Sorts!Y11,IF($BB$4="O",Sorts!Y35,""))</f>
        <v/>
      </c>
      <c r="FO11" s="754"/>
      <c r="FP11" s="747"/>
      <c r="FQ11" s="57" t="str">
        <f>IF($AV$4="O",Sorts!Z11,IF($BB$4="O",Sorts!Z35,""))</f>
        <v/>
      </c>
      <c r="FR11" s="57" t="str">
        <f>IF($AV$4="O",Sorts!AA11,IF($BB$4="O",Sorts!AA35,""))</f>
        <v/>
      </c>
      <c r="FS11" s="58" t="str">
        <f>IF($AV$4="O",Sorts!AB11,IF($BB$4="O",Sorts!AB35,""))</f>
        <v/>
      </c>
      <c r="FT11" s="57"/>
      <c r="FU11" s="757" t="s">
        <v>1204</v>
      </c>
      <c r="FV11" s="747"/>
      <c r="FW11" s="57">
        <v>8</v>
      </c>
      <c r="FX11" s="758" t="str">
        <f>IF(OR($AV$6="O1",$AV$6="O2",$AV$6="O3"),Sorts!W82,IF(OR($BB$6="O1",$BB$6="O2"),Sorts!W144,""))</f>
        <v>Cri</v>
      </c>
      <c r="FY11" s="744"/>
      <c r="FZ11" s="744"/>
      <c r="GA11" s="744"/>
      <c r="GB11" s="744"/>
      <c r="GC11" s="744"/>
      <c r="GD11" s="744"/>
      <c r="GE11" s="744"/>
      <c r="GF11" s="744"/>
      <c r="GG11" s="744"/>
      <c r="GH11" s="744"/>
      <c r="GI11" s="744"/>
      <c r="GJ11" s="744"/>
      <c r="GK11" s="744">
        <v>0</v>
      </c>
      <c r="GL11" s="745"/>
      <c r="GM11" s="746">
        <f>IF(OR($AV$6="O1",$AV$6="O2",$AV$6="O3"),Sorts!X82,IF(OR($BB$6="O1",$BB$6="O2"),Sorts!X144,""))</f>
        <v>0</v>
      </c>
      <c r="GN11" s="747"/>
      <c r="GO11" s="748" t="str">
        <f>IF(OR($AV$6="O1",$AV$6="O2",$AV$6="O3"),Sorts!Y82,IF(OR($BB$6="O1",$BB$6="O2"),Sorts!Y144,""))</f>
        <v>I</v>
      </c>
      <c r="GP11" s="748"/>
      <c r="GQ11" s="748"/>
      <c r="GR11" s="57" t="str">
        <f>IF(OR($AV$6="O1",$AV$6="O2",$AV$6="O3"),Sorts!Z82,IF(OR($BB$6="O1",$BB$6="O2"),Sorts!Z144,""))</f>
        <v>X</v>
      </c>
      <c r="GS11" s="57" t="str">
        <f>IF(OR($AV$6="O1",$AV$6="O2",$AV$6="O3"),Sorts!AA82,IF(OR($BB$6="O1",$BB$6="O2"),Sorts!AA144,""))</f>
        <v>/</v>
      </c>
      <c r="GT11" s="58" t="str">
        <f>IF(OR($AV$6="O1",$AV$6="O2",$AV$6="O3"),Sorts!AB82,IF(OR($BB$6="O1",$BB$6="O2"),Sorts!AB144,""))</f>
        <v>X</v>
      </c>
      <c r="GU11" s="60"/>
      <c r="GW11" s="56">
        <v>8</v>
      </c>
      <c r="GX11" s="754" t="str">
        <f>IF($AV$4="O",Sorts!AI11,IF($BB$4="O",Sorts!AI35,""))</f>
        <v/>
      </c>
      <c r="GY11" s="754"/>
      <c r="GZ11" s="754"/>
      <c r="HA11" s="754"/>
      <c r="HB11" s="754"/>
      <c r="HC11" s="754"/>
      <c r="HD11" s="754"/>
      <c r="HE11" s="754"/>
      <c r="HF11" s="754"/>
      <c r="HG11" s="754"/>
      <c r="HH11" s="754"/>
      <c r="HI11" s="754"/>
      <c r="HJ11" s="755"/>
      <c r="HK11" s="756">
        <v>0</v>
      </c>
      <c r="HL11" s="747"/>
      <c r="HM11" s="748" t="str">
        <f>IF($AV$4="O",Sorts!AJ11,IF($BB$4="O",Sorts!AJ35,""))</f>
        <v/>
      </c>
      <c r="HN11" s="748"/>
      <c r="HO11" s="748"/>
      <c r="HP11" s="748" t="str">
        <f>IF($AV$4="O",Sorts!AK11,IF($BB$4="O",Sorts!AK35,""))</f>
        <v/>
      </c>
      <c r="HQ11" s="748"/>
      <c r="HR11" s="748"/>
      <c r="HS11" s="57" t="str">
        <f>IF($AV$4="O",Sorts!AL11,IF($BB$4="O",Sorts!AL35,""))</f>
        <v/>
      </c>
      <c r="HT11" s="57" t="str">
        <f>IF($AV$4="O",Sorts!AM11,IF($BB$4="O",Sorts!AM35,""))</f>
        <v/>
      </c>
      <c r="HU11" s="58" t="str">
        <f>IF($AV$4="O",Sorts!AN11,IF($BB$4="O",Sorts!AN35,""))</f>
        <v/>
      </c>
      <c r="HV11" s="57"/>
      <c r="HW11" s="757" t="s">
        <v>1204</v>
      </c>
      <c r="HX11" s="747"/>
      <c r="HY11" s="57">
        <v>8</v>
      </c>
      <c r="HZ11" s="758" t="str">
        <f>IF(OR($AV$6="O1",$AV$6="O2",$AV$6="O3"),Sorts!AI82,IF(OR($BB$6="O1",$BB$6="O2"),Sorts!AI144,""))</f>
        <v>Enchaînement d’Éclairs</v>
      </c>
      <c r="IA11" s="744"/>
      <c r="IB11" s="744"/>
      <c r="IC11" s="744"/>
      <c r="ID11" s="744"/>
      <c r="IE11" s="744"/>
      <c r="IF11" s="744"/>
      <c r="IG11" s="744"/>
      <c r="IH11" s="744"/>
      <c r="II11" s="744"/>
      <c r="IJ11" s="744"/>
      <c r="IK11" s="744"/>
      <c r="IL11" s="744"/>
      <c r="IM11" s="744">
        <v>0</v>
      </c>
      <c r="IN11" s="745"/>
      <c r="IO11" s="746" t="str">
        <f>IF(OR($AV$6="O1",$AV$6="O2",$AV$6="O3"),Sorts!AJ82,IF(OR($BB$6="O1",$BB$6="O2"),Sorts!AJ144,""))</f>
        <v>4''+0,5/n</v>
      </c>
      <c r="IP11" s="747"/>
      <c r="IQ11" s="748" t="str">
        <f>IF(OR($AV$6="O1",$AV$6="O2",$AV$6="O3"),Sorts!AK82,IF(OR($BB$6="O1",$BB$6="O2"),Sorts!AK144,""))</f>
        <v>I</v>
      </c>
      <c r="IR11" s="748"/>
      <c r="IS11" s="748"/>
      <c r="IT11" s="57" t="str">
        <f>IF(OR($AV$6="O1",$AV$6="O2",$AV$6="O3"),Sorts!AL82,IF(OR($BB$6="O1",$BB$6="O2"),Sorts!AL144,""))</f>
        <v>X</v>
      </c>
      <c r="IU11" s="57" t="str">
        <f>IF(OR($AV$6="O1",$AV$6="O2",$AV$6="O3"),Sorts!AM82,IF(OR($BB$6="O1",$BB$6="O2"),Sorts!AM144,""))</f>
        <v>X</v>
      </c>
      <c r="IV11" s="58" t="str">
        <f>IF(OR($AV$6="O1",$AV$6="O2",$AV$6="O3"),Sorts!AN82,IF(OR($BB$6="O1",$BB$6="O2"),Sorts!AN144,""))</f>
        <v>X</v>
      </c>
      <c r="IW11" s="60"/>
      <c r="IY11" s="384"/>
      <c r="IZ11" s="762"/>
      <c r="JA11" s="762"/>
      <c r="JB11" s="762"/>
      <c r="JC11" s="762"/>
      <c r="JD11" s="762"/>
      <c r="JE11" s="762"/>
      <c r="JF11" s="762"/>
      <c r="JG11" s="762"/>
      <c r="JH11" s="762"/>
      <c r="JI11" s="762"/>
      <c r="JJ11" s="762"/>
      <c r="JK11" s="762"/>
      <c r="JL11" s="763"/>
      <c r="JM11" s="759"/>
      <c r="JN11" s="760"/>
      <c r="JO11" s="761"/>
      <c r="JP11" s="761"/>
      <c r="JQ11" s="761"/>
      <c r="JR11" s="761"/>
      <c r="JS11" s="761"/>
      <c r="JT11" s="761"/>
      <c r="JU11" s="385"/>
      <c r="JV11" s="385"/>
      <c r="JW11" s="386"/>
      <c r="JX11" s="385"/>
      <c r="JY11" s="757" t="s">
        <v>1204</v>
      </c>
      <c r="JZ11" s="747"/>
      <c r="KA11" s="57">
        <v>8</v>
      </c>
      <c r="KB11" s="746" t="str">
        <f>IF(OR($AV$6="O1",$AV$6="O2",$AV$6="O3"),Sorts!AU82,IF(OR($BB$6="O1",$BB$6="O2"),Sorts!AU144,""))</f>
        <v>Ensevelissement</v>
      </c>
      <c r="KC11" s="754"/>
      <c r="KD11" s="754"/>
      <c r="KE11" s="754"/>
      <c r="KF11" s="754"/>
      <c r="KG11" s="754"/>
      <c r="KH11" s="754"/>
      <c r="KI11" s="754"/>
      <c r="KJ11" s="754"/>
      <c r="KK11" s="754"/>
      <c r="KL11" s="754"/>
      <c r="KM11" s="754"/>
      <c r="KN11" s="755"/>
      <c r="KO11" s="744">
        <v>0</v>
      </c>
      <c r="KP11" s="745"/>
      <c r="KQ11" s="746" t="str">
        <f>IF(OR($AV$6="O1",$AV$6="O2",$AV$6="O3"),Sorts!AV82,IF(OR($BB$6="O1",$BB$6="O2"),Sorts!AV144,""))</f>
        <v>1''/n</v>
      </c>
      <c r="KR11" s="747"/>
      <c r="KS11" s="748" t="str">
        <f>IF(OR($AV$6="O1",$AV$6="O2",$AV$6="O3"),Sorts!AW82,IF(OR($BB$6="O1",$BB$6="O2"),Sorts!AW144,""))</f>
        <v>S</v>
      </c>
      <c r="KT11" s="748"/>
      <c r="KU11" s="748"/>
      <c r="KV11" s="57" t="str">
        <f>IF(OR($AV$6="O1",$AV$6="O2",$AV$6="O3"),Sorts!AX82,IF(OR($BB$6="O1",$BB$6="O2"),Sorts!AX144,""))</f>
        <v>X</v>
      </c>
      <c r="KW11" s="57" t="str">
        <f>IF(OR($AV$6="O1",$AV$6="O2",$AV$6="O3"),Sorts!AY82,IF(OR($BB$6="O1",$BB$6="O2"),Sorts!AY144,""))</f>
        <v>X</v>
      </c>
      <c r="KX11" s="58" t="str">
        <f>IF(OR($AV$6="O1",$AV$6="O2",$AV$6="O3"),Sorts!AZ82,IF(OR($BB$6="O1",$BB$6="O2"),Sorts!AZ144,""))</f>
        <v>X</v>
      </c>
    </row>
    <row r="12" spans="2:310" ht="21" customHeight="1" thickTop="1" thickBot="1" x14ac:dyDescent="0.3">
      <c r="B12" s="730"/>
      <c r="C12" s="870"/>
      <c r="D12" s="513">
        <f>IF(OR(Classe1="Guerrier",Classe1="Ranger",Classe1="Paladin",Classe1="Barbare",Classe1="Cavalier",Classe2="Guerrier",Classe2="Ranger")*AND($B$11=18),1,0)</f>
        <v>0</v>
      </c>
      <c r="E12" s="732"/>
      <c r="F12" s="733"/>
      <c r="G12" s="831"/>
      <c r="H12" s="832"/>
      <c r="I12" s="738"/>
      <c r="J12" s="739"/>
      <c r="K12" s="831"/>
      <c r="L12" s="832"/>
      <c r="M12" s="738"/>
      <c r="N12" s="739"/>
      <c r="O12" s="831" t="s">
        <v>10</v>
      </c>
      <c r="P12" s="832"/>
      <c r="Q12" s="738"/>
      <c r="R12" s="739"/>
      <c r="S12" s="831" t="s">
        <v>12</v>
      </c>
      <c r="T12" s="832"/>
      <c r="U12" s="738"/>
      <c r="V12" s="738"/>
      <c r="W12" s="831" t="s">
        <v>14</v>
      </c>
      <c r="X12" s="888"/>
      <c r="Y12" s="829"/>
      <c r="Z12" s="830"/>
      <c r="AB12" s="650" t="str">
        <f>IF(Code_Classe=14,VLOOKUP(NivC1,Classe!B43:D60,3),MIN(36,(VLOOKUP($D$26,'Armures-Armes'!B3:D14,3,FALSE))-N26))&amp;" m"</f>
        <v>12 m</v>
      </c>
      <c r="AC12" s="651"/>
      <c r="AD12" s="652"/>
      <c r="AF12" s="724" t="str">
        <f>VLOOKUP(Code_Classe,Classe!C4:F40,2,FALSE)</f>
        <v>Guerrier</v>
      </c>
      <c r="AG12" s="725"/>
      <c r="AH12" s="725"/>
      <c r="AI12" s="9"/>
      <c r="AJ12" s="9"/>
      <c r="AK12" s="257" t="s">
        <v>1674</v>
      </c>
      <c r="AL12" s="880" t="str" cm="1">
        <f t="array" ref="AL12">INDEX(Classe!$C$3:$S$40,Code_Classe+1,17)</f>
        <v>Aucun</v>
      </c>
      <c r="AM12" s="880"/>
      <c r="AN12" s="880"/>
      <c r="AO12" s="881"/>
      <c r="AQ12" s="56">
        <v>3</v>
      </c>
      <c r="AR12" s="754" t="str">
        <f>IF($AV$4="O",Sorts!E6,IF($BB$4="O",Sorts!E30,""))</f>
        <v/>
      </c>
      <c r="AS12" s="754"/>
      <c r="AT12" s="754"/>
      <c r="AU12" s="754"/>
      <c r="AV12" s="754"/>
      <c r="AW12" s="754"/>
      <c r="AX12" s="754"/>
      <c r="AY12" s="754"/>
      <c r="AZ12" s="754"/>
      <c r="BA12" s="754"/>
      <c r="BB12" s="754"/>
      <c r="BC12" s="754"/>
      <c r="BD12" s="755"/>
      <c r="BE12" s="756">
        <v>0</v>
      </c>
      <c r="BF12" s="754"/>
      <c r="BG12" s="748" t="str">
        <f>IF($AV$4="O",Sorts!F6,IF($BB$4="O",Sorts!F30,""))</f>
        <v/>
      </c>
      <c r="BH12" s="748"/>
      <c r="BI12" s="748"/>
      <c r="BJ12" s="748" t="str">
        <f>IF($AV$4="O",Sorts!G6,IF($BB$4="O",Sorts!G30,""))</f>
        <v/>
      </c>
      <c r="BK12" s="748"/>
      <c r="BL12" s="748"/>
      <c r="BM12" s="57" t="str">
        <f>IF($AV$4="O",Sorts!H6,IF($BB$4="O",Sorts!H30,""))</f>
        <v/>
      </c>
      <c r="BN12" s="57" t="str">
        <f>IF($AV$4="O",Sorts!I6,IF($BB$4="O",Sorts!I30,""))</f>
        <v/>
      </c>
      <c r="BO12" s="369" t="str">
        <f>IF($AV$4="O",Sorts!J6,IF($BB$4="O",Sorts!J30,""))</f>
        <v/>
      </c>
      <c r="BP12" s="366"/>
      <c r="BQ12" s="757" t="s">
        <v>1204</v>
      </c>
      <c r="BR12" s="747"/>
      <c r="BS12" s="57">
        <v>3</v>
      </c>
      <c r="BT12" s="758" t="str">
        <f>IF(OR($AV$6="O1",$AV$6="O2",$AV$6="O3"),Sorts!E77,IF(OR($BB$6="O1",$BB$6="O2"),Sorts!E139,""))</f>
        <v>Altération des Feux Normaux</v>
      </c>
      <c r="BU12" s="744"/>
      <c r="BV12" s="744"/>
      <c r="BW12" s="744"/>
      <c r="BX12" s="744"/>
      <c r="BY12" s="744"/>
      <c r="BZ12" s="744"/>
      <c r="CA12" s="744"/>
      <c r="CB12" s="744"/>
      <c r="CC12" s="744"/>
      <c r="CD12" s="744"/>
      <c r="CE12" s="744"/>
      <c r="CF12" s="744"/>
      <c r="CG12" s="744">
        <v>0</v>
      </c>
      <c r="CH12" s="745"/>
      <c r="CI12" s="746" t="str">
        <f>IF(OR($AV$6="O1",$AV$6="O2",$AV$6="O3"),Sorts!F77,IF(OR($BB$6="O1",$BB$6="O2"),Sorts!F139,""))</f>
        <v>0,5’’/n</v>
      </c>
      <c r="CJ12" s="747"/>
      <c r="CK12" s="748" t="str">
        <f>IF(OR($AV$6="O1",$AV$6="O2",$AV$6="O3"),Sorts!G77,IF(OR($BB$6="O1",$BB$6="O2"),Sorts!G139,""))</f>
        <v>1r/n</v>
      </c>
      <c r="CL12" s="748"/>
      <c r="CM12" s="748"/>
      <c r="CN12" s="57" t="str">
        <f>IF(OR($AV$6="O1",$AV$6="O2",$AV$6="O3"),Sorts!H77,IF(OR($BB$6="O1",$BB$6="O2"),Sorts!H139,""))</f>
        <v>X</v>
      </c>
      <c r="CO12" s="57" t="str">
        <f>IF(OR($AV$6="O1",$AV$6="O2",$AV$6="O3"),Sorts!I77,IF(OR($BB$6="O1",$BB$6="O2"),Sorts!I139,""))</f>
        <v>X</v>
      </c>
      <c r="CP12" s="58" t="str">
        <f>IF(OR($AV$6="O1",$AV$6="O2",$AV$6="O3"),Sorts!J77,IF(OR($BB$6="O1",$BB$6="O2"),Sorts!J139,""))</f>
        <v>/</v>
      </c>
      <c r="CQ12" s="60"/>
      <c r="CS12" s="56">
        <v>9</v>
      </c>
      <c r="CT12" s="754" t="str">
        <f>IF($AV$4="O",Sorts!K12,IF($BB$4="O",Sorts!K36,""))</f>
        <v/>
      </c>
      <c r="CU12" s="754"/>
      <c r="CV12" s="754"/>
      <c r="CW12" s="754"/>
      <c r="CX12" s="754"/>
      <c r="CY12" s="754"/>
      <c r="CZ12" s="754"/>
      <c r="DA12" s="754"/>
      <c r="DB12" s="754"/>
      <c r="DC12" s="754"/>
      <c r="DD12" s="754"/>
      <c r="DE12" s="754"/>
      <c r="DF12" s="755"/>
      <c r="DG12" s="756">
        <v>0</v>
      </c>
      <c r="DH12" s="747"/>
      <c r="DI12" s="748" t="str">
        <f>IF($AV$4="O",Sorts!L12,IF($BB$4="O",Sorts!L36,""))</f>
        <v/>
      </c>
      <c r="DJ12" s="748"/>
      <c r="DK12" s="748"/>
      <c r="DL12" s="748" t="str">
        <f>IF($AV$4="O",Sorts!M12,IF($BB$4="O",Sorts!M36,""))</f>
        <v/>
      </c>
      <c r="DM12" s="748"/>
      <c r="DN12" s="748"/>
      <c r="DO12" s="57" t="str">
        <f>IF($AV$4="O",Sorts!N12,IF($BB$4="O",Sorts!N36,""))</f>
        <v/>
      </c>
      <c r="DP12" s="57" t="str">
        <f>IF($AV$4="O",Sorts!O12,IF($BB$4="O",Sorts!O36,""))</f>
        <v/>
      </c>
      <c r="DQ12" s="58" t="str">
        <f>IF($AV$4="O",Sorts!P12,IF($BB$4="O",Sorts!P36,""))</f>
        <v/>
      </c>
      <c r="DR12" s="57"/>
      <c r="DS12" s="757" t="s">
        <v>1204</v>
      </c>
      <c r="DT12" s="747"/>
      <c r="DU12" s="57">
        <v>9</v>
      </c>
      <c r="DV12" s="758" t="str">
        <f>IF(OR($AV$6="O1",$AV$6="O2",$AV$6="O3"),Sorts!K83,IF(OR($BB$6="O1",$BB$6="O2"),Sorts!K145,""))</f>
        <v>Fouet</v>
      </c>
      <c r="DW12" s="744"/>
      <c r="DX12" s="744"/>
      <c r="DY12" s="744"/>
      <c r="DZ12" s="744"/>
      <c r="EA12" s="744"/>
      <c r="EB12" s="744"/>
      <c r="EC12" s="744"/>
      <c r="ED12" s="744"/>
      <c r="EE12" s="744"/>
      <c r="EF12" s="744"/>
      <c r="EG12" s="744"/>
      <c r="EH12" s="744"/>
      <c r="EI12" s="744">
        <v>0</v>
      </c>
      <c r="EJ12" s="745"/>
      <c r="EK12" s="746" t="str">
        <f>IF(OR($AV$6="O1",$AV$6="O2",$AV$6="O3"),Sorts!L83,IF(OR($BB$6="O1",$BB$6="O2"),Sorts!L145,""))</f>
        <v>1''</v>
      </c>
      <c r="EL12" s="747"/>
      <c r="EM12" s="748" t="str">
        <f>IF(OR($AV$6="O1",$AV$6="O2",$AV$6="O3"),Sorts!M83,IF(OR($BB$6="O1",$BB$6="O2"),Sorts!M145,""))</f>
        <v>1r/n</v>
      </c>
      <c r="EN12" s="748"/>
      <c r="EO12" s="748"/>
      <c r="EP12" s="57" t="str">
        <f>IF(OR($AV$6="O1",$AV$6="O2",$AV$6="O3"),Sorts!N83,IF(OR($BB$6="O1",$BB$6="O2"),Sorts!N145,""))</f>
        <v>X</v>
      </c>
      <c r="EQ12" s="57" t="str">
        <f>IF(OR($AV$6="O1",$AV$6="O2",$AV$6="O3"),Sorts!O83,IF(OR($BB$6="O1",$BB$6="O2"),Sorts!O145,""))</f>
        <v>X</v>
      </c>
      <c r="ER12" s="58" t="str">
        <f>IF(OR($AV$6="O1",$AV$6="O2",$AV$6="O3"),Sorts!P83,IF(OR($BB$6="O1",$BB$6="O2"),Sorts!P145,""))</f>
        <v>X</v>
      </c>
      <c r="ES12" s="60"/>
      <c r="EU12" s="56">
        <v>9</v>
      </c>
      <c r="EV12" s="754" t="str">
        <f>IF($AV$4="O",Sorts!W12,IF($BB$4="O",Sorts!W36,""))</f>
        <v/>
      </c>
      <c r="EW12" s="754"/>
      <c r="EX12" s="754"/>
      <c r="EY12" s="754"/>
      <c r="EZ12" s="754"/>
      <c r="FA12" s="754"/>
      <c r="FB12" s="754"/>
      <c r="FC12" s="754"/>
      <c r="FD12" s="754"/>
      <c r="FE12" s="754"/>
      <c r="FF12" s="754"/>
      <c r="FG12" s="754"/>
      <c r="FH12" s="755"/>
      <c r="FI12" s="756">
        <v>0</v>
      </c>
      <c r="FJ12" s="747"/>
      <c r="FK12" s="748" t="str">
        <f>IF($AV$4="O",Sorts!X12,IF($BB$4="O",Sorts!X36,""))</f>
        <v/>
      </c>
      <c r="FL12" s="748"/>
      <c r="FM12" s="748"/>
      <c r="FN12" s="746" t="str">
        <f>IF($AV$4="O",Sorts!Y12,IF($BB$4="O",Sorts!Y36,""))</f>
        <v/>
      </c>
      <c r="FO12" s="754"/>
      <c r="FP12" s="747"/>
      <c r="FQ12" s="57" t="str">
        <f>IF($AV$4="O",Sorts!Z12,IF($BB$4="O",Sorts!Z36,""))</f>
        <v/>
      </c>
      <c r="FR12" s="57" t="str">
        <f>IF($AV$4="O",Sorts!AA12,IF($BB$4="O",Sorts!AA36,""))</f>
        <v/>
      </c>
      <c r="FS12" s="58" t="str">
        <f>IF($AV$4="O",Sorts!AB12,IF($BB$4="O",Sorts!AB36,""))</f>
        <v/>
      </c>
      <c r="FT12" s="57"/>
      <c r="FU12" s="757" t="s">
        <v>1204</v>
      </c>
      <c r="FV12" s="747"/>
      <c r="FW12" s="57">
        <v>9</v>
      </c>
      <c r="FX12" s="758" t="str">
        <f>IF(OR($AV$6="O1",$AV$6="O2",$AV$6="O3"),Sorts!W83,IF(OR($BB$6="O1",$BB$6="O2"),Sorts!W145,""))</f>
        <v>Désenvoûtement</v>
      </c>
      <c r="FY12" s="744"/>
      <c r="FZ12" s="744"/>
      <c r="GA12" s="744"/>
      <c r="GB12" s="744"/>
      <c r="GC12" s="744"/>
      <c r="GD12" s="744"/>
      <c r="GE12" s="744"/>
      <c r="GF12" s="744"/>
      <c r="GG12" s="744"/>
      <c r="GH12" s="744"/>
      <c r="GI12" s="744"/>
      <c r="GJ12" s="744"/>
      <c r="GK12" s="744">
        <v>0</v>
      </c>
      <c r="GL12" s="745"/>
      <c r="GM12" s="746" t="str">
        <f>IF(OR($AV$6="O1",$AV$6="O2",$AV$6="O3"),Sorts!X83,IF(OR($BB$6="O1",$BB$6="O2"),Sorts!X145,""))</f>
        <v>T</v>
      </c>
      <c r="GN12" s="747"/>
      <c r="GO12" s="748" t="str">
        <f>IF(OR($AV$6="O1",$AV$6="O2",$AV$6="O3"),Sorts!Y83,IF(OR($BB$6="O1",$BB$6="O2"),Sorts!Y145,""))</f>
        <v>P</v>
      </c>
      <c r="GP12" s="748"/>
      <c r="GQ12" s="748"/>
      <c r="GR12" s="57" t="str">
        <f>IF(OR($AV$6="O1",$AV$6="O2",$AV$6="O3"),Sorts!Z83,IF(OR($BB$6="O1",$BB$6="O2"),Sorts!Z145,""))</f>
        <v>X</v>
      </c>
      <c r="GS12" s="57" t="str">
        <f>IF(OR($AV$6="O1",$AV$6="O2",$AV$6="O3"),Sorts!AA83,IF(OR($BB$6="O1",$BB$6="O2"),Sorts!AA145,""))</f>
        <v>/</v>
      </c>
      <c r="GT12" s="58" t="str">
        <f>IF(OR($AV$6="O1",$AV$6="O2",$AV$6="O3"),Sorts!AB83,IF(OR($BB$6="O1",$BB$6="O2"),Sorts!AB145,""))</f>
        <v>/</v>
      </c>
      <c r="GU12" s="60"/>
      <c r="GW12" s="56">
        <v>9</v>
      </c>
      <c r="GX12" s="754" t="str">
        <f>IF($AV$4="O",Sorts!AI12,IF($BB$4="O",Sorts!AI36,""))</f>
        <v/>
      </c>
      <c r="GY12" s="754"/>
      <c r="GZ12" s="754"/>
      <c r="HA12" s="754"/>
      <c r="HB12" s="754"/>
      <c r="HC12" s="754"/>
      <c r="HD12" s="754"/>
      <c r="HE12" s="754"/>
      <c r="HF12" s="754"/>
      <c r="HG12" s="754"/>
      <c r="HH12" s="754"/>
      <c r="HI12" s="754"/>
      <c r="HJ12" s="755"/>
      <c r="HK12" s="756">
        <v>0</v>
      </c>
      <c r="HL12" s="747"/>
      <c r="HM12" s="748" t="str">
        <f>IF($AV$4="O",Sorts!AJ12,IF($BB$4="O",Sorts!AJ36,""))</f>
        <v/>
      </c>
      <c r="HN12" s="748"/>
      <c r="HO12" s="748"/>
      <c r="HP12" s="748" t="str">
        <f>IF($AV$4="O",Sorts!AK12,IF($BB$4="O",Sorts!AK36,""))</f>
        <v/>
      </c>
      <c r="HQ12" s="748"/>
      <c r="HR12" s="748"/>
      <c r="HS12" s="57" t="str">
        <f>IF($AV$4="O",Sorts!AL12,IF($BB$4="O",Sorts!AL36,""))</f>
        <v/>
      </c>
      <c r="HT12" s="57" t="str">
        <f>IF($AV$4="O",Sorts!AM12,IF($BB$4="O",Sorts!AM36,""))</f>
        <v/>
      </c>
      <c r="HU12" s="58" t="str">
        <f>IF($AV$4="O",Sorts!AN12,IF($BB$4="O",Sorts!AN36,""))</f>
        <v/>
      </c>
      <c r="HV12" s="57"/>
      <c r="HW12" s="757" t="s">
        <v>1204</v>
      </c>
      <c r="HX12" s="747"/>
      <c r="HY12" s="57">
        <v>9</v>
      </c>
      <c r="HZ12" s="758" t="str">
        <f>IF(OR($AV$6="O1",$AV$6="O2",$AV$6="O3"),Sorts!AI83,IF(OR($BB$6="O1",$BB$6="O2"),Sorts!AI145,""))</f>
        <v>Enchantement</v>
      </c>
      <c r="IA12" s="744"/>
      <c r="IB12" s="744"/>
      <c r="IC12" s="744"/>
      <c r="ID12" s="744"/>
      <c r="IE12" s="744"/>
      <c r="IF12" s="744"/>
      <c r="IG12" s="744"/>
      <c r="IH12" s="744"/>
      <c r="II12" s="744"/>
      <c r="IJ12" s="744"/>
      <c r="IK12" s="744"/>
      <c r="IL12" s="744"/>
      <c r="IM12" s="744">
        <v>0</v>
      </c>
      <c r="IN12" s="745"/>
      <c r="IO12" s="746" t="str">
        <f>IF(OR($AV$6="O1",$AV$6="O2",$AV$6="O3"),Sorts!AJ83,IF(OR($BB$6="O1",$BB$6="O2"),Sorts!AJ145,""))</f>
        <v>T</v>
      </c>
      <c r="IP12" s="747"/>
      <c r="IQ12" s="748" t="str">
        <f>IF(OR($AV$6="O1",$AV$6="O2",$AV$6="O3"),Sorts!AK83,IF(OR($BB$6="O1",$BB$6="O2"),Sorts!AK145,""))</f>
        <v>S</v>
      </c>
      <c r="IR12" s="748"/>
      <c r="IS12" s="748"/>
      <c r="IT12" s="57" t="str">
        <f>IF(OR($AV$6="O1",$AV$6="O2",$AV$6="O3"),Sorts!AL83,IF(OR($BB$6="O1",$BB$6="O2"),Sorts!AL145,""))</f>
        <v>X</v>
      </c>
      <c r="IU12" s="57" t="str">
        <f>IF(OR($AV$6="O1",$AV$6="O2",$AV$6="O3"),Sorts!AM83,IF(OR($BB$6="O1",$BB$6="O2"),Sorts!AM145,""))</f>
        <v>X</v>
      </c>
      <c r="IV12" s="58" t="str">
        <f>IF(OR($AV$6="O1",$AV$6="O2",$AV$6="O3"),Sorts!AN83,IF(OR($BB$6="O1",$BB$6="O2"),Sorts!AN145,""))</f>
        <v>X</v>
      </c>
      <c r="IW12" s="60"/>
      <c r="IY12" s="384"/>
      <c r="IZ12" s="762"/>
      <c r="JA12" s="762"/>
      <c r="JB12" s="762"/>
      <c r="JC12" s="762"/>
      <c r="JD12" s="762"/>
      <c r="JE12" s="762"/>
      <c r="JF12" s="762"/>
      <c r="JG12" s="762"/>
      <c r="JH12" s="762"/>
      <c r="JI12" s="762"/>
      <c r="JJ12" s="762"/>
      <c r="JK12" s="762"/>
      <c r="JL12" s="763"/>
      <c r="JM12" s="759"/>
      <c r="JN12" s="760"/>
      <c r="JO12" s="761"/>
      <c r="JP12" s="761"/>
      <c r="JQ12" s="761"/>
      <c r="JR12" s="761"/>
      <c r="JS12" s="761"/>
      <c r="JT12" s="761"/>
      <c r="JU12" s="385"/>
      <c r="JV12" s="385"/>
      <c r="JW12" s="386"/>
      <c r="JX12" s="385"/>
      <c r="JY12" s="757" t="s">
        <v>1204</v>
      </c>
      <c r="JZ12" s="747"/>
      <c r="KA12" s="57">
        <v>9</v>
      </c>
      <c r="KB12" s="746" t="str">
        <f>IF(OR($AV$6="O1",$AV$6="O2",$AV$6="O3"),Sorts!AU83,IF(OR($BB$6="O1",$BB$6="O2"),Sorts!AU145,""))</f>
        <v>Immunité Magique de Serten</v>
      </c>
      <c r="KC12" s="754"/>
      <c r="KD12" s="754"/>
      <c r="KE12" s="754"/>
      <c r="KF12" s="754"/>
      <c r="KG12" s="754"/>
      <c r="KH12" s="754"/>
      <c r="KI12" s="754"/>
      <c r="KJ12" s="754"/>
      <c r="KK12" s="754"/>
      <c r="KL12" s="754"/>
      <c r="KM12" s="754"/>
      <c r="KN12" s="755"/>
      <c r="KO12" s="744">
        <v>0</v>
      </c>
      <c r="KP12" s="745"/>
      <c r="KQ12" s="746" t="str">
        <f>IF(OR($AV$6="O1",$AV$6="O2",$AV$6="O3"),Sorts!AV83,IF(OR($BB$6="O1",$BB$6="O2"),Sorts!AV145,""))</f>
        <v>T</v>
      </c>
      <c r="KR12" s="747"/>
      <c r="KS12" s="748" t="str">
        <f>IF(OR($AV$6="O1",$AV$6="O2",$AV$6="O3"),Sorts!AW83,IF(OR($BB$6="O1",$BB$6="O2"),Sorts!AW145,""))</f>
        <v>1t/n</v>
      </c>
      <c r="KT12" s="748"/>
      <c r="KU12" s="748"/>
      <c r="KV12" s="57" t="str">
        <f>IF(OR($AV$6="O1",$AV$6="O2",$AV$6="O3"),Sorts!AX83,IF(OR($BB$6="O1",$BB$6="O2"),Sorts!AX145,""))</f>
        <v>X</v>
      </c>
      <c r="KW12" s="57" t="str">
        <f>IF(OR($AV$6="O1",$AV$6="O2",$AV$6="O3"),Sorts!AY83,IF(OR($BB$6="O1",$BB$6="O2"),Sorts!AY145,""))</f>
        <v>X</v>
      </c>
      <c r="KX12" s="58" t="str">
        <f>IF(OR($AV$6="O1",$AV$6="O2",$AV$6="O3"),Sorts!AZ83,IF(OR($BB$6="O1",$BB$6="O2"),Sorts!AZ145,""))</f>
        <v>X</v>
      </c>
    </row>
    <row r="13" spans="2:310" ht="18" customHeight="1" thickTop="1" thickBot="1" x14ac:dyDescent="0.3">
      <c r="B13" s="728">
        <v>12</v>
      </c>
      <c r="C13" s="729"/>
      <c r="E13" s="732" t="s">
        <v>2</v>
      </c>
      <c r="F13" s="733"/>
      <c r="G13" s="734" t="s">
        <v>43</v>
      </c>
      <c r="H13" s="735"/>
      <c r="I13" s="736">
        <f>VLOOKUP(INT,Caractéristiques!$B$133:$F$160,2,FALSE)</f>
        <v>3</v>
      </c>
      <c r="J13" s="737"/>
      <c r="K13" s="734" t="s">
        <v>45</v>
      </c>
      <c r="L13" s="735"/>
      <c r="M13" s="740">
        <f>VLOOKUP(INT,Caractéristiques!$B$133:$F$160,3,FALSE)</f>
        <v>0.45</v>
      </c>
      <c r="N13" s="741"/>
      <c r="O13" s="734" t="s">
        <v>47</v>
      </c>
      <c r="P13" s="735"/>
      <c r="Q13" s="736">
        <f>VLOOKUP(INT,Caractéristiques!$B$133:$F$160,4,FALSE)</f>
        <v>5</v>
      </c>
      <c r="R13" s="737"/>
      <c r="S13" s="734" t="s">
        <v>47</v>
      </c>
      <c r="T13" s="735"/>
      <c r="U13" s="736">
        <f>VLOOKUP(INT,Caractéristiques!$B$133:$F$160,5,FALSE)</f>
        <v>7</v>
      </c>
      <c r="V13" s="737"/>
      <c r="W13" s="5"/>
      <c r="X13" s="5"/>
      <c r="Y13" s="5"/>
      <c r="Z13" s="5"/>
      <c r="AA13" s="5"/>
      <c r="AF13" s="673" t="s">
        <v>1556</v>
      </c>
      <c r="AG13" s="660"/>
      <c r="AH13" s="727">
        <f>INDEX(Niveau!$A$511:$Q$547,NivC1+1,MATCH(Classe1,Niveau!$B$511:$Q$511,0)+1)</f>
        <v>4001</v>
      </c>
      <c r="AI13" s="727"/>
      <c r="AJ13" s="727"/>
      <c r="AK13" s="611" t="s">
        <v>1570</v>
      </c>
      <c r="AL13" s="612"/>
      <c r="AM13" s="613"/>
      <c r="AN13" s="614" t="s">
        <v>48</v>
      </c>
      <c r="AO13" s="615"/>
      <c r="AQ13" s="56">
        <v>4</v>
      </c>
      <c r="AR13" s="754" t="str">
        <f>IF($AV$4="O",Sorts!E7,IF($BB$4="O",Sorts!E31,""))</f>
        <v/>
      </c>
      <c r="AS13" s="754"/>
      <c r="AT13" s="754"/>
      <c r="AU13" s="754"/>
      <c r="AV13" s="754"/>
      <c r="AW13" s="754"/>
      <c r="AX13" s="754"/>
      <c r="AY13" s="754"/>
      <c r="AZ13" s="754"/>
      <c r="BA13" s="754"/>
      <c r="BB13" s="754"/>
      <c r="BC13" s="754"/>
      <c r="BD13" s="755"/>
      <c r="BE13" s="756">
        <v>0</v>
      </c>
      <c r="BF13" s="754"/>
      <c r="BG13" s="748" t="str">
        <f>IF($AV$4="O",Sorts!F7,IF($BB$4="O",Sorts!F31,""))</f>
        <v/>
      </c>
      <c r="BH13" s="748"/>
      <c r="BI13" s="748"/>
      <c r="BJ13" s="748" t="str">
        <f>IF($AV$4="O",Sorts!G7,IF($BB$4="O",Sorts!G31,""))</f>
        <v/>
      </c>
      <c r="BK13" s="748"/>
      <c r="BL13" s="748"/>
      <c r="BM13" s="57" t="str">
        <f>IF($AV$4="O",Sorts!H7,IF($BB$4="O",Sorts!H31,""))</f>
        <v/>
      </c>
      <c r="BN13" s="57" t="str">
        <f>IF($AV$4="O",Sorts!I7,IF($BB$4="O",Sorts!I31,""))</f>
        <v/>
      </c>
      <c r="BO13" s="369" t="str">
        <f>IF($AV$4="O",Sorts!J7,IF($BB$4="O",Sorts!J31,""))</f>
        <v/>
      </c>
      <c r="BP13" s="366"/>
      <c r="BQ13" s="757" t="s">
        <v>1204</v>
      </c>
      <c r="BR13" s="747"/>
      <c r="BS13" s="57">
        <v>4</v>
      </c>
      <c r="BT13" s="758" t="str">
        <f>IF(OR($AV$6="O1",$AV$6="O2",$AV$6="O3"),Sorts!E78,IF(OR($BB$6="O1",$BB$6="O2"),Sorts!E140,""))</f>
        <v>Amitié</v>
      </c>
      <c r="BU13" s="744"/>
      <c r="BV13" s="744"/>
      <c r="BW13" s="744"/>
      <c r="BX13" s="744"/>
      <c r="BY13" s="744"/>
      <c r="BZ13" s="744"/>
      <c r="CA13" s="744"/>
      <c r="CB13" s="744"/>
      <c r="CC13" s="744"/>
      <c r="CD13" s="744"/>
      <c r="CE13" s="744"/>
      <c r="CF13" s="744"/>
      <c r="CG13" s="744">
        <v>0</v>
      </c>
      <c r="CH13" s="745"/>
      <c r="CI13" s="746">
        <f>IF(OR($AV$6="O1",$AV$6="O2",$AV$6="O3"),Sorts!F78,IF(OR($BB$6="O1",$BB$6="O2"),Sorts!F140,""))</f>
        <v>0</v>
      </c>
      <c r="CJ13" s="747"/>
      <c r="CK13" s="748" t="str">
        <f>IF(OR($AV$6="O1",$AV$6="O2",$AV$6="O3"),Sorts!G78,IF(OR($BB$6="O1",$BB$6="O2"),Sorts!G140,""))</f>
        <v>1r/n</v>
      </c>
      <c r="CL13" s="748"/>
      <c r="CM13" s="748"/>
      <c r="CN13" s="57" t="str">
        <f>IF(OR($AV$6="O1",$AV$6="O2",$AV$6="O3"),Sorts!H78,IF(OR($BB$6="O1",$BB$6="O2"),Sorts!H140,""))</f>
        <v>X</v>
      </c>
      <c r="CO13" s="57" t="str">
        <f>IF(OR($AV$6="O1",$AV$6="O2",$AV$6="O3"),Sorts!I78,IF(OR($BB$6="O1",$BB$6="O2"),Sorts!I140,""))</f>
        <v>X</v>
      </c>
      <c r="CP13" s="58" t="str">
        <f>IF(OR($AV$6="O1",$AV$6="O2",$AV$6="O3"),Sorts!J78,IF(OR($BB$6="O1",$BB$6="O2"),Sorts!J140,""))</f>
        <v>X</v>
      </c>
      <c r="CQ13" s="60"/>
      <c r="CS13" s="56">
        <v>10</v>
      </c>
      <c r="CT13" s="754" t="str">
        <f>IF($AV$4="O",Sorts!K13,IF($BB$4="O",Sorts!K37,""))</f>
        <v/>
      </c>
      <c r="CU13" s="754"/>
      <c r="CV13" s="754"/>
      <c r="CW13" s="754"/>
      <c r="CX13" s="754"/>
      <c r="CY13" s="754"/>
      <c r="CZ13" s="754"/>
      <c r="DA13" s="754"/>
      <c r="DB13" s="754"/>
      <c r="DC13" s="754"/>
      <c r="DD13" s="754"/>
      <c r="DE13" s="754"/>
      <c r="DF13" s="755"/>
      <c r="DG13" s="756">
        <v>0</v>
      </c>
      <c r="DH13" s="747"/>
      <c r="DI13" s="748" t="str">
        <f>IF($AV$4="O",Sorts!L13,IF($BB$4="O",Sorts!L37,""))</f>
        <v/>
      </c>
      <c r="DJ13" s="748"/>
      <c r="DK13" s="748"/>
      <c r="DL13" s="748" t="str">
        <f>IF($AV$4="O",Sorts!M13,IF($BB$4="O",Sorts!M37,""))</f>
        <v/>
      </c>
      <c r="DM13" s="748"/>
      <c r="DN13" s="748"/>
      <c r="DO13" s="57" t="str">
        <f>IF($AV$4="O",Sorts!N13,IF($BB$4="O",Sorts!N37,""))</f>
        <v/>
      </c>
      <c r="DP13" s="57" t="str">
        <f>IF($AV$4="O",Sorts!O13,IF($BB$4="O",Sorts!O37,""))</f>
        <v/>
      </c>
      <c r="DQ13" s="58" t="str">
        <f>IF($AV$4="O",Sorts!P13,IF($BB$4="O",Sorts!P37,""))</f>
        <v/>
      </c>
      <c r="DR13" s="57"/>
      <c r="DS13" s="757" t="s">
        <v>1204</v>
      </c>
      <c r="DT13" s="747"/>
      <c r="DU13" s="57">
        <v>10</v>
      </c>
      <c r="DV13" s="758" t="str">
        <f>IF(OR($AV$6="O1",$AV$6="O2",$AV$6="O3"),Sorts!K84,IF(OR($BB$6="O1",$BB$6="O2"),Sorts!K146,""))</f>
        <v>Fracassement</v>
      </c>
      <c r="DW13" s="744"/>
      <c r="DX13" s="744"/>
      <c r="DY13" s="744"/>
      <c r="DZ13" s="744"/>
      <c r="EA13" s="744"/>
      <c r="EB13" s="744"/>
      <c r="EC13" s="744"/>
      <c r="ED13" s="744"/>
      <c r="EE13" s="744"/>
      <c r="EF13" s="744"/>
      <c r="EG13" s="744"/>
      <c r="EH13" s="744"/>
      <c r="EI13" s="744">
        <v>0</v>
      </c>
      <c r="EJ13" s="745"/>
      <c r="EK13" s="746" t="str">
        <f>IF(OR($AV$6="O1",$AV$6="O2",$AV$6="O3"),Sorts!L84,IF(OR($BB$6="O1",$BB$6="O2"),Sorts!L146,""))</f>
        <v>6''</v>
      </c>
      <c r="EL13" s="747"/>
      <c r="EM13" s="748" t="str">
        <f>IF(OR($AV$6="O1",$AV$6="O2",$AV$6="O3"),Sorts!M84,IF(OR($BB$6="O1",$BB$6="O2"),Sorts!M146,""))</f>
        <v>P</v>
      </c>
      <c r="EN13" s="748"/>
      <c r="EO13" s="748"/>
      <c r="EP13" s="57" t="str">
        <f>IF(OR($AV$6="O1",$AV$6="O2",$AV$6="O3"),Sorts!N84,IF(OR($BB$6="O1",$BB$6="O2"),Sorts!N146,""))</f>
        <v>X</v>
      </c>
      <c r="EQ13" s="57" t="str">
        <f>IF(OR($AV$6="O1",$AV$6="O2",$AV$6="O3"),Sorts!O84,IF(OR($BB$6="O1",$BB$6="O2"),Sorts!O146,""))</f>
        <v>X</v>
      </c>
      <c r="ER13" s="58" t="str">
        <f>IF(OR($AV$6="O1",$AV$6="O2",$AV$6="O3"),Sorts!P84,IF(OR($BB$6="O1",$BB$6="O2"),Sorts!P146,""))</f>
        <v>X</v>
      </c>
      <c r="ES13" s="60"/>
      <c r="EU13" s="56">
        <v>10</v>
      </c>
      <c r="EV13" s="754" t="str">
        <f>IF($AV$4="O",Sorts!W13,IF($BB$4="O",Sorts!W37,""))</f>
        <v/>
      </c>
      <c r="EW13" s="754"/>
      <c r="EX13" s="754"/>
      <c r="EY13" s="754"/>
      <c r="EZ13" s="754"/>
      <c r="FA13" s="754"/>
      <c r="FB13" s="754"/>
      <c r="FC13" s="754"/>
      <c r="FD13" s="754"/>
      <c r="FE13" s="754"/>
      <c r="FF13" s="754"/>
      <c r="FG13" s="754"/>
      <c r="FH13" s="755"/>
      <c r="FI13" s="756">
        <v>0</v>
      </c>
      <c r="FJ13" s="747"/>
      <c r="FK13" s="748" t="str">
        <f>IF($AV$4="O",Sorts!X13,IF($BB$4="O",Sorts!X37,""))</f>
        <v/>
      </c>
      <c r="FL13" s="748"/>
      <c r="FM13" s="748"/>
      <c r="FN13" s="746" t="str">
        <f>IF($AV$4="O",Sorts!Y13,IF($BB$4="O",Sorts!Y37,""))</f>
        <v/>
      </c>
      <c r="FO13" s="754"/>
      <c r="FP13" s="747"/>
      <c r="FQ13" s="57" t="str">
        <f>IF($AV$4="O",Sorts!Z13,IF($BB$4="O",Sorts!Z37,""))</f>
        <v/>
      </c>
      <c r="FR13" s="57" t="str">
        <f>IF($AV$4="O",Sorts!AA13,IF($BB$4="O",Sorts!AA37,""))</f>
        <v/>
      </c>
      <c r="FS13" s="58" t="str">
        <f>IF($AV$4="O",Sorts!AB13,IF($BB$4="O",Sorts!AB37,""))</f>
        <v/>
      </c>
      <c r="FT13" s="57"/>
      <c r="FU13" s="757" t="s">
        <v>1204</v>
      </c>
      <c r="FV13" s="747"/>
      <c r="FW13" s="57">
        <v>10</v>
      </c>
      <c r="FX13" s="758" t="str">
        <f>IF(OR($AV$6="O1",$AV$6="O2",$AV$6="O3"),Sorts!W84,IF(OR($BB$6="O1",$BB$6="O2"),Sorts!W146,""))</f>
        <v>Dissipation des Illusions</v>
      </c>
      <c r="FY13" s="744"/>
      <c r="FZ13" s="744"/>
      <c r="GA13" s="744"/>
      <c r="GB13" s="744"/>
      <c r="GC13" s="744"/>
      <c r="GD13" s="744"/>
      <c r="GE13" s="744"/>
      <c r="GF13" s="744"/>
      <c r="GG13" s="744"/>
      <c r="GH13" s="744"/>
      <c r="GI13" s="744"/>
      <c r="GJ13" s="744"/>
      <c r="GK13" s="744">
        <v>0</v>
      </c>
      <c r="GL13" s="745"/>
      <c r="GM13" s="746" t="str">
        <f>IF(OR($AV$6="O1",$AV$6="O2",$AV$6="O3"),Sorts!X84,IF(OR($BB$6="O1",$BB$6="O2"),Sorts!X146,""))</f>
        <v>0,5''/n</v>
      </c>
      <c r="GN13" s="747"/>
      <c r="GO13" s="748" t="str">
        <f>IF(OR($AV$6="O1",$AV$6="O2",$AV$6="O3"),Sorts!Y84,IF(OR($BB$6="O1",$BB$6="O2"),Sorts!Y146,""))</f>
        <v>P</v>
      </c>
      <c r="GP13" s="748"/>
      <c r="GQ13" s="748"/>
      <c r="GR13" s="57" t="str">
        <f>IF(OR($AV$6="O1",$AV$6="O2",$AV$6="O3"),Sorts!Z84,IF(OR($BB$6="O1",$BB$6="O2"),Sorts!Z146,""))</f>
        <v>X</v>
      </c>
      <c r="GS13" s="57" t="str">
        <f>IF(OR($AV$6="O1",$AV$6="O2",$AV$6="O3"),Sorts!AA84,IF(OR($BB$6="O1",$BB$6="O2"),Sorts!AA146,""))</f>
        <v>/</v>
      </c>
      <c r="GT13" s="58" t="str">
        <f>IF(OR($AV$6="O1",$AV$6="O2",$AV$6="O3"),Sorts!AB84,IF(OR($BB$6="O1",$BB$6="O2"),Sorts!AB146,""))</f>
        <v>/</v>
      </c>
      <c r="GU13" s="60"/>
      <c r="GW13" s="56">
        <v>10</v>
      </c>
      <c r="GX13" s="754" t="str">
        <f>IF($AV$4="O",Sorts!AI13,IF($BB$4="O",Sorts!AI37,""))</f>
        <v/>
      </c>
      <c r="GY13" s="754"/>
      <c r="GZ13" s="754"/>
      <c r="HA13" s="754"/>
      <c r="HB13" s="754"/>
      <c r="HC13" s="754"/>
      <c r="HD13" s="754"/>
      <c r="HE13" s="754"/>
      <c r="HF13" s="754"/>
      <c r="HG13" s="754"/>
      <c r="HH13" s="754"/>
      <c r="HI13" s="754"/>
      <c r="HJ13" s="755"/>
      <c r="HK13" s="756">
        <v>0</v>
      </c>
      <c r="HL13" s="747"/>
      <c r="HM13" s="748" t="str">
        <f>IF($AV$4="O",Sorts!AJ13,IF($BB$4="O",Sorts!AJ37,""))</f>
        <v/>
      </c>
      <c r="HN13" s="748"/>
      <c r="HO13" s="748"/>
      <c r="HP13" s="748" t="str">
        <f>IF($AV$4="O",Sorts!AK13,IF($BB$4="O",Sorts!AK37,""))</f>
        <v/>
      </c>
      <c r="HQ13" s="748"/>
      <c r="HR13" s="748"/>
      <c r="HS13" s="57" t="str">
        <f>IF($AV$4="O",Sorts!AL13,IF($BB$4="O",Sorts!AL37,""))</f>
        <v/>
      </c>
      <c r="HT13" s="57" t="str">
        <f>IF($AV$4="O",Sorts!AM13,IF($BB$4="O",Sorts!AM37,""))</f>
        <v/>
      </c>
      <c r="HU13" s="58" t="str">
        <f>IF($AV$4="O",Sorts!AN13,IF($BB$4="O",Sorts!AN37,""))</f>
        <v/>
      </c>
      <c r="HV13" s="57"/>
      <c r="HW13" s="757" t="s">
        <v>1204</v>
      </c>
      <c r="HX13" s="747"/>
      <c r="HY13" s="57">
        <v>10</v>
      </c>
      <c r="HZ13" s="758" t="str">
        <f>IF(OR($AV$6="O1",$AV$6="O2",$AV$6="O3"),Sorts!AI84,IF(OR($BB$6="O1",$BB$6="O2"),Sorts!AI146,""))</f>
        <v>Extension III</v>
      </c>
      <c r="IA13" s="744"/>
      <c r="IB13" s="744"/>
      <c r="IC13" s="744"/>
      <c r="ID13" s="744"/>
      <c r="IE13" s="744"/>
      <c r="IF13" s="744"/>
      <c r="IG13" s="744"/>
      <c r="IH13" s="744"/>
      <c r="II13" s="744"/>
      <c r="IJ13" s="744"/>
      <c r="IK13" s="744"/>
      <c r="IL13" s="744"/>
      <c r="IM13" s="744">
        <v>0</v>
      </c>
      <c r="IN13" s="745"/>
      <c r="IO13" s="746">
        <f>IF(OR($AV$6="O1",$AV$6="O2",$AV$6="O3"),Sorts!AJ84,IF(OR($BB$6="O1",$BB$6="O2"),Sorts!AJ146,""))</f>
        <v>0</v>
      </c>
      <c r="IP13" s="747"/>
      <c r="IQ13" s="748" t="str">
        <f>IF(OR($AV$6="O1",$AV$6="O2",$AV$6="O3"),Sorts!AK84,IF(OR($BB$6="O1",$BB$6="O2"),Sorts!AK146,""))</f>
        <v>S</v>
      </c>
      <c r="IR13" s="748"/>
      <c r="IS13" s="748"/>
      <c r="IT13" s="57" t="str">
        <f>IF(OR($AV$6="O1",$AV$6="O2",$AV$6="O3"),Sorts!AL84,IF(OR($BB$6="O1",$BB$6="O2"),Sorts!AL146,""))</f>
        <v>X</v>
      </c>
      <c r="IU13" s="57" t="str">
        <f>IF(OR($AV$6="O1",$AV$6="O2",$AV$6="O3"),Sorts!AM84,IF(OR($BB$6="O1",$BB$6="O2"),Sorts!AM146,""))</f>
        <v>/</v>
      </c>
      <c r="IV13" s="58" t="str">
        <f>IF(OR($AV$6="O1",$AV$6="O2",$AV$6="O3"),Sorts!AN84,IF(OR($BB$6="O1",$BB$6="O2"),Sorts!AN146,""))</f>
        <v>/</v>
      </c>
      <c r="IW13" s="60"/>
      <c r="IY13" s="384"/>
      <c r="IZ13" s="762"/>
      <c r="JA13" s="762"/>
      <c r="JB13" s="762"/>
      <c r="JC13" s="762"/>
      <c r="JD13" s="762"/>
      <c r="JE13" s="762"/>
      <c r="JF13" s="762"/>
      <c r="JG13" s="762"/>
      <c r="JH13" s="762"/>
      <c r="JI13" s="762"/>
      <c r="JJ13" s="762"/>
      <c r="JK13" s="762"/>
      <c r="JL13" s="763"/>
      <c r="JM13" s="759"/>
      <c r="JN13" s="760"/>
      <c r="JO13" s="761"/>
      <c r="JP13" s="761"/>
      <c r="JQ13" s="761"/>
      <c r="JR13" s="761"/>
      <c r="JS13" s="761"/>
      <c r="JT13" s="761"/>
      <c r="JU13" s="385"/>
      <c r="JV13" s="385"/>
      <c r="JW13" s="386"/>
      <c r="JX13" s="385"/>
      <c r="JY13" s="757" t="s">
        <v>1204</v>
      </c>
      <c r="JZ13" s="747"/>
      <c r="KA13" s="57">
        <v>10</v>
      </c>
      <c r="KB13" s="746" t="str">
        <f>IF(OR($AV$6="O1",$AV$6="O2",$AV$6="O3"),Sorts!AU84,IF(OR($BB$6="O1",$BB$6="O2"),Sorts!AU146,""))</f>
        <v>Invocation de Monstre VI</v>
      </c>
      <c r="KC13" s="754"/>
      <c r="KD13" s="754"/>
      <c r="KE13" s="754"/>
      <c r="KF13" s="754"/>
      <c r="KG13" s="754"/>
      <c r="KH13" s="754"/>
      <c r="KI13" s="754"/>
      <c r="KJ13" s="754"/>
      <c r="KK13" s="754"/>
      <c r="KL13" s="754"/>
      <c r="KM13" s="754"/>
      <c r="KN13" s="755"/>
      <c r="KO13" s="744">
        <v>0</v>
      </c>
      <c r="KP13" s="745"/>
      <c r="KQ13" s="746" t="str">
        <f>IF(OR($AV$6="O1",$AV$6="O2",$AV$6="O3"),Sorts!AV84,IF(OR($BB$6="O1",$BB$6="O2"),Sorts!AV146,""))</f>
        <v>8''</v>
      </c>
      <c r="KR13" s="747"/>
      <c r="KS13" s="748" t="str">
        <f>IF(OR($AV$6="O1",$AV$6="O2",$AV$6="O3"),Sorts!AW84,IF(OR($BB$6="O1",$BB$6="O2"),Sorts!AW146,""))</f>
        <v>7r+1/n</v>
      </c>
      <c r="KT13" s="748"/>
      <c r="KU13" s="748"/>
      <c r="KV13" s="57" t="str">
        <f>IF(OR($AV$6="O1",$AV$6="O2",$AV$6="O3"),Sorts!AX84,IF(OR($BB$6="O1",$BB$6="O2"),Sorts!AX146,""))</f>
        <v>X</v>
      </c>
      <c r="KW13" s="57" t="str">
        <f>IF(OR($AV$6="O1",$AV$6="O2",$AV$6="O3"),Sorts!AY84,IF(OR($BB$6="O1",$BB$6="O2"),Sorts!AY146,""))</f>
        <v>X</v>
      </c>
      <c r="KX13" s="58" t="str">
        <f>IF(OR($AV$6="O1",$AV$6="O2",$AV$6="O3"),Sorts!AZ84,IF(OR($BB$6="O1",$BB$6="O2"),Sorts!AZ146,""))</f>
        <v>X</v>
      </c>
    </row>
    <row r="14" spans="2:310" ht="18" customHeight="1" thickTop="1" thickBot="1" x14ac:dyDescent="0.3">
      <c r="B14" s="730"/>
      <c r="C14" s="731"/>
      <c r="E14" s="732"/>
      <c r="F14" s="733"/>
      <c r="G14" s="831" t="s">
        <v>44</v>
      </c>
      <c r="H14" s="832"/>
      <c r="I14" s="738"/>
      <c r="J14" s="739"/>
      <c r="K14" s="831" t="s">
        <v>46</v>
      </c>
      <c r="L14" s="832"/>
      <c r="M14" s="742"/>
      <c r="N14" s="743"/>
      <c r="O14" s="831" t="s">
        <v>167</v>
      </c>
      <c r="P14" s="832"/>
      <c r="Q14" s="738"/>
      <c r="R14" s="739"/>
      <c r="S14" s="831" t="s">
        <v>168</v>
      </c>
      <c r="T14" s="832"/>
      <c r="U14" s="738"/>
      <c r="V14" s="739"/>
      <c r="W14" s="6"/>
      <c r="X14" s="6"/>
      <c r="Z14" s="705" t="s">
        <v>1700</v>
      </c>
      <c r="AA14" s="706"/>
      <c r="AB14" s="706"/>
      <c r="AC14" s="706"/>
      <c r="AD14" s="707"/>
      <c r="AF14" s="673" t="s">
        <v>1557</v>
      </c>
      <c r="AG14" s="660"/>
      <c r="AH14" s="727">
        <f>INDEX(Niveau!$A$511:$Q$547,NivC1+2,MATCH(Classe1,Niveau!$B$511:$Q$511,0)+1)-1</f>
        <v>8000</v>
      </c>
      <c r="AI14" s="727"/>
      <c r="AJ14" s="727"/>
      <c r="AK14" s="894">
        <v>4028</v>
      </c>
      <c r="AL14" s="895"/>
      <c r="AM14" s="896"/>
      <c r="AN14" s="839">
        <v>3</v>
      </c>
      <c r="AO14" s="840"/>
      <c r="AQ14" s="56">
        <v>5</v>
      </c>
      <c r="AR14" s="754" t="str">
        <f>IF($AV$4="O",Sorts!E8,IF($BB$4="O",Sorts!E32,""))</f>
        <v/>
      </c>
      <c r="AS14" s="754"/>
      <c r="AT14" s="754"/>
      <c r="AU14" s="754"/>
      <c r="AV14" s="754"/>
      <c r="AW14" s="754"/>
      <c r="AX14" s="754"/>
      <c r="AY14" s="754"/>
      <c r="AZ14" s="754"/>
      <c r="BA14" s="754"/>
      <c r="BB14" s="754"/>
      <c r="BC14" s="754"/>
      <c r="BD14" s="755"/>
      <c r="BE14" s="756">
        <v>0</v>
      </c>
      <c r="BF14" s="754"/>
      <c r="BG14" s="748" t="str">
        <f>IF($AV$4="O",Sorts!F8,IF($BB$4="O",Sorts!F32,""))</f>
        <v/>
      </c>
      <c r="BH14" s="748"/>
      <c r="BI14" s="748"/>
      <c r="BJ14" s="748" t="str">
        <f>IF($AV$4="O",Sorts!G8,IF($BB$4="O",Sorts!G32,""))</f>
        <v/>
      </c>
      <c r="BK14" s="748"/>
      <c r="BL14" s="748"/>
      <c r="BM14" s="57" t="str">
        <f>IF($AV$4="O",Sorts!H8,IF($BB$4="O",Sorts!H32,""))</f>
        <v/>
      </c>
      <c r="BN14" s="57" t="str">
        <f>IF($AV$4="O",Sorts!I8,IF($BB$4="O",Sorts!I32,""))</f>
        <v/>
      </c>
      <c r="BO14" s="369" t="str">
        <f>IF($AV$4="O",Sorts!J8,IF($BB$4="O",Sorts!J32,""))</f>
        <v/>
      </c>
      <c r="BP14" s="366"/>
      <c r="BQ14" s="757" t="s">
        <v>1204</v>
      </c>
      <c r="BR14" s="747"/>
      <c r="BS14" s="57">
        <v>5</v>
      </c>
      <c r="BT14" s="758" t="str">
        <f>IF(OR($AV$6="O1",$AV$6="O2",$AV$6="O3"),Sorts!E79,IF(OR($BB$6="O1",$BB$6="O2"),Sorts!E141,""))</f>
        <v>Armure</v>
      </c>
      <c r="BU14" s="744"/>
      <c r="BV14" s="744"/>
      <c r="BW14" s="744"/>
      <c r="BX14" s="744"/>
      <c r="BY14" s="744"/>
      <c r="BZ14" s="744"/>
      <c r="CA14" s="744"/>
      <c r="CB14" s="744"/>
      <c r="CC14" s="744"/>
      <c r="CD14" s="744"/>
      <c r="CE14" s="744"/>
      <c r="CF14" s="744"/>
      <c r="CG14" s="744">
        <v>0</v>
      </c>
      <c r="CH14" s="745"/>
      <c r="CI14" s="746" t="str">
        <f>IF(OR($AV$6="O1",$AV$6="O2",$AV$6="O3"),Sorts!F79,IF(OR($BB$6="O1",$BB$6="O2"),Sorts!F141,""))</f>
        <v>T</v>
      </c>
      <c r="CJ14" s="747"/>
      <c r="CK14" s="748" t="str">
        <f>IF(OR($AV$6="O1",$AV$6="O2",$AV$6="O3"),Sorts!G79,IF(OR($BB$6="O1",$BB$6="O2"),Sorts!G141,""))</f>
        <v>S</v>
      </c>
      <c r="CL14" s="748"/>
      <c r="CM14" s="748"/>
      <c r="CN14" s="57" t="str">
        <f>IF(OR($AV$6="O1",$AV$6="O2",$AV$6="O3"),Sorts!H79,IF(OR($BB$6="O1",$BB$6="O2"),Sorts!H141,""))</f>
        <v>X</v>
      </c>
      <c r="CO14" s="57" t="str">
        <f>IF(OR($AV$6="O1",$AV$6="O2",$AV$6="O3"),Sorts!I79,IF(OR($BB$6="O1",$BB$6="O2"),Sorts!I141,""))</f>
        <v>X</v>
      </c>
      <c r="CP14" s="58" t="str">
        <f>IF(OR($AV$6="O1",$AV$6="O2",$AV$6="O3"),Sorts!J79,IF(OR($BB$6="O1",$BB$6="O2"),Sorts!J141,""))</f>
        <v>X</v>
      </c>
      <c r="CQ14" s="60"/>
      <c r="CS14" s="56">
        <v>11</v>
      </c>
      <c r="CT14" s="754" t="str">
        <f>IF($AV$4="O",Sorts!K14,IF($BB$4="O",Sorts!K38,""))</f>
        <v/>
      </c>
      <c r="CU14" s="754"/>
      <c r="CV14" s="754"/>
      <c r="CW14" s="754"/>
      <c r="CX14" s="754"/>
      <c r="CY14" s="754"/>
      <c r="CZ14" s="754"/>
      <c r="DA14" s="754"/>
      <c r="DB14" s="754"/>
      <c r="DC14" s="754"/>
      <c r="DD14" s="754"/>
      <c r="DE14" s="754"/>
      <c r="DF14" s="755"/>
      <c r="DG14" s="756">
        <v>0</v>
      </c>
      <c r="DH14" s="747"/>
      <c r="DI14" s="748" t="str">
        <f>IF($AV$4="O",Sorts!L14,IF($BB$4="O",Sorts!L38,""))</f>
        <v/>
      </c>
      <c r="DJ14" s="748"/>
      <c r="DK14" s="748"/>
      <c r="DL14" s="748" t="str">
        <f>IF($AV$4="O",Sorts!M14,IF($BB$4="O",Sorts!M38,""))</f>
        <v/>
      </c>
      <c r="DM14" s="748"/>
      <c r="DN14" s="748"/>
      <c r="DO14" s="57" t="str">
        <f>IF($AV$4="O",Sorts!N14,IF($BB$4="O",Sorts!N38,""))</f>
        <v/>
      </c>
      <c r="DP14" s="57" t="str">
        <f>IF($AV$4="O",Sorts!O14,IF($BB$4="O",Sorts!O38,""))</f>
        <v/>
      </c>
      <c r="DQ14" s="58" t="str">
        <f>IF($AV$4="O",Sorts!P14,IF($BB$4="O",Sorts!P38,""))</f>
        <v/>
      </c>
      <c r="DR14" s="57"/>
      <c r="DS14" s="757" t="s">
        <v>1204</v>
      </c>
      <c r="DT14" s="747"/>
      <c r="DU14" s="57">
        <v>11</v>
      </c>
      <c r="DV14" s="758" t="str">
        <f>IF(OR($AV$6="O1",$AV$6="O2",$AV$6="O3"),Sorts!K85,IF(OR($BB$6="O1",$BB$6="O2"),Sorts!K147,""))</f>
        <v>Image Miroir</v>
      </c>
      <c r="DW14" s="744"/>
      <c r="DX14" s="744"/>
      <c r="DY14" s="744"/>
      <c r="DZ14" s="744"/>
      <c r="EA14" s="744"/>
      <c r="EB14" s="744"/>
      <c r="EC14" s="744"/>
      <c r="ED14" s="744"/>
      <c r="EE14" s="744"/>
      <c r="EF14" s="744"/>
      <c r="EG14" s="744"/>
      <c r="EH14" s="744"/>
      <c r="EI14" s="744">
        <v>0</v>
      </c>
      <c r="EJ14" s="745"/>
      <c r="EK14" s="746">
        <f>IF(OR($AV$6="O1",$AV$6="O2",$AV$6="O3"),Sorts!L85,IF(OR($BB$6="O1",$BB$6="O2"),Sorts!L147,""))</f>
        <v>0</v>
      </c>
      <c r="EL14" s="747"/>
      <c r="EM14" s="748" t="str">
        <f>IF(OR($AV$6="O1",$AV$6="O2",$AV$6="O3"),Sorts!M85,IF(OR($BB$6="O1",$BB$6="O2"),Sorts!M147,""))</f>
        <v>2r/n</v>
      </c>
      <c r="EN14" s="748"/>
      <c r="EO14" s="748"/>
      <c r="EP14" s="57" t="str">
        <f>IF(OR($AV$6="O1",$AV$6="O2",$AV$6="O3"),Sorts!N85,IF(OR($BB$6="O1",$BB$6="O2"),Sorts!N147,""))</f>
        <v>X</v>
      </c>
      <c r="EQ14" s="57" t="str">
        <f>IF(OR($AV$6="O1",$AV$6="O2",$AV$6="O3"),Sorts!O85,IF(OR($BB$6="O1",$BB$6="O2"),Sorts!O147,""))</f>
        <v>X</v>
      </c>
      <c r="ER14" s="58" t="str">
        <f>IF(OR($AV$6="O1",$AV$6="O2",$AV$6="O3"),Sorts!P85,IF(OR($BB$6="O1",$BB$6="O2"),Sorts!P147,""))</f>
        <v>/</v>
      </c>
      <c r="ES14" s="60"/>
      <c r="EU14" s="56">
        <v>11</v>
      </c>
      <c r="EV14" s="754" t="str">
        <f>IF($AV$4="O",Sorts!W14,IF($BB$4="O",Sorts!W38,""))</f>
        <v/>
      </c>
      <c r="EW14" s="754"/>
      <c r="EX14" s="754"/>
      <c r="EY14" s="754"/>
      <c r="EZ14" s="754"/>
      <c r="FA14" s="754"/>
      <c r="FB14" s="754"/>
      <c r="FC14" s="754"/>
      <c r="FD14" s="754"/>
      <c r="FE14" s="754"/>
      <c r="FF14" s="754"/>
      <c r="FG14" s="754"/>
      <c r="FH14" s="755"/>
      <c r="FI14" s="756">
        <v>0</v>
      </c>
      <c r="FJ14" s="747"/>
      <c r="FK14" s="748" t="str">
        <f>IF($AV$4="O",Sorts!X14,IF($BB$4="O",Sorts!X38,""))</f>
        <v/>
      </c>
      <c r="FL14" s="748"/>
      <c r="FM14" s="748"/>
      <c r="FN14" s="746" t="str">
        <f>IF($AV$4="O",Sorts!Y14,IF($BB$4="O",Sorts!Y38,""))</f>
        <v/>
      </c>
      <c r="FO14" s="754"/>
      <c r="FP14" s="747"/>
      <c r="FQ14" s="57" t="str">
        <f>IF($AV$4="O",Sorts!Z14,IF($BB$4="O",Sorts!Z38,""))</f>
        <v/>
      </c>
      <c r="FR14" s="57" t="str">
        <f>IF($AV$4="O",Sorts!AA14,IF($BB$4="O",Sorts!AA38,""))</f>
        <v/>
      </c>
      <c r="FS14" s="58" t="str">
        <f>IF($AV$4="O",Sorts!AB14,IF($BB$4="O",Sorts!AB38,""))</f>
        <v/>
      </c>
      <c r="FT14" s="57"/>
      <c r="FU14" s="757" t="s">
        <v>1204</v>
      </c>
      <c r="FV14" s="747"/>
      <c r="FW14" s="57">
        <v>11</v>
      </c>
      <c r="FX14" s="758" t="str">
        <f>IF(OR($AV$6="O1",$AV$6="O2",$AV$6="O3"),Sorts!W85,IF(OR($BB$6="O1",$BB$6="O2"),Sorts!W147,""))</f>
        <v>Effroi</v>
      </c>
      <c r="FY14" s="744"/>
      <c r="FZ14" s="744"/>
      <c r="GA14" s="744"/>
      <c r="GB14" s="744"/>
      <c r="GC14" s="744"/>
      <c r="GD14" s="744"/>
      <c r="GE14" s="744"/>
      <c r="GF14" s="744"/>
      <c r="GG14" s="744"/>
      <c r="GH14" s="744"/>
      <c r="GI14" s="744"/>
      <c r="GJ14" s="744"/>
      <c r="GK14" s="744">
        <v>0</v>
      </c>
      <c r="GL14" s="745"/>
      <c r="GM14" s="746">
        <f>IF(OR($AV$6="O1",$AV$6="O2",$AV$6="O3"),Sorts!X85,IF(OR($BB$6="O1",$BB$6="O2"),Sorts!X147,""))</f>
        <v>0</v>
      </c>
      <c r="GN14" s="747"/>
      <c r="GO14" s="748" t="str">
        <f>IF(OR($AV$6="O1",$AV$6="O2",$AV$6="O3"),Sorts!Y85,IF(OR($BB$6="O1",$BB$6="O2"),Sorts!Y147,""))</f>
        <v>S</v>
      </c>
      <c r="GP14" s="748"/>
      <c r="GQ14" s="748"/>
      <c r="GR14" s="57" t="str">
        <f>IF(OR($AV$6="O1",$AV$6="O2",$AV$6="O3"),Sorts!Z85,IF(OR($BB$6="O1",$BB$6="O2"),Sorts!Z147,""))</f>
        <v>X</v>
      </c>
      <c r="GS14" s="57" t="str">
        <f>IF(OR($AV$6="O1",$AV$6="O2",$AV$6="O3"),Sorts!AA85,IF(OR($BB$6="O1",$BB$6="O2"),Sorts!AA147,""))</f>
        <v>X</v>
      </c>
      <c r="GT14" s="58" t="str">
        <f>IF(OR($AV$6="O1",$AV$6="O2",$AV$6="O3"),Sorts!AB85,IF(OR($BB$6="O1",$BB$6="O2"),Sorts!AB147,""))</f>
        <v>X</v>
      </c>
      <c r="GU14" s="60"/>
      <c r="GW14" s="56">
        <v>11</v>
      </c>
      <c r="GX14" s="754" t="str">
        <f>IF($AV$4="O",Sorts!AI14,IF($BB$4="O",Sorts!AI38,""))</f>
        <v/>
      </c>
      <c r="GY14" s="754"/>
      <c r="GZ14" s="754"/>
      <c r="HA14" s="754"/>
      <c r="HB14" s="754"/>
      <c r="HC14" s="754"/>
      <c r="HD14" s="754"/>
      <c r="HE14" s="754"/>
      <c r="HF14" s="754"/>
      <c r="HG14" s="754"/>
      <c r="HH14" s="754"/>
      <c r="HI14" s="754"/>
      <c r="HJ14" s="755"/>
      <c r="HK14" s="756">
        <v>0</v>
      </c>
      <c r="HL14" s="747"/>
      <c r="HM14" s="748" t="str">
        <f>IF($AV$4="O",Sorts!AJ14,IF($BB$4="O",Sorts!AJ38,""))</f>
        <v/>
      </c>
      <c r="HN14" s="748"/>
      <c r="HO14" s="748"/>
      <c r="HP14" s="748" t="str">
        <f>IF($AV$4="O",Sorts!AK14,IF($BB$4="O",Sorts!AK38,""))</f>
        <v/>
      </c>
      <c r="HQ14" s="748"/>
      <c r="HR14" s="748"/>
      <c r="HS14" s="57" t="str">
        <f>IF($AV$4="O",Sorts!AL14,IF($BB$4="O",Sorts!AL38,""))</f>
        <v/>
      </c>
      <c r="HT14" s="57" t="str">
        <f>IF($AV$4="O",Sorts!AM14,IF($BB$4="O",Sorts!AM38,""))</f>
        <v/>
      </c>
      <c r="HU14" s="58" t="str">
        <f>IF($AV$4="O",Sorts!AN14,IF($BB$4="O",Sorts!AN38,""))</f>
        <v/>
      </c>
      <c r="HV14" s="57"/>
      <c r="HW14" s="757" t="s">
        <v>1204</v>
      </c>
      <c r="HX14" s="747"/>
      <c r="HY14" s="57">
        <v>11</v>
      </c>
      <c r="HZ14" s="758" t="str">
        <f>IF(OR($AV$6="O1",$AV$6="O2",$AV$6="O3"),Sorts!AI85,IF(OR($BB$6="O1",$BB$6="O2"),Sorts!AI147,""))</f>
        <v>Glissement de Terrain</v>
      </c>
      <c r="IA14" s="744"/>
      <c r="IB14" s="744"/>
      <c r="IC14" s="744"/>
      <c r="ID14" s="744"/>
      <c r="IE14" s="744"/>
      <c r="IF14" s="744"/>
      <c r="IG14" s="744"/>
      <c r="IH14" s="744"/>
      <c r="II14" s="744"/>
      <c r="IJ14" s="744"/>
      <c r="IK14" s="744"/>
      <c r="IL14" s="744"/>
      <c r="IM14" s="744">
        <v>0</v>
      </c>
      <c r="IN14" s="745"/>
      <c r="IO14" s="746" t="str">
        <f>IF(OR($AV$6="O1",$AV$6="O2",$AV$6="O3"),Sorts!AJ85,IF(OR($BB$6="O1",$BB$6="O2"),Sorts!AJ147,""))</f>
        <v>1''/n</v>
      </c>
      <c r="IP14" s="747"/>
      <c r="IQ14" s="748" t="str">
        <f>IF(OR($AV$6="O1",$AV$6="O2",$AV$6="O3"),Sorts!AK85,IF(OR($BB$6="O1",$BB$6="O2"),Sorts!AK147,""))</f>
        <v>P</v>
      </c>
      <c r="IR14" s="748"/>
      <c r="IS14" s="748"/>
      <c r="IT14" s="57" t="str">
        <f>IF(OR($AV$6="O1",$AV$6="O2",$AV$6="O3"),Sorts!AL85,IF(OR($BB$6="O1",$BB$6="O2"),Sorts!AL147,""))</f>
        <v>X</v>
      </c>
      <c r="IU14" s="57" t="str">
        <f>IF(OR($AV$6="O1",$AV$6="O2",$AV$6="O3"),Sorts!AM85,IF(OR($BB$6="O1",$BB$6="O2"),Sorts!AM147,""))</f>
        <v>X</v>
      </c>
      <c r="IV14" s="58" t="str">
        <f>IF(OR($AV$6="O1",$AV$6="O2",$AV$6="O3"),Sorts!AN85,IF(OR($BB$6="O1",$BB$6="O2"),Sorts!AN147,""))</f>
        <v>X</v>
      </c>
      <c r="IW14" s="60"/>
      <c r="IY14" s="384"/>
      <c r="IZ14" s="762"/>
      <c r="JA14" s="762"/>
      <c r="JB14" s="762"/>
      <c r="JC14" s="762"/>
      <c r="JD14" s="762"/>
      <c r="JE14" s="762"/>
      <c r="JF14" s="762"/>
      <c r="JG14" s="762"/>
      <c r="JH14" s="762"/>
      <c r="JI14" s="762"/>
      <c r="JJ14" s="762"/>
      <c r="JK14" s="762"/>
      <c r="JL14" s="763"/>
      <c r="JM14" s="759"/>
      <c r="JN14" s="760"/>
      <c r="JO14" s="761"/>
      <c r="JP14" s="761"/>
      <c r="JQ14" s="761"/>
      <c r="JR14" s="761"/>
      <c r="JS14" s="761"/>
      <c r="JT14" s="761"/>
      <c r="JU14" s="385"/>
      <c r="JV14" s="385"/>
      <c r="JW14" s="386"/>
      <c r="JX14" s="385"/>
      <c r="JY14" s="757" t="s">
        <v>1204</v>
      </c>
      <c r="JZ14" s="747"/>
      <c r="KA14" s="57">
        <v>11</v>
      </c>
      <c r="KB14" s="746" t="str">
        <f>IF(OR($AV$6="O1",$AV$6="O2",$AV$6="O3"),Sorts!AU85,IF(OR($BB$6="O1",$BB$6="O2"),Sorts!AU147,""))</f>
        <v>Labyrinthe</v>
      </c>
      <c r="KC14" s="754"/>
      <c r="KD14" s="754"/>
      <c r="KE14" s="754"/>
      <c r="KF14" s="754"/>
      <c r="KG14" s="754"/>
      <c r="KH14" s="754"/>
      <c r="KI14" s="754"/>
      <c r="KJ14" s="754"/>
      <c r="KK14" s="754"/>
      <c r="KL14" s="754"/>
      <c r="KM14" s="754"/>
      <c r="KN14" s="755"/>
      <c r="KO14" s="744">
        <v>0</v>
      </c>
      <c r="KP14" s="745"/>
      <c r="KQ14" s="746" t="str">
        <f>IF(OR($AV$6="O1",$AV$6="O2",$AV$6="O3"),Sorts!AV85,IF(OR($BB$6="O1",$BB$6="O2"),Sorts!AV147,""))</f>
        <v>0,5''/n</v>
      </c>
      <c r="KR14" s="747"/>
      <c r="KS14" s="748" t="str">
        <f>IF(OR($AV$6="O1",$AV$6="O2",$AV$6="O3"),Sorts!AW85,IF(OR($BB$6="O1",$BB$6="O2"),Sorts!AW147,""))</f>
        <v>S</v>
      </c>
      <c r="KT14" s="748"/>
      <c r="KU14" s="748"/>
      <c r="KV14" s="57" t="str">
        <f>IF(OR($AV$6="O1",$AV$6="O2",$AV$6="O3"),Sorts!AX85,IF(OR($BB$6="O1",$BB$6="O2"),Sorts!AX147,""))</f>
        <v>X</v>
      </c>
      <c r="KW14" s="57" t="str">
        <f>IF(OR($AV$6="O1",$AV$6="O2",$AV$6="O3"),Sorts!AY85,IF(OR($BB$6="O1",$BB$6="O2"),Sorts!AY147,""))</f>
        <v>X</v>
      </c>
      <c r="KX14" s="58" t="str">
        <f>IF(OR($AV$6="O1",$AV$6="O2",$AV$6="O3"),Sorts!AZ85,IF(OR($BB$6="O1",$BB$6="O2"),Sorts!AZ147,""))</f>
        <v>/</v>
      </c>
    </row>
    <row r="15" spans="2:310" ht="18" customHeight="1" thickTop="1" thickBot="1" x14ac:dyDescent="0.3">
      <c r="B15" s="728">
        <v>17</v>
      </c>
      <c r="C15" s="729"/>
      <c r="E15" s="732" t="s">
        <v>3</v>
      </c>
      <c r="F15" s="733"/>
      <c r="G15" s="734" t="s">
        <v>9</v>
      </c>
      <c r="H15" s="735"/>
      <c r="I15" s="736">
        <f>VLOOKUP(SAG,Caractéristiques!$B$160:$L$184,2,FALSE)</f>
        <v>3</v>
      </c>
      <c r="J15" s="737"/>
      <c r="K15" s="734" t="s">
        <v>50</v>
      </c>
      <c r="L15" s="735"/>
      <c r="M15" s="740" t="str">
        <f>IF(OR(Classe1="CLERC",Classe1="DRUIDE",AND(Classe1="BARDE",NivC1&gt;8)),VLOOKUP(SAG,Caractéristiques!$B$160:$L$184,10,FALSE),"NA")</f>
        <v>NA</v>
      </c>
      <c r="N15" s="741" t="str">
        <f>IF(OR($D$7="CLERC",$D$7="DRUIDE"),VLOOKUP($B$15,#REF!,6,FALSE),"no")</f>
        <v>no</v>
      </c>
      <c r="O15" s="734" t="s">
        <v>9</v>
      </c>
      <c r="P15" s="735"/>
      <c r="Q15" s="736">
        <f>VLOOKUP(SAG,Caractéristiques!$B$160:$L$184,11,FALSE)</f>
        <v>-3</v>
      </c>
      <c r="R15" s="737"/>
      <c r="S15" s="867" t="s">
        <v>48</v>
      </c>
      <c r="T15" s="868"/>
      <c r="U15" s="268">
        <v>1</v>
      </c>
      <c r="V15" s="268">
        <v>2</v>
      </c>
      <c r="W15" s="268">
        <v>3</v>
      </c>
      <c r="X15" s="244">
        <v>4</v>
      </c>
      <c r="Y15" s="5"/>
      <c r="Z15" s="670" t="s">
        <v>1560</v>
      </c>
      <c r="AA15" s="671"/>
      <c r="AB15" s="606" t="str" cm="1">
        <f t="array" ref="AB15">INDEX(Niveau!$B$472:$Q$508,NivC1+1,MATCH(Classe1,Niveau!$C$472:$Q$472,0)+1)&amp;IF(AND(Code_Classe&gt;14,Code_Classe&gt;33),"/3",IF(Code_Classe&gt;14,"/2",""))</f>
        <v>3D10/2</v>
      </c>
      <c r="AC15" s="606"/>
      <c r="AD15" s="607"/>
      <c r="AF15" s="11"/>
      <c r="AG15" s="12"/>
      <c r="AH15" s="708">
        <f>AH14-AK14</f>
        <v>3972</v>
      </c>
      <c r="AI15" s="708"/>
      <c r="AJ15" s="709"/>
      <c r="AK15" s="897"/>
      <c r="AL15" s="898"/>
      <c r="AM15" s="899"/>
      <c r="AN15" s="841"/>
      <c r="AO15" s="842"/>
      <c r="AQ15" s="56">
        <v>6</v>
      </c>
      <c r="AR15" s="754" t="str">
        <f>IF($AV$4="O",Sorts!E9,IF($BB$4="O",Sorts!E33,""))</f>
        <v/>
      </c>
      <c r="AS15" s="754"/>
      <c r="AT15" s="754"/>
      <c r="AU15" s="754"/>
      <c r="AV15" s="754"/>
      <c r="AW15" s="754"/>
      <c r="AX15" s="754"/>
      <c r="AY15" s="754"/>
      <c r="AZ15" s="754"/>
      <c r="BA15" s="754"/>
      <c r="BB15" s="754"/>
      <c r="BC15" s="754"/>
      <c r="BD15" s="755"/>
      <c r="BE15" s="756">
        <v>0</v>
      </c>
      <c r="BF15" s="754"/>
      <c r="BG15" s="748" t="str">
        <f>IF($AV$4="O",Sorts!F9,IF($BB$4="O",Sorts!F33,""))</f>
        <v/>
      </c>
      <c r="BH15" s="748"/>
      <c r="BI15" s="748"/>
      <c r="BJ15" s="748" t="str">
        <f>IF($AV$4="O",Sorts!G9,IF($BB$4="O",Sorts!G33,""))</f>
        <v/>
      </c>
      <c r="BK15" s="748"/>
      <c r="BL15" s="748"/>
      <c r="BM15" s="57" t="str">
        <f>IF($AV$4="O",Sorts!H9,IF($BB$4="O",Sorts!H33,""))</f>
        <v/>
      </c>
      <c r="BN15" s="57" t="str">
        <f>IF($AV$4="O",Sorts!I9,IF($BB$4="O",Sorts!I33,""))</f>
        <v/>
      </c>
      <c r="BO15" s="369" t="str">
        <f>IF($AV$4="O",Sorts!J9,IF($BB$4="O",Sorts!J33,""))</f>
        <v/>
      </c>
      <c r="BP15" s="366"/>
      <c r="BQ15" s="757" t="s">
        <v>1204</v>
      </c>
      <c r="BR15" s="747"/>
      <c r="BS15" s="57">
        <v>6</v>
      </c>
      <c r="BT15" s="758" t="str">
        <f>IF(OR($AV$6="O1",$AV$6="O2",$AV$6="O3"),Sorts!E80,IF(OR($BB$6="O1",$BB$6="O2"),Sorts!E142,""))</f>
        <v>Aura Magique de Nystul</v>
      </c>
      <c r="BU15" s="744"/>
      <c r="BV15" s="744"/>
      <c r="BW15" s="744"/>
      <c r="BX15" s="744"/>
      <c r="BY15" s="744"/>
      <c r="BZ15" s="744"/>
      <c r="CA15" s="744"/>
      <c r="CB15" s="744"/>
      <c r="CC15" s="744"/>
      <c r="CD15" s="744"/>
      <c r="CE15" s="744"/>
      <c r="CF15" s="744"/>
      <c r="CG15" s="744">
        <v>0</v>
      </c>
      <c r="CH15" s="745"/>
      <c r="CI15" s="746" t="str">
        <f>IF(OR($AV$6="O1",$AV$6="O2",$AV$6="O3"),Sorts!F80,IF(OR($BB$6="O1",$BB$6="O2"),Sorts!F142,""))</f>
        <v>T</v>
      </c>
      <c r="CJ15" s="747"/>
      <c r="CK15" s="748" t="str">
        <f>IF(OR($AV$6="O1",$AV$6="O2",$AV$6="O3"),Sorts!G80,IF(OR($BB$6="O1",$BB$6="O2"),Sorts!G142,""))</f>
        <v>1j/n</v>
      </c>
      <c r="CL15" s="748"/>
      <c r="CM15" s="748"/>
      <c r="CN15" s="57" t="str">
        <f>IF(OR($AV$6="O1",$AV$6="O2",$AV$6="O3"),Sorts!H80,IF(OR($BB$6="O1",$BB$6="O2"),Sorts!H142,""))</f>
        <v>X</v>
      </c>
      <c r="CO15" s="57" t="str">
        <f>IF(OR($AV$6="O1",$AV$6="O2",$AV$6="O3"),Sorts!I80,IF(OR($BB$6="O1",$BB$6="O2"),Sorts!I142,""))</f>
        <v>X</v>
      </c>
      <c r="CP15" s="58" t="str">
        <f>IF(OR($AV$6="O1",$AV$6="O2",$AV$6="O3"),Sorts!J80,IF(OR($BB$6="O1",$BB$6="O2"),Sorts!J142,""))</f>
        <v>X</v>
      </c>
      <c r="CQ15" s="60"/>
      <c r="CS15" s="56">
        <v>12</v>
      </c>
      <c r="CT15" s="754" t="str">
        <f>IF($AV$4="O",Sorts!K15,IF($BB$4="O",Sorts!K39,""))</f>
        <v/>
      </c>
      <c r="CU15" s="754"/>
      <c r="CV15" s="754"/>
      <c r="CW15" s="754"/>
      <c r="CX15" s="754"/>
      <c r="CY15" s="754"/>
      <c r="CZ15" s="754"/>
      <c r="DA15" s="754"/>
      <c r="DB15" s="754"/>
      <c r="DC15" s="754"/>
      <c r="DD15" s="754"/>
      <c r="DE15" s="754"/>
      <c r="DF15" s="755"/>
      <c r="DG15" s="756">
        <v>0</v>
      </c>
      <c r="DH15" s="747"/>
      <c r="DI15" s="748" t="str">
        <f>IF($AV$4="O",Sorts!L15,IF($BB$4="O",Sorts!L39,""))</f>
        <v/>
      </c>
      <c r="DJ15" s="748"/>
      <c r="DK15" s="748"/>
      <c r="DL15" s="748" t="str">
        <f>IF($AV$4="O",Sorts!M15,IF($BB$4="O",Sorts!M39,""))</f>
        <v/>
      </c>
      <c r="DM15" s="748"/>
      <c r="DN15" s="748"/>
      <c r="DO15" s="57" t="str">
        <f>IF($AV$4="O",Sorts!N15,IF($BB$4="O",Sorts!N39,""))</f>
        <v/>
      </c>
      <c r="DP15" s="57" t="str">
        <f>IF($AV$4="O",Sorts!O15,IF($BB$4="O",Sorts!O39,""))</f>
        <v/>
      </c>
      <c r="DQ15" s="58" t="str">
        <f>IF($AV$4="O",Sorts!P15,IF($BB$4="O",Sorts!P39,""))</f>
        <v/>
      </c>
      <c r="DR15" s="57"/>
      <c r="DS15" s="757" t="s">
        <v>1204</v>
      </c>
      <c r="DT15" s="747"/>
      <c r="DU15" s="57">
        <v>12</v>
      </c>
      <c r="DV15" s="758" t="str">
        <f>IF(OR($AV$6="O1",$AV$6="O2",$AV$6="O3"),Sorts!K86,IF(OR($BB$6="O1",$BB$6="O2"),Sorts!K148,""))</f>
        <v>Invisibilité</v>
      </c>
      <c r="DW15" s="744"/>
      <c r="DX15" s="744"/>
      <c r="DY15" s="744"/>
      <c r="DZ15" s="744"/>
      <c r="EA15" s="744"/>
      <c r="EB15" s="744"/>
      <c r="EC15" s="744"/>
      <c r="ED15" s="744"/>
      <c r="EE15" s="744"/>
      <c r="EF15" s="744"/>
      <c r="EG15" s="744"/>
      <c r="EH15" s="744"/>
      <c r="EI15" s="744">
        <v>0</v>
      </c>
      <c r="EJ15" s="745"/>
      <c r="EK15" s="746" t="str">
        <f>IF(OR($AV$6="O1",$AV$6="O2",$AV$6="O3"),Sorts!L86,IF(OR($BB$6="O1",$BB$6="O2"),Sorts!L148,""))</f>
        <v>T</v>
      </c>
      <c r="EL15" s="747"/>
      <c r="EM15" s="748" t="str">
        <f>IF(OR($AV$6="O1",$AV$6="O2",$AV$6="O3"),Sorts!M86,IF(OR($BB$6="O1",$BB$6="O2"),Sorts!M148,""))</f>
        <v>S</v>
      </c>
      <c r="EN15" s="748"/>
      <c r="EO15" s="748"/>
      <c r="EP15" s="57" t="str">
        <f>IF(OR($AV$6="O1",$AV$6="O2",$AV$6="O3"),Sorts!N86,IF(OR($BB$6="O1",$BB$6="O2"),Sorts!N148,""))</f>
        <v>X</v>
      </c>
      <c r="EQ15" s="57" t="str">
        <f>IF(OR($AV$6="O1",$AV$6="O2",$AV$6="O3"),Sorts!O86,IF(OR($BB$6="O1",$BB$6="O2"),Sorts!O148,""))</f>
        <v>X</v>
      </c>
      <c r="ER15" s="58" t="str">
        <f>IF(OR($AV$6="O1",$AV$6="O2",$AV$6="O3"),Sorts!P86,IF(OR($BB$6="O1",$BB$6="O2"),Sorts!P148,""))</f>
        <v>X</v>
      </c>
      <c r="ES15" s="60"/>
      <c r="EU15" s="56">
        <v>12</v>
      </c>
      <c r="EV15" s="754" t="str">
        <f>IF($AV$4="O",Sorts!W15,IF($BB$4="O",Sorts!W39,""))</f>
        <v/>
      </c>
      <c r="EW15" s="754"/>
      <c r="EX15" s="754"/>
      <c r="EY15" s="754"/>
      <c r="EZ15" s="754"/>
      <c r="FA15" s="754"/>
      <c r="FB15" s="754"/>
      <c r="FC15" s="754"/>
      <c r="FD15" s="754"/>
      <c r="FE15" s="754"/>
      <c r="FF15" s="754"/>
      <c r="FG15" s="754"/>
      <c r="FH15" s="755"/>
      <c r="FI15" s="756">
        <v>0</v>
      </c>
      <c r="FJ15" s="747"/>
      <c r="FK15" s="748" t="str">
        <f>IF($AV$4="O",Sorts!X15,IF($BB$4="O",Sorts!X39,""))</f>
        <v/>
      </c>
      <c r="FL15" s="748"/>
      <c r="FM15" s="748"/>
      <c r="FN15" s="746" t="str">
        <f>IF($AV$4="O",Sorts!Y15,IF($BB$4="O",Sorts!Y39,""))</f>
        <v/>
      </c>
      <c r="FO15" s="754"/>
      <c r="FP15" s="747"/>
      <c r="FQ15" s="57" t="str">
        <f>IF($AV$4="O",Sorts!Z15,IF($BB$4="O",Sorts!Z39,""))</f>
        <v/>
      </c>
      <c r="FR15" s="57" t="str">
        <f>IF($AV$4="O",Sorts!AA15,IF($BB$4="O",Sorts!AA39,""))</f>
        <v/>
      </c>
      <c r="FS15" s="58" t="str">
        <f>IF($AV$4="O",Sorts!AB15,IF($BB$4="O",Sorts!AB39,""))</f>
        <v/>
      </c>
      <c r="FT15" s="57"/>
      <c r="FU15" s="757" t="s">
        <v>1204</v>
      </c>
      <c r="FV15" s="747"/>
      <c r="FW15" s="57">
        <v>12</v>
      </c>
      <c r="FX15" s="758" t="str">
        <f>IF(OR($AV$6="O1",$AV$6="O2",$AV$6="O3"),Sorts!W86,IF(OR($BB$6="O1",$BB$6="O2"),Sorts!W148,""))</f>
        <v>Embroussaillement</v>
      </c>
      <c r="FY15" s="744"/>
      <c r="FZ15" s="744"/>
      <c r="GA15" s="744"/>
      <c r="GB15" s="744"/>
      <c r="GC15" s="744"/>
      <c r="GD15" s="744"/>
      <c r="GE15" s="744"/>
      <c r="GF15" s="744"/>
      <c r="GG15" s="744"/>
      <c r="GH15" s="744"/>
      <c r="GI15" s="744"/>
      <c r="GJ15" s="744"/>
      <c r="GK15" s="744">
        <v>0</v>
      </c>
      <c r="GL15" s="745"/>
      <c r="GM15" s="746" t="str">
        <f>IF(OR($AV$6="O1",$AV$6="O2",$AV$6="O3"),Sorts!X86,IF(OR($BB$6="O1",$BB$6="O2"),Sorts!X148,""))</f>
        <v>1''/n</v>
      </c>
      <c r="GN15" s="747"/>
      <c r="GO15" s="748" t="str">
        <f>IF(OR($AV$6="O1",$AV$6="O2",$AV$6="O3"),Sorts!Y86,IF(OR($BB$6="O1",$BB$6="O2"),Sorts!Y148,""))</f>
        <v>1r/n</v>
      </c>
      <c r="GP15" s="748"/>
      <c r="GQ15" s="748"/>
      <c r="GR15" s="57" t="str">
        <f>IF(OR($AV$6="O1",$AV$6="O2",$AV$6="O3"),Sorts!Z86,IF(OR($BB$6="O1",$BB$6="O2"),Sorts!Z148,""))</f>
        <v>X</v>
      </c>
      <c r="GS15" s="57" t="str">
        <f>IF(OR($AV$6="O1",$AV$6="O2",$AV$6="O3"),Sorts!AA86,IF(OR($BB$6="O1",$BB$6="O2"),Sorts!AA148,""))</f>
        <v>/</v>
      </c>
      <c r="GT15" s="58" t="str">
        <f>IF(OR($AV$6="O1",$AV$6="O2",$AV$6="O3"),Sorts!AB86,IF(OR($BB$6="O1",$BB$6="O2"),Sorts!AB148,""))</f>
        <v>/</v>
      </c>
      <c r="GU15" s="60"/>
      <c r="GW15" s="56">
        <v>12</v>
      </c>
      <c r="GX15" s="754" t="str">
        <f>IF($AV$4="O",Sorts!AI15,IF($BB$4="O",Sorts!AI39,""))</f>
        <v/>
      </c>
      <c r="GY15" s="754"/>
      <c r="GZ15" s="754"/>
      <c r="HA15" s="754"/>
      <c r="HB15" s="754"/>
      <c r="HC15" s="754"/>
      <c r="HD15" s="754"/>
      <c r="HE15" s="754"/>
      <c r="HF15" s="754"/>
      <c r="HG15" s="754"/>
      <c r="HH15" s="754"/>
      <c r="HI15" s="754"/>
      <c r="HJ15" s="755"/>
      <c r="HK15" s="756">
        <v>0</v>
      </c>
      <c r="HL15" s="747"/>
      <c r="HM15" s="748" t="str">
        <f>IF($AV$4="O",Sorts!AJ15,IF($BB$4="O",Sorts!AJ39,""))</f>
        <v/>
      </c>
      <c r="HN15" s="748"/>
      <c r="HO15" s="748"/>
      <c r="HP15" s="748" t="str">
        <f>IF($AV$4="O",Sorts!AK15,IF($BB$4="O",Sorts!AK39,""))</f>
        <v/>
      </c>
      <c r="HQ15" s="748"/>
      <c r="HR15" s="748"/>
      <c r="HS15" s="57" t="str">
        <f>IF($AV$4="O",Sorts!AL15,IF($BB$4="O",Sorts!AL39,""))</f>
        <v/>
      </c>
      <c r="HT15" s="57" t="str">
        <f>IF($AV$4="O",Sorts!AM15,IF($BB$4="O",Sorts!AM39,""))</f>
        <v/>
      </c>
      <c r="HU15" s="58" t="str">
        <f>IF($AV$4="O",Sorts!AN15,IF($BB$4="O",Sorts!AN39,""))</f>
        <v/>
      </c>
      <c r="HV15" s="57"/>
      <c r="HW15" s="757" t="s">
        <v>1204</v>
      </c>
      <c r="HX15" s="747"/>
      <c r="HY15" s="57">
        <v>12</v>
      </c>
      <c r="HZ15" s="758" t="str">
        <f>IF(OR($AV$6="O1",$AV$6="O2",$AV$6="O3"),Sorts!AI86,IF(OR($BB$6="O1",$BB$6="O2"),Sorts!AI148,""))</f>
        <v>Globe d’Invulnérabilité</v>
      </c>
      <c r="IA15" s="744"/>
      <c r="IB15" s="744"/>
      <c r="IC15" s="744"/>
      <c r="ID15" s="744"/>
      <c r="IE15" s="744"/>
      <c r="IF15" s="744"/>
      <c r="IG15" s="744"/>
      <c r="IH15" s="744"/>
      <c r="II15" s="744"/>
      <c r="IJ15" s="744"/>
      <c r="IK15" s="744"/>
      <c r="IL15" s="744"/>
      <c r="IM15" s="744">
        <v>0</v>
      </c>
      <c r="IN15" s="745"/>
      <c r="IO15" s="746">
        <f>IF(OR($AV$6="O1",$AV$6="O2",$AV$6="O3"),Sorts!AJ86,IF(OR($BB$6="O1",$BB$6="O2"),Sorts!AJ148,""))</f>
        <v>0</v>
      </c>
      <c r="IP15" s="747"/>
      <c r="IQ15" s="748" t="str">
        <f>IF(OR($AV$6="O1",$AV$6="O2",$AV$6="O3"),Sorts!AK86,IF(OR($BB$6="O1",$BB$6="O2"),Sorts!AK148,""))</f>
        <v>1r/n</v>
      </c>
      <c r="IR15" s="748"/>
      <c r="IS15" s="748"/>
      <c r="IT15" s="57" t="str">
        <f>IF(OR($AV$6="O1",$AV$6="O2",$AV$6="O3"),Sorts!AL86,IF(OR($BB$6="O1",$BB$6="O2"),Sorts!AL148,""))</f>
        <v>X</v>
      </c>
      <c r="IU15" s="57" t="str">
        <f>IF(OR($AV$6="O1",$AV$6="O2",$AV$6="O3"),Sorts!AM86,IF(OR($BB$6="O1",$BB$6="O2"),Sorts!AM148,""))</f>
        <v>X</v>
      </c>
      <c r="IV15" s="58" t="str">
        <f>IF(OR($AV$6="O1",$AV$6="O2",$AV$6="O3"),Sorts!AN86,IF(OR($BB$6="O1",$BB$6="O2"),Sorts!AN148,""))</f>
        <v>X</v>
      </c>
      <c r="IW15" s="60"/>
      <c r="IY15" s="384"/>
      <c r="IZ15" s="762"/>
      <c r="JA15" s="762"/>
      <c r="JB15" s="762"/>
      <c r="JC15" s="762"/>
      <c r="JD15" s="762"/>
      <c r="JE15" s="762"/>
      <c r="JF15" s="762"/>
      <c r="JG15" s="762"/>
      <c r="JH15" s="762"/>
      <c r="JI15" s="762"/>
      <c r="JJ15" s="762"/>
      <c r="JK15" s="762"/>
      <c r="JL15" s="763"/>
      <c r="JM15" s="759"/>
      <c r="JN15" s="760"/>
      <c r="JO15" s="761"/>
      <c r="JP15" s="761"/>
      <c r="JQ15" s="761"/>
      <c r="JR15" s="761"/>
      <c r="JS15" s="761"/>
      <c r="JT15" s="761"/>
      <c r="JU15" s="385"/>
      <c r="JV15" s="385"/>
      <c r="JW15" s="386"/>
      <c r="JX15" s="385"/>
      <c r="JY15" s="757" t="s">
        <v>1204</v>
      </c>
      <c r="JZ15" s="747"/>
      <c r="KA15" s="57">
        <v>12</v>
      </c>
      <c r="KB15" s="746" t="str">
        <f>IF(OR($AV$6="O1",$AV$6="O2",$AV$6="O3"),Sorts!AU86,IF(OR($BB$6="O1",$BB$6="O2"),Sorts!AU148,""))</f>
        <v>Mot de Pouvoir : « Cécité »</v>
      </c>
      <c r="KC15" s="754"/>
      <c r="KD15" s="754"/>
      <c r="KE15" s="754"/>
      <c r="KF15" s="754"/>
      <c r="KG15" s="754"/>
      <c r="KH15" s="754"/>
      <c r="KI15" s="754"/>
      <c r="KJ15" s="754"/>
      <c r="KK15" s="754"/>
      <c r="KL15" s="754"/>
      <c r="KM15" s="754"/>
      <c r="KN15" s="755"/>
      <c r="KO15" s="744">
        <v>0</v>
      </c>
      <c r="KP15" s="745"/>
      <c r="KQ15" s="746" t="str">
        <f>IF(OR($AV$6="O1",$AV$6="O2",$AV$6="O3"),Sorts!AV86,IF(OR($BB$6="O1",$BB$6="O2"),Sorts!AV148,""))</f>
        <v>0,5''/n</v>
      </c>
      <c r="KR15" s="747"/>
      <c r="KS15" s="748" t="str">
        <f>IF(OR($AV$6="O1",$AV$6="O2",$AV$6="O3"),Sorts!AW86,IF(OR($BB$6="O1",$BB$6="O2"),Sorts!AW148,""))</f>
        <v>S</v>
      </c>
      <c r="KT15" s="748"/>
      <c r="KU15" s="748"/>
      <c r="KV15" s="57" t="str">
        <f>IF(OR($AV$6="O1",$AV$6="O2",$AV$6="O3"),Sorts!AX86,IF(OR($BB$6="O1",$BB$6="O2"),Sorts!AX148,""))</f>
        <v>X</v>
      </c>
      <c r="KW15" s="57" t="str">
        <f>IF(OR($AV$6="O1",$AV$6="O2",$AV$6="O3"),Sorts!AY86,IF(OR($BB$6="O1",$BB$6="O2"),Sorts!AY148,""))</f>
        <v>/</v>
      </c>
      <c r="KX15" s="58" t="str">
        <f>IF(OR($AV$6="O1",$AV$6="O2",$AV$6="O3"),Sorts!AZ86,IF(OR($BB$6="O1",$BB$6="O2"),Sorts!AZ148,""))</f>
        <v>/</v>
      </c>
    </row>
    <row r="16" spans="2:310" ht="18" customHeight="1" thickBot="1" x14ac:dyDescent="0.3">
      <c r="B16" s="730"/>
      <c r="C16" s="731"/>
      <c r="E16" s="732"/>
      <c r="F16" s="733"/>
      <c r="G16" s="831" t="s">
        <v>24</v>
      </c>
      <c r="H16" s="832"/>
      <c r="I16" s="738"/>
      <c r="J16" s="739"/>
      <c r="K16" s="831" t="s">
        <v>51</v>
      </c>
      <c r="L16" s="832"/>
      <c r="M16" s="742" t="str">
        <f>IF(OR($D$7="CLERC",$D$7="DRUIDE"),VLOOKUP($B$15,#REF!,6,FALSE),"no")</f>
        <v>no</v>
      </c>
      <c r="N16" s="743" t="str">
        <f>IF(OR($D$7="CLERC",$D$7="DRUIDE"),VLOOKUP($B$15,#REF!,6,FALSE),"no")</f>
        <v>no</v>
      </c>
      <c r="O16" s="831" t="s">
        <v>52</v>
      </c>
      <c r="P16" s="832"/>
      <c r="Q16" s="738"/>
      <c r="R16" s="739"/>
      <c r="S16" s="865" t="s">
        <v>49</v>
      </c>
      <c r="T16" s="866"/>
      <c r="U16" s="269">
        <f>IF(OR(Classe1="CLERC",Classe1="DRUIDE",),VLOOKUP(SAG,Caractéristiques!$B$160:$L$184,3,FALSE),0)</f>
        <v>0</v>
      </c>
      <c r="V16" s="269">
        <f>IF(OR(Classe1="CLERC",Classe1="DRUIDE",AND(Classe1="BARDE",NivC1&gt;10)),VLOOKUP(SAG,Caractéristiques!$B$160:$L$184,4,FALSE),0)</f>
        <v>0</v>
      </c>
      <c r="W16" s="269">
        <f>IF(OR(Classe1="CLERC",Classe1="DRUIDE",AND(Classe1="BARDE",NivC1&gt;10)),VLOOKUP(SAG,Caractéristiques!$B$160:$L$184,5,FALSE),0)</f>
        <v>0</v>
      </c>
      <c r="X16" s="245">
        <f>IF(OR(Classe1="CLERC",Classe1="DRUIDE",AND(Classe1="BARDE",NivC1&gt;10)),VLOOKUP(SAG,Caractéristiques!$B$160:$L$184,6,FALSE),0)</f>
        <v>0</v>
      </c>
      <c r="Z16" s="670" t="s">
        <v>1561</v>
      </c>
      <c r="AA16" s="671"/>
      <c r="AB16" s="606" t="str" cm="1">
        <f t="array" ref="AB16">IF(Code_Classe&gt;14,IF(NivC2&lt;&gt;"",INDEX(Niveau!$B$472:$Q$508,NivC2+1,MATCH(Classe2,Niveau!$C$472:$Q$472,0)+1),"")&amp;IF(Code_Classe&gt;33,"/3",IF(Code_Classe&gt;14,"/2","")),"")</f>
        <v>2D4/2</v>
      </c>
      <c r="AC16" s="606"/>
      <c r="AD16" s="607"/>
      <c r="AF16" s="724" t="str">
        <f>IF(VLOOKUP(Code_Classe,Classe!C4:F40,3,FALSE)&lt;&gt;0,VLOOKUP(Code_Classe,Classe!C4:F40,3,FALSE),"/")</f>
        <v>Magicien</v>
      </c>
      <c r="AG16" s="725"/>
      <c r="AH16" s="725"/>
      <c r="AI16" s="9"/>
      <c r="AJ16" s="9"/>
      <c r="AK16" s="9"/>
      <c r="AL16" s="9"/>
      <c r="AM16" s="9"/>
      <c r="AN16" s="246"/>
      <c r="AO16" s="418"/>
      <c r="AQ16" s="56">
        <v>7</v>
      </c>
      <c r="AR16" s="754" t="str">
        <f>IF($AV$4="O",Sorts!E10,IF($BB$4="O",Sorts!E34,""))</f>
        <v/>
      </c>
      <c r="AS16" s="754"/>
      <c r="AT16" s="754"/>
      <c r="AU16" s="754"/>
      <c r="AV16" s="754"/>
      <c r="AW16" s="754"/>
      <c r="AX16" s="754"/>
      <c r="AY16" s="754"/>
      <c r="AZ16" s="754"/>
      <c r="BA16" s="754"/>
      <c r="BB16" s="754"/>
      <c r="BC16" s="754"/>
      <c r="BD16" s="755"/>
      <c r="BE16" s="756">
        <v>0</v>
      </c>
      <c r="BF16" s="754"/>
      <c r="BG16" s="748" t="str">
        <f>IF($AV$4="O",Sorts!F10,IF($BB$4="O",Sorts!F34,""))</f>
        <v/>
      </c>
      <c r="BH16" s="748"/>
      <c r="BI16" s="748"/>
      <c r="BJ16" s="748" t="str">
        <f>IF($AV$4="O",Sorts!G10,IF($BB$4="O",Sorts!G34,""))</f>
        <v/>
      </c>
      <c r="BK16" s="748"/>
      <c r="BL16" s="748"/>
      <c r="BM16" s="57" t="str">
        <f>IF($AV$4="O",Sorts!H10,IF($BB$4="O",Sorts!H34,""))</f>
        <v/>
      </c>
      <c r="BN16" s="57" t="str">
        <f>IF($AV$4="O",Sorts!I10,IF($BB$4="O",Sorts!I34,""))</f>
        <v/>
      </c>
      <c r="BO16" s="369" t="str">
        <f>IF($AV$4="O",Sorts!J10,IF($BB$4="O",Sorts!J34,""))</f>
        <v/>
      </c>
      <c r="BP16" s="366"/>
      <c r="BQ16" s="757" t="s">
        <v>1204</v>
      </c>
      <c r="BR16" s="747"/>
      <c r="BS16" s="57">
        <v>7</v>
      </c>
      <c r="BT16" s="758" t="str">
        <f>IF(OR($AV$6="O1",$AV$6="O2",$AV$6="O3"),Sorts!E81,IF(OR($BB$6="O1",$BB$6="O2"),Sorts!E143,""))</f>
        <v>Bouclier</v>
      </c>
      <c r="BU16" s="744"/>
      <c r="BV16" s="744"/>
      <c r="BW16" s="744"/>
      <c r="BX16" s="744"/>
      <c r="BY16" s="744"/>
      <c r="BZ16" s="744"/>
      <c r="CA16" s="744"/>
      <c r="CB16" s="744"/>
      <c r="CC16" s="744"/>
      <c r="CD16" s="744"/>
      <c r="CE16" s="744"/>
      <c r="CF16" s="744"/>
      <c r="CG16" s="744">
        <v>0</v>
      </c>
      <c r="CH16" s="745"/>
      <c r="CI16" s="746">
        <f>IF(OR($AV$6="O1",$AV$6="O2",$AV$6="O3"),Sorts!F81,IF(OR($BB$6="O1",$BB$6="O2"),Sorts!F143,""))</f>
        <v>0</v>
      </c>
      <c r="CJ16" s="747"/>
      <c r="CK16" s="748" t="str">
        <f>IF(OR($AV$6="O1",$AV$6="O2",$AV$6="O3"),Sorts!G81,IF(OR($BB$6="O1",$BB$6="O2"),Sorts!G143,""))</f>
        <v>5r/n</v>
      </c>
      <c r="CL16" s="748"/>
      <c r="CM16" s="748"/>
      <c r="CN16" s="57" t="str">
        <f>IF(OR($AV$6="O1",$AV$6="O2",$AV$6="O3"),Sorts!H81,IF(OR($BB$6="O1",$BB$6="O2"),Sorts!H143,""))</f>
        <v>X</v>
      </c>
      <c r="CO16" s="57" t="str">
        <f>IF(OR($AV$6="O1",$AV$6="O2",$AV$6="O3"),Sorts!I81,IF(OR($BB$6="O1",$BB$6="O2"),Sorts!I143,""))</f>
        <v>X</v>
      </c>
      <c r="CP16" s="58" t="str">
        <f>IF(OR($AV$6="O1",$AV$6="O2",$AV$6="O3"),Sorts!J81,IF(OR($BB$6="O1",$BB$6="O2"),Sorts!J143,""))</f>
        <v>/</v>
      </c>
      <c r="CQ16" s="60"/>
      <c r="CS16" s="56">
        <v>13</v>
      </c>
      <c r="CT16" s="754" t="str">
        <f>IF($AV$4="O",Sorts!K16,IF($BB$4="O",Sorts!K40,""))</f>
        <v/>
      </c>
      <c r="CU16" s="754"/>
      <c r="CV16" s="754"/>
      <c r="CW16" s="754"/>
      <c r="CX16" s="754"/>
      <c r="CY16" s="754"/>
      <c r="CZ16" s="754"/>
      <c r="DA16" s="754"/>
      <c r="DB16" s="754"/>
      <c r="DC16" s="754"/>
      <c r="DD16" s="754"/>
      <c r="DE16" s="754"/>
      <c r="DF16" s="755"/>
      <c r="DG16" s="756">
        <v>0</v>
      </c>
      <c r="DH16" s="747"/>
      <c r="DI16" s="748" t="str">
        <f>IF($AV$4="O",Sorts!L16,IF($BB$4="O",Sorts!L40,""))</f>
        <v/>
      </c>
      <c r="DJ16" s="748"/>
      <c r="DK16" s="748"/>
      <c r="DL16" s="748" t="str">
        <f>IF($AV$4="O",Sorts!M16,IF($BB$4="O",Sorts!M40,""))</f>
        <v/>
      </c>
      <c r="DM16" s="748"/>
      <c r="DN16" s="748"/>
      <c r="DO16" s="57" t="str">
        <f>IF($AV$4="O",Sorts!N16,IF($BB$4="O",Sorts!N40,""))</f>
        <v/>
      </c>
      <c r="DP16" s="57" t="str">
        <f>IF($AV$4="O",Sorts!O16,IF($BB$4="O",Sorts!O40,""))</f>
        <v/>
      </c>
      <c r="DQ16" s="58" t="str">
        <f>IF($AV$4="O",Sorts!P16,IF($BB$4="O",Sorts!P40,""))</f>
        <v/>
      </c>
      <c r="DR16" s="57"/>
      <c r="DS16" s="757" t="s">
        <v>1204</v>
      </c>
      <c r="DT16" s="747"/>
      <c r="DU16" s="57">
        <v>13</v>
      </c>
      <c r="DV16" s="758" t="str">
        <f>IF(OR($AV$6="O1",$AV$6="O2",$AV$6="O3"),Sorts!K87,IF(OR($BB$6="O1",$BB$6="O2"),Sorts!K149,""))</f>
        <v>Irritation</v>
      </c>
      <c r="DW16" s="744"/>
      <c r="DX16" s="744"/>
      <c r="DY16" s="744"/>
      <c r="DZ16" s="744"/>
      <c r="EA16" s="744"/>
      <c r="EB16" s="744"/>
      <c r="EC16" s="744"/>
      <c r="ED16" s="744"/>
      <c r="EE16" s="744"/>
      <c r="EF16" s="744"/>
      <c r="EG16" s="744"/>
      <c r="EH16" s="744"/>
      <c r="EI16" s="744">
        <v>0</v>
      </c>
      <c r="EJ16" s="745"/>
      <c r="EK16" s="746" t="str">
        <f>IF(OR($AV$6="O1",$AV$6="O2",$AV$6="O3"),Sorts!L87,IF(OR($BB$6="O1",$BB$6="O2"),Sorts!L149,""))</f>
        <v>1''/n</v>
      </c>
      <c r="EL16" s="747"/>
      <c r="EM16" s="748" t="str">
        <f>IF(OR($AV$6="O1",$AV$6="O2",$AV$6="O3"),Sorts!M87,IF(OR($BB$6="O1",$BB$6="O2"),Sorts!M149,""))</f>
        <v>S</v>
      </c>
      <c r="EN16" s="748"/>
      <c r="EO16" s="748"/>
      <c r="EP16" s="57" t="str">
        <f>IF(OR($AV$6="O1",$AV$6="O2",$AV$6="O3"),Sorts!N87,IF(OR($BB$6="O1",$BB$6="O2"),Sorts!N149,""))</f>
        <v>X</v>
      </c>
      <c r="EQ16" s="57" t="str">
        <f>IF(OR($AV$6="O1",$AV$6="O2",$AV$6="O3"),Sorts!O87,IF(OR($BB$6="O1",$BB$6="O2"),Sorts!O149,""))</f>
        <v>X</v>
      </c>
      <c r="ER16" s="58" t="str">
        <f>IF(OR($AV$6="O1",$AV$6="O2",$AV$6="O3"),Sorts!P87,IF(OR($BB$6="O1",$BB$6="O2"),Sorts!P149,""))</f>
        <v>X</v>
      </c>
      <c r="ES16" s="60"/>
      <c r="EU16" s="56">
        <v>13</v>
      </c>
      <c r="EV16" s="754" t="str">
        <f>IF($AV$4="O",Sorts!W16,IF($BB$4="O",Sorts!W40,""))</f>
        <v/>
      </c>
      <c r="EW16" s="754"/>
      <c r="EX16" s="754"/>
      <c r="EY16" s="754"/>
      <c r="EZ16" s="754"/>
      <c r="FA16" s="754"/>
      <c r="FB16" s="754"/>
      <c r="FC16" s="754"/>
      <c r="FD16" s="754"/>
      <c r="FE16" s="754"/>
      <c r="FF16" s="754"/>
      <c r="FG16" s="754"/>
      <c r="FH16" s="755"/>
      <c r="FI16" s="756">
        <v>0</v>
      </c>
      <c r="FJ16" s="747"/>
      <c r="FK16" s="748" t="str">
        <f>IF($AV$4="O",Sorts!X16,IF($BB$4="O",Sorts!X40,""))</f>
        <v/>
      </c>
      <c r="FL16" s="748"/>
      <c r="FM16" s="748"/>
      <c r="FN16" s="746" t="str">
        <f>IF($AV$4="O",Sorts!Y16,IF($BB$4="O",Sorts!Y40,""))</f>
        <v/>
      </c>
      <c r="FO16" s="754"/>
      <c r="FP16" s="747"/>
      <c r="FQ16" s="57" t="str">
        <f>IF($AV$4="O",Sorts!Z16,IF($BB$4="O",Sorts!Z40,""))</f>
        <v/>
      </c>
      <c r="FR16" s="57" t="str">
        <f>IF($AV$4="O",Sorts!AA16,IF($BB$4="O",Sorts!AA40,""))</f>
        <v/>
      </c>
      <c r="FS16" s="58" t="str">
        <f>IF($AV$4="O",Sorts!AB16,IF($BB$4="O",Sorts!AB40,""))</f>
        <v/>
      </c>
      <c r="FT16" s="57"/>
      <c r="FU16" s="757" t="s">
        <v>1204</v>
      </c>
      <c r="FV16" s="747"/>
      <c r="FW16" s="57">
        <v>13</v>
      </c>
      <c r="FX16" s="758" t="str">
        <f>IF(OR($AV$6="O1",$AV$6="O2",$AV$6="O3"),Sorts!W87,IF(OR($BB$6="O1",$BB$6="O2"),Sorts!W149,""))</f>
        <v>Excavation</v>
      </c>
      <c r="FY16" s="744"/>
      <c r="FZ16" s="744"/>
      <c r="GA16" s="744"/>
      <c r="GB16" s="744"/>
      <c r="GC16" s="744"/>
      <c r="GD16" s="744"/>
      <c r="GE16" s="744"/>
      <c r="GF16" s="744"/>
      <c r="GG16" s="744"/>
      <c r="GH16" s="744"/>
      <c r="GI16" s="744"/>
      <c r="GJ16" s="744"/>
      <c r="GK16" s="744">
        <v>0</v>
      </c>
      <c r="GL16" s="745"/>
      <c r="GM16" s="746" t="str">
        <f>IF(OR($AV$6="O1",$AV$6="O2",$AV$6="O3"),Sorts!X87,IF(OR($BB$6="O1",$BB$6="O2"),Sorts!X149,""))</f>
        <v>3''</v>
      </c>
      <c r="GN16" s="747"/>
      <c r="GO16" s="748" t="str">
        <f>IF(OR($AV$6="O1",$AV$6="O2",$AV$6="O3"),Sorts!Y87,IF(OR($BB$6="O1",$BB$6="O2"),Sorts!Y149,""))</f>
        <v>1r/n</v>
      </c>
      <c r="GP16" s="748"/>
      <c r="GQ16" s="748"/>
      <c r="GR16" s="57" t="str">
        <f>IF(OR($AV$6="O1",$AV$6="O2",$AV$6="O3"),Sorts!Z87,IF(OR($BB$6="O1",$BB$6="O2"),Sorts!Z149,""))</f>
        <v>X</v>
      </c>
      <c r="GS16" s="57" t="str">
        <f>IF(OR($AV$6="O1",$AV$6="O2",$AV$6="O3"),Sorts!AA87,IF(OR($BB$6="O1",$BB$6="O2"),Sorts!AA149,""))</f>
        <v>X</v>
      </c>
      <c r="GT16" s="58" t="str">
        <f>IF(OR($AV$6="O1",$AV$6="O2",$AV$6="O3"),Sorts!AB87,IF(OR($BB$6="O1",$BB$6="O2"),Sorts!AB149,""))</f>
        <v>X</v>
      </c>
      <c r="GU16" s="60"/>
      <c r="GW16" s="56">
        <v>13</v>
      </c>
      <c r="GX16" s="754"/>
      <c r="GY16" s="754"/>
      <c r="GZ16" s="754"/>
      <c r="HA16" s="754"/>
      <c r="HB16" s="754"/>
      <c r="HC16" s="754"/>
      <c r="HD16" s="754"/>
      <c r="HE16" s="754"/>
      <c r="HF16" s="754"/>
      <c r="HG16" s="754"/>
      <c r="HH16" s="754"/>
      <c r="HI16" s="754"/>
      <c r="HJ16" s="755"/>
      <c r="HK16" s="756"/>
      <c r="HL16" s="747"/>
      <c r="HM16" s="748"/>
      <c r="HN16" s="748"/>
      <c r="HO16" s="748"/>
      <c r="HP16" s="748"/>
      <c r="HQ16" s="748"/>
      <c r="HR16" s="748"/>
      <c r="HS16" s="57"/>
      <c r="HT16" s="57"/>
      <c r="HU16" s="58"/>
      <c r="HV16" s="57"/>
      <c r="HW16" s="757" t="s">
        <v>1204</v>
      </c>
      <c r="HX16" s="747"/>
      <c r="HY16" s="57">
        <v>13</v>
      </c>
      <c r="HZ16" s="758" t="str">
        <f>IF(OR($AV$6="O1",$AV$6="O2",$AV$6="O3"),Sorts!AI87,IF(OR($BB$6="O1",$BB$6="O2"),Sorts!AI149,""))</f>
        <v>Holographie</v>
      </c>
      <c r="IA16" s="744"/>
      <c r="IB16" s="744"/>
      <c r="IC16" s="744"/>
      <c r="ID16" s="744"/>
      <c r="IE16" s="744"/>
      <c r="IF16" s="744"/>
      <c r="IG16" s="744"/>
      <c r="IH16" s="744"/>
      <c r="II16" s="744"/>
      <c r="IJ16" s="744"/>
      <c r="IK16" s="744"/>
      <c r="IL16" s="744"/>
      <c r="IM16" s="744">
        <v>0</v>
      </c>
      <c r="IN16" s="745"/>
      <c r="IO16" s="746" t="str">
        <f>IF(OR($AV$6="O1",$AV$6="O2",$AV$6="O3"),Sorts!AJ87,IF(OR($BB$6="O1",$BB$6="O2"),Sorts!AJ149,""))</f>
        <v>1''/n</v>
      </c>
      <c r="IP16" s="747"/>
      <c r="IQ16" s="748" t="str">
        <f>IF(OR($AV$6="O1",$AV$6="O2",$AV$6="O3"),Sorts!AK87,IF(OR($BB$6="O1",$BB$6="O2"),Sorts!AK149,""))</f>
        <v>1r/n</v>
      </c>
      <c r="IR16" s="748"/>
      <c r="IS16" s="748"/>
      <c r="IT16" s="57" t="str">
        <f>IF(OR($AV$6="O1",$AV$6="O2",$AV$6="O3"),Sorts!AL87,IF(OR($BB$6="O1",$BB$6="O2"),Sorts!AL149,""))</f>
        <v>X</v>
      </c>
      <c r="IU16" s="57" t="str">
        <f>IF(OR($AV$6="O1",$AV$6="O2",$AV$6="O3"),Sorts!AM87,IF(OR($BB$6="O1",$BB$6="O2"),Sorts!AM149,""))</f>
        <v>X</v>
      </c>
      <c r="IV16" s="58" t="str">
        <f>IF(OR($AV$6="O1",$AV$6="O2",$AV$6="O3"),Sorts!AN87,IF(OR($BB$6="O1",$BB$6="O2"),Sorts!AN149,""))</f>
        <v>X</v>
      </c>
      <c r="IW16" s="60"/>
      <c r="IY16" s="384"/>
      <c r="IZ16" s="762"/>
      <c r="JA16" s="762"/>
      <c r="JB16" s="762"/>
      <c r="JC16" s="762"/>
      <c r="JD16" s="762"/>
      <c r="JE16" s="762"/>
      <c r="JF16" s="762"/>
      <c r="JG16" s="762"/>
      <c r="JH16" s="762"/>
      <c r="JI16" s="762"/>
      <c r="JJ16" s="762"/>
      <c r="JK16" s="762"/>
      <c r="JL16" s="763"/>
      <c r="JM16" s="759"/>
      <c r="JN16" s="760"/>
      <c r="JO16" s="761"/>
      <c r="JP16" s="761"/>
      <c r="JQ16" s="761"/>
      <c r="JR16" s="761"/>
      <c r="JS16" s="761"/>
      <c r="JT16" s="761"/>
      <c r="JU16" s="385"/>
      <c r="JV16" s="385"/>
      <c r="JW16" s="386"/>
      <c r="JX16" s="385"/>
      <c r="JY16" s="757" t="s">
        <v>1204</v>
      </c>
      <c r="JZ16" s="747"/>
      <c r="KA16" s="57">
        <v>13</v>
      </c>
      <c r="KB16" s="746" t="str">
        <f>IF(OR($AV$6="O1",$AV$6="O2",$AV$6="O3"),Sorts!AU87,IF(OR($BB$6="O1",$BB$6="O2"),Sorts!AU149,""))</f>
        <v>Nuage Incendiaire</v>
      </c>
      <c r="KC16" s="754"/>
      <c r="KD16" s="754"/>
      <c r="KE16" s="754"/>
      <c r="KF16" s="754"/>
      <c r="KG16" s="754"/>
      <c r="KH16" s="754"/>
      <c r="KI16" s="754"/>
      <c r="KJ16" s="754"/>
      <c r="KK16" s="754"/>
      <c r="KL16" s="754"/>
      <c r="KM16" s="754"/>
      <c r="KN16" s="755"/>
      <c r="KO16" s="744">
        <v>0</v>
      </c>
      <c r="KP16" s="745"/>
      <c r="KQ16" s="746" t="str">
        <f>IF(OR($AV$6="O1",$AV$6="O2",$AV$6="O3"),Sorts!AV87,IF(OR($BB$6="O1",$BB$6="O2"),Sorts!AV149,""))</f>
        <v>3''</v>
      </c>
      <c r="KR16" s="747"/>
      <c r="KS16" s="748" t="str">
        <f>IF(OR($AV$6="O1",$AV$6="O2",$AV$6="O3"),Sorts!AW87,IF(OR($BB$6="O1",$BB$6="O2"),Sorts!AW149,""))</f>
        <v>4r+1d6r</v>
      </c>
      <c r="KT16" s="748"/>
      <c r="KU16" s="748"/>
      <c r="KV16" s="57" t="str">
        <f>IF(OR($AV$6="O1",$AV$6="O2",$AV$6="O3"),Sorts!AX87,IF(OR($BB$6="O1",$BB$6="O2"),Sorts!AX149,""))</f>
        <v>X</v>
      </c>
      <c r="KW16" s="57" t="str">
        <f>IF(OR($AV$6="O1",$AV$6="O2",$AV$6="O3"),Sorts!AY87,IF(OR($BB$6="O1",$BB$6="O2"),Sorts!AY149,""))</f>
        <v>X</v>
      </c>
      <c r="KX16" s="58" t="str">
        <f>IF(OR($AV$6="O1",$AV$6="O2",$AV$6="O3"),Sorts!AZ87,IF(OR($BB$6="O1",$BB$6="O2"),Sorts!AZ149,""))</f>
        <v>X</v>
      </c>
    </row>
    <row r="17" spans="2:310" ht="18" customHeight="1" thickTop="1" x14ac:dyDescent="0.25">
      <c r="B17" s="728">
        <v>17</v>
      </c>
      <c r="C17" s="729"/>
      <c r="E17" s="732" t="s">
        <v>4</v>
      </c>
      <c r="F17" s="733"/>
      <c r="G17" s="734" t="s">
        <v>9</v>
      </c>
      <c r="H17" s="735"/>
      <c r="I17" s="736">
        <f>VLOOKUP(DEX,Caractéristiques!$B$187:$E$211,2,FALSE)</f>
        <v>2</v>
      </c>
      <c r="J17" s="737"/>
      <c r="K17" s="53" t="s">
        <v>9</v>
      </c>
      <c r="L17" s="266"/>
      <c r="M17" s="861">
        <f>VLOOKUP(DEX,Caractéristiques!$B$187:$E$211,3,FALSE)</f>
        <v>2</v>
      </c>
      <c r="N17" s="862"/>
      <c r="O17" s="734" t="s">
        <v>9</v>
      </c>
      <c r="P17" s="735"/>
      <c r="Q17" s="736">
        <f>VLOOKUP(DEX,Caractéristiques!$B$187:$E$211,4,FALSE)</f>
        <v>-3</v>
      </c>
      <c r="R17" s="737"/>
      <c r="S17" s="734" t="s">
        <v>1430</v>
      </c>
      <c r="T17" s="735"/>
      <c r="U17" s="736">
        <f>VLOOKUP(DEX,Caractéristiques!$B$187:$E$211,4,FALSE)</f>
        <v>-3</v>
      </c>
      <c r="V17" s="737"/>
      <c r="Z17" s="670" t="s">
        <v>1562</v>
      </c>
      <c r="AA17" s="671"/>
      <c r="AB17" s="606" t="str" cm="1">
        <f t="array" ref="AB17">IF(Code_Classe&gt;33,IF(NivC3&lt;&gt;"",INDEX(Niveau!$B$472:$Q$508,NivC3+1,MATCH(Classe3,Niveau!$C$472:$Q$472,0)+1),"")&amp;IF(Code_Classe&gt;33,"/3",""),"")</f>
        <v/>
      </c>
      <c r="AC17" s="606"/>
      <c r="AD17" s="607"/>
      <c r="AF17" s="673" t="s">
        <v>1556</v>
      </c>
      <c r="AG17" s="660"/>
      <c r="AH17" s="727">
        <f>IF(Classe2="/","/",INDEX(Niveau!$A$511:$Q$547,NivC2+1,MATCH(Classe2,Niveau!$B$511:$Q$511,0)+1))</f>
        <v>2501</v>
      </c>
      <c r="AI17" s="727"/>
      <c r="AJ17" s="727"/>
      <c r="AK17" s="611" t="s">
        <v>1570</v>
      </c>
      <c r="AL17" s="612"/>
      <c r="AM17" s="613"/>
      <c r="AN17" s="614" t="s">
        <v>48</v>
      </c>
      <c r="AO17" s="615"/>
      <c r="AQ17" s="56">
        <v>8</v>
      </c>
      <c r="AR17" s="754" t="str">
        <f>IF($AV$4="O",Sorts!E11,IF($BB$4="O",Sorts!E35,""))</f>
        <v/>
      </c>
      <c r="AS17" s="754"/>
      <c r="AT17" s="754"/>
      <c r="AU17" s="754"/>
      <c r="AV17" s="754"/>
      <c r="AW17" s="754"/>
      <c r="AX17" s="754"/>
      <c r="AY17" s="754"/>
      <c r="AZ17" s="754"/>
      <c r="BA17" s="754"/>
      <c r="BB17" s="754"/>
      <c r="BC17" s="754"/>
      <c r="BD17" s="755"/>
      <c r="BE17" s="756">
        <v>0</v>
      </c>
      <c r="BF17" s="754"/>
      <c r="BG17" s="748" t="str">
        <f>IF($AV$4="O",Sorts!F11,IF($BB$4="O",Sorts!F35,""))</f>
        <v/>
      </c>
      <c r="BH17" s="748"/>
      <c r="BI17" s="748"/>
      <c r="BJ17" s="748" t="str">
        <f>IF($AV$4="O",Sorts!G11,IF($BB$4="O",Sorts!G35,""))</f>
        <v/>
      </c>
      <c r="BK17" s="748"/>
      <c r="BL17" s="748"/>
      <c r="BM17" s="57" t="str">
        <f>IF($AV$4="O",Sorts!H11,IF($BB$4="O",Sorts!H35,""))</f>
        <v/>
      </c>
      <c r="BN17" s="57" t="str">
        <f>IF($AV$4="O",Sorts!I11,IF($BB$4="O",Sorts!I35,""))</f>
        <v/>
      </c>
      <c r="BO17" s="369" t="str">
        <f>IF($AV$4="O",Sorts!J11,IF($BB$4="O",Sorts!J35,""))</f>
        <v/>
      </c>
      <c r="BP17" s="366"/>
      <c r="BQ17" s="757" t="s">
        <v>1204</v>
      </c>
      <c r="BR17" s="747"/>
      <c r="BS17" s="57">
        <v>8</v>
      </c>
      <c r="BT17" s="758" t="str">
        <f>IF(OR($AV$6="O1",$AV$6="O2",$AV$6="O3"),Sorts!E82,IF(OR($BB$6="O1",$BB$6="O2"),Sorts!E144,""))</f>
        <v>Charme-Personnes</v>
      </c>
      <c r="BU17" s="744"/>
      <c r="BV17" s="744"/>
      <c r="BW17" s="744"/>
      <c r="BX17" s="744"/>
      <c r="BY17" s="744"/>
      <c r="BZ17" s="744"/>
      <c r="CA17" s="744"/>
      <c r="CB17" s="744"/>
      <c r="CC17" s="744"/>
      <c r="CD17" s="744"/>
      <c r="CE17" s="744"/>
      <c r="CF17" s="744"/>
      <c r="CG17" s="744">
        <v>0</v>
      </c>
      <c r="CH17" s="745"/>
      <c r="CI17" s="746" t="str">
        <f>IF(OR($AV$6="O1",$AV$6="O2",$AV$6="O3"),Sorts!F82,IF(OR($BB$6="O1",$BB$6="O2"),Sorts!F144,""))</f>
        <v>12’’</v>
      </c>
      <c r="CJ17" s="747"/>
      <c r="CK17" s="748" t="str">
        <f>IF(OR($AV$6="O1",$AV$6="O2",$AV$6="O3"),Sorts!G82,IF(OR($BB$6="O1",$BB$6="O2"),Sorts!G144,""))</f>
        <v>S</v>
      </c>
      <c r="CL17" s="748"/>
      <c r="CM17" s="748"/>
      <c r="CN17" s="57" t="str">
        <f>IF(OR($AV$6="O1",$AV$6="O2",$AV$6="O3"),Sorts!H82,IF(OR($BB$6="O1",$BB$6="O2"),Sorts!H144,""))</f>
        <v>X</v>
      </c>
      <c r="CO17" s="57" t="str">
        <f>IF(OR($AV$6="O1",$AV$6="O2",$AV$6="O3"),Sorts!I82,IF(OR($BB$6="O1",$BB$6="O2"),Sorts!I144,""))</f>
        <v>X</v>
      </c>
      <c r="CP17" s="58" t="str">
        <f>IF(OR($AV$6="O1",$AV$6="O2",$AV$6="O3"),Sorts!J82,IF(OR($BB$6="O1",$BB$6="O2"),Sorts!J144,""))</f>
        <v>/</v>
      </c>
      <c r="CQ17" s="60"/>
      <c r="CS17" s="56">
        <v>14</v>
      </c>
      <c r="CT17" s="754" t="str">
        <f>IF($AV$4="O",Sorts!K17,IF($BB$4="O",Sorts!K41,""))</f>
        <v/>
      </c>
      <c r="CU17" s="754"/>
      <c r="CV17" s="754"/>
      <c r="CW17" s="754"/>
      <c r="CX17" s="754"/>
      <c r="CY17" s="754"/>
      <c r="CZ17" s="754"/>
      <c r="DA17" s="754"/>
      <c r="DB17" s="754"/>
      <c r="DC17" s="754"/>
      <c r="DD17" s="754"/>
      <c r="DE17" s="754"/>
      <c r="DF17" s="755"/>
      <c r="DG17" s="756">
        <v>0</v>
      </c>
      <c r="DH17" s="747"/>
      <c r="DI17" s="748" t="str">
        <f>IF($AV$4="O",Sorts!L17,IF($BB$4="O",Sorts!L41,""))</f>
        <v/>
      </c>
      <c r="DJ17" s="748"/>
      <c r="DK17" s="748"/>
      <c r="DL17" s="748" t="str">
        <f>IF($AV$4="O",Sorts!M17,IF($BB$4="O",Sorts!M41,""))</f>
        <v/>
      </c>
      <c r="DM17" s="748"/>
      <c r="DN17" s="748"/>
      <c r="DO17" s="57" t="str">
        <f>IF($AV$4="O",Sorts!N17,IF($BB$4="O",Sorts!N41,""))</f>
        <v/>
      </c>
      <c r="DP17" s="57" t="str">
        <f>IF($AV$4="O",Sorts!O17,IF($BB$4="O",Sorts!O41,""))</f>
        <v/>
      </c>
      <c r="DQ17" s="58" t="str">
        <f>IF($AV$4="O",Sorts!P17,IF($BB$4="O",Sorts!P41,""))</f>
        <v/>
      </c>
      <c r="DR17" s="57"/>
      <c r="DS17" s="757" t="s">
        <v>1204</v>
      </c>
      <c r="DT17" s="747"/>
      <c r="DU17" s="57">
        <v>14</v>
      </c>
      <c r="DV17" s="758" t="str">
        <f>IF(OR($AV$6="O1",$AV$6="O2",$AV$6="O3"),Sorts!K88,IF(OR($BB$6="O1",$BB$6="O2"),Sorts!K150,""))</f>
        <v>Lévitation</v>
      </c>
      <c r="DW17" s="744"/>
      <c r="DX17" s="744"/>
      <c r="DY17" s="744"/>
      <c r="DZ17" s="744"/>
      <c r="EA17" s="744"/>
      <c r="EB17" s="744"/>
      <c r="EC17" s="744"/>
      <c r="ED17" s="744"/>
      <c r="EE17" s="744"/>
      <c r="EF17" s="744"/>
      <c r="EG17" s="744"/>
      <c r="EH17" s="744"/>
      <c r="EI17" s="744">
        <v>0</v>
      </c>
      <c r="EJ17" s="745"/>
      <c r="EK17" s="746" t="str">
        <f>IF(OR($AV$6="O1",$AV$6="O2",$AV$6="O3"),Sorts!L88,IF(OR($BB$6="O1",$BB$6="O2"),Sorts!L150,""))</f>
        <v>2''/n</v>
      </c>
      <c r="EL17" s="747"/>
      <c r="EM17" s="748" t="str">
        <f>IF(OR($AV$6="O1",$AV$6="O2",$AV$6="O3"),Sorts!M88,IF(OR($BB$6="O1",$BB$6="O2"),Sorts!M150,""))</f>
        <v>1t/n</v>
      </c>
      <c r="EN17" s="748"/>
      <c r="EO17" s="748"/>
      <c r="EP17" s="57" t="str">
        <f>IF(OR($AV$6="O1",$AV$6="O2",$AV$6="O3"),Sorts!N88,IF(OR($BB$6="O1",$BB$6="O2"),Sorts!N150,""))</f>
        <v>X</v>
      </c>
      <c r="EQ17" s="57" t="str">
        <f>IF(OR($AV$6="O1",$AV$6="O2",$AV$6="O3"),Sorts!O88,IF(OR($BB$6="O1",$BB$6="O2"),Sorts!O150,""))</f>
        <v>X</v>
      </c>
      <c r="ER17" s="58" t="str">
        <f>IF(OR($AV$6="O1",$AV$6="O2",$AV$6="O3"),Sorts!P88,IF(OR($BB$6="O1",$BB$6="O2"),Sorts!P150,""))</f>
        <v>X</v>
      </c>
      <c r="ES17" s="60"/>
      <c r="EU17" s="56">
        <v>14</v>
      </c>
      <c r="EV17" s="754" t="str">
        <f>IF($AV$4="O",Sorts!W17,IF($BB$4="O",Sorts!W41,""))</f>
        <v/>
      </c>
      <c r="EW17" s="754"/>
      <c r="EX17" s="754"/>
      <c r="EY17" s="754"/>
      <c r="EZ17" s="754"/>
      <c r="FA17" s="754"/>
      <c r="FB17" s="754"/>
      <c r="FC17" s="754"/>
      <c r="FD17" s="754"/>
      <c r="FE17" s="754"/>
      <c r="FF17" s="754"/>
      <c r="FG17" s="754"/>
      <c r="FH17" s="755"/>
      <c r="FI17" s="756">
        <v>0</v>
      </c>
      <c r="FJ17" s="747"/>
      <c r="FK17" s="748" t="str">
        <f>IF($AV$4="O",Sorts!X17,IF($BB$4="O",Sorts!X41,""))</f>
        <v/>
      </c>
      <c r="FL17" s="748"/>
      <c r="FM17" s="748"/>
      <c r="FN17" s="746" t="str">
        <f>IF($AV$4="O",Sorts!Y17,IF($BB$4="O",Sorts!Y41,""))</f>
        <v/>
      </c>
      <c r="FO17" s="754"/>
      <c r="FP17" s="747"/>
      <c r="FQ17" s="57" t="str">
        <f>IF($AV$4="O",Sorts!Z17,IF($BB$4="O",Sorts!Z41,""))</f>
        <v/>
      </c>
      <c r="FR17" s="57" t="str">
        <f>IF($AV$4="O",Sorts!AA17,IF($BB$4="O",Sorts!AA41,""))</f>
        <v/>
      </c>
      <c r="FS17" s="58" t="str">
        <f>IF($AV$4="O",Sorts!AB17,IF($BB$4="O",Sorts!AB41,""))</f>
        <v/>
      </c>
      <c r="FT17" s="57"/>
      <c r="FU17" s="757" t="s">
        <v>1204</v>
      </c>
      <c r="FV17" s="747"/>
      <c r="FW17" s="57">
        <v>14</v>
      </c>
      <c r="FX17" s="758" t="str">
        <f>IF(OR($AV$6="O1",$AV$6="O2",$AV$6="O3"),Sorts!W88,IF(OR($BB$6="O1",$BB$6="O2"),Sorts!W150,""))</f>
        <v>Extension I</v>
      </c>
      <c r="FY17" s="744"/>
      <c r="FZ17" s="744"/>
      <c r="GA17" s="744"/>
      <c r="GB17" s="744"/>
      <c r="GC17" s="744"/>
      <c r="GD17" s="744"/>
      <c r="GE17" s="744"/>
      <c r="GF17" s="744"/>
      <c r="GG17" s="744"/>
      <c r="GH17" s="744"/>
      <c r="GI17" s="744"/>
      <c r="GJ17" s="744"/>
      <c r="GK17" s="744">
        <v>0</v>
      </c>
      <c r="GL17" s="745"/>
      <c r="GM17" s="746">
        <f>IF(OR($AV$6="O1",$AV$6="O2",$AV$6="O3"),Sorts!X88,IF(OR($BB$6="O1",$BB$6="O2"),Sorts!X150,""))</f>
        <v>0</v>
      </c>
      <c r="GN17" s="747"/>
      <c r="GO17" s="748" t="str">
        <f>IF(OR($AV$6="O1",$AV$6="O2",$AV$6="O3"),Sorts!Y88,IF(OR($BB$6="O1",$BB$6="O2"),Sorts!Y150,""))</f>
        <v>S</v>
      </c>
      <c r="GP17" s="748"/>
      <c r="GQ17" s="748"/>
      <c r="GR17" s="57" t="str">
        <f>IF(OR($AV$6="O1",$AV$6="O2",$AV$6="O3"),Sorts!Z88,IF(OR($BB$6="O1",$BB$6="O2"),Sorts!Z150,""))</f>
        <v>X</v>
      </c>
      <c r="GS17" s="57" t="str">
        <f>IF(OR($AV$6="O1",$AV$6="O2",$AV$6="O3"),Sorts!AA88,IF(OR($BB$6="O1",$BB$6="O2"),Sorts!AA150,""))</f>
        <v>/</v>
      </c>
      <c r="GT17" s="58" t="str">
        <f>IF(OR($AV$6="O1",$AV$6="O2",$AV$6="O3"),Sorts!AB88,IF(OR($BB$6="O1",$BB$6="O2"),Sorts!AB150,""))</f>
        <v>/</v>
      </c>
      <c r="GU17" s="60"/>
      <c r="GW17" s="56">
        <v>14</v>
      </c>
      <c r="GX17" s="754"/>
      <c r="GY17" s="754"/>
      <c r="GZ17" s="754"/>
      <c r="HA17" s="754"/>
      <c r="HB17" s="754"/>
      <c r="HC17" s="754"/>
      <c r="HD17" s="754"/>
      <c r="HE17" s="754"/>
      <c r="HF17" s="754"/>
      <c r="HG17" s="754"/>
      <c r="HH17" s="754"/>
      <c r="HI17" s="754"/>
      <c r="HJ17" s="755"/>
      <c r="HK17" s="756"/>
      <c r="HL17" s="747"/>
      <c r="HM17" s="748"/>
      <c r="HN17" s="748"/>
      <c r="HO17" s="748"/>
      <c r="HP17" s="748"/>
      <c r="HQ17" s="748"/>
      <c r="HR17" s="748"/>
      <c r="HS17" s="57"/>
      <c r="HT17" s="57"/>
      <c r="HU17" s="58"/>
      <c r="HV17" s="57"/>
      <c r="HW17" s="757" t="s">
        <v>1204</v>
      </c>
      <c r="HX17" s="747"/>
      <c r="HY17" s="57">
        <v>14</v>
      </c>
      <c r="HZ17" s="758" t="str">
        <f>IF(OR($AV$6="O1",$AV$6="O2",$AV$6="O3"),Sorts!AI88,IF(OR($BB$6="O1",$BB$6="O2"),Sorts!AI150,""))</f>
        <v>Incantation Mortelle</v>
      </c>
      <c r="IA17" s="744"/>
      <c r="IB17" s="744"/>
      <c r="IC17" s="744"/>
      <c r="ID17" s="744"/>
      <c r="IE17" s="744"/>
      <c r="IF17" s="744"/>
      <c r="IG17" s="744"/>
      <c r="IH17" s="744"/>
      <c r="II17" s="744"/>
      <c r="IJ17" s="744"/>
      <c r="IK17" s="744"/>
      <c r="IL17" s="744"/>
      <c r="IM17" s="744">
        <v>0</v>
      </c>
      <c r="IN17" s="745"/>
      <c r="IO17" s="746" t="str">
        <f>IF(OR($AV$6="O1",$AV$6="O2",$AV$6="O3"),Sorts!AJ88,IF(OR($BB$6="O1",$BB$6="O2"),Sorts!AJ150,""))</f>
        <v>1''/n</v>
      </c>
      <c r="IP17" s="747"/>
      <c r="IQ17" s="748" t="str">
        <f>IF(OR($AV$6="O1",$AV$6="O2",$AV$6="O3"),Sorts!AK88,IF(OR($BB$6="O1",$BB$6="O2"),Sorts!AK150,""))</f>
        <v>I</v>
      </c>
      <c r="IR17" s="748"/>
      <c r="IS17" s="748"/>
      <c r="IT17" s="57" t="str">
        <f>IF(OR($AV$6="O1",$AV$6="O2",$AV$6="O3"),Sorts!AL88,IF(OR($BB$6="O1",$BB$6="O2"),Sorts!AL150,""))</f>
        <v>X</v>
      </c>
      <c r="IU17" s="57" t="str">
        <f>IF(OR($AV$6="O1",$AV$6="O2",$AV$6="O3"),Sorts!AM88,IF(OR($BB$6="O1",$BB$6="O2"),Sorts!AM150,""))</f>
        <v>X</v>
      </c>
      <c r="IV17" s="58" t="str">
        <f>IF(OR($AV$6="O1",$AV$6="O2",$AV$6="O3"),Sorts!AN88,IF(OR($BB$6="O1",$BB$6="O2"),Sorts!AN150,""))</f>
        <v>X</v>
      </c>
      <c r="IW17" s="60"/>
      <c r="IY17" s="384"/>
      <c r="IZ17" s="762"/>
      <c r="JA17" s="762"/>
      <c r="JB17" s="762"/>
      <c r="JC17" s="762"/>
      <c r="JD17" s="762"/>
      <c r="JE17" s="762"/>
      <c r="JF17" s="762"/>
      <c r="JG17" s="762"/>
      <c r="JH17" s="762"/>
      <c r="JI17" s="762"/>
      <c r="JJ17" s="762"/>
      <c r="JK17" s="762"/>
      <c r="JL17" s="763"/>
      <c r="JM17" s="759"/>
      <c r="JN17" s="760"/>
      <c r="JO17" s="761"/>
      <c r="JP17" s="761"/>
      <c r="JQ17" s="761"/>
      <c r="JR17" s="761"/>
      <c r="JS17" s="761"/>
      <c r="JT17" s="761"/>
      <c r="JU17" s="385"/>
      <c r="JV17" s="385"/>
      <c r="JW17" s="386"/>
      <c r="JX17" s="385"/>
      <c r="JY17" s="757" t="s">
        <v>1204</v>
      </c>
      <c r="JZ17" s="747"/>
      <c r="KA17" s="57">
        <v>14</v>
      </c>
      <c r="KB17" s="746" t="str">
        <f>IF(OR($AV$6="O1",$AV$6="O2",$AV$6="O3"),Sorts!AU88,IF(OR($BB$6="O1",$BB$6="O2"),Sorts!AU150,""))</f>
        <v>Permanence</v>
      </c>
      <c r="KC17" s="754"/>
      <c r="KD17" s="754"/>
      <c r="KE17" s="754"/>
      <c r="KF17" s="754"/>
      <c r="KG17" s="754"/>
      <c r="KH17" s="754"/>
      <c r="KI17" s="754"/>
      <c r="KJ17" s="754"/>
      <c r="KK17" s="754"/>
      <c r="KL17" s="754"/>
      <c r="KM17" s="754"/>
      <c r="KN17" s="755"/>
      <c r="KO17" s="744">
        <v>0</v>
      </c>
      <c r="KP17" s="745"/>
      <c r="KQ17" s="746" t="str">
        <f>IF(OR($AV$6="O1",$AV$6="O2",$AV$6="O3"),Sorts!AV88,IF(OR($BB$6="O1",$BB$6="O2"),Sorts!AV150,""))</f>
        <v>S</v>
      </c>
      <c r="KR17" s="747"/>
      <c r="KS17" s="748" t="str">
        <f>IF(OR($AV$6="O1",$AV$6="O2",$AV$6="O3"),Sorts!AW88,IF(OR($BB$6="O1",$BB$6="O2"),Sorts!AW150,""))</f>
        <v>P</v>
      </c>
      <c r="KT17" s="748"/>
      <c r="KU17" s="748"/>
      <c r="KV17" s="57" t="str">
        <f>IF(OR($AV$6="O1",$AV$6="O2",$AV$6="O3"),Sorts!AX88,IF(OR($BB$6="O1",$BB$6="O2"),Sorts!AX150,""))</f>
        <v>X</v>
      </c>
      <c r="KW17" s="57" t="str">
        <f>IF(OR($AV$6="O1",$AV$6="O2",$AV$6="O3"),Sorts!AY88,IF(OR($BB$6="O1",$BB$6="O2"),Sorts!AY150,""))</f>
        <v>X</v>
      </c>
      <c r="KX17" s="58" t="str">
        <f>IF(OR($AV$6="O1",$AV$6="O2",$AV$6="O3"),Sorts!AZ88,IF(OR($BB$6="O1",$BB$6="O2"),Sorts!AZ150,""))</f>
        <v>X</v>
      </c>
    </row>
    <row r="18" spans="2:310" ht="18" customHeight="1" thickBot="1" x14ac:dyDescent="0.3">
      <c r="B18" s="730"/>
      <c r="C18" s="731"/>
      <c r="E18" s="732"/>
      <c r="F18" s="733"/>
      <c r="G18" s="831" t="s">
        <v>53</v>
      </c>
      <c r="H18" s="832"/>
      <c r="I18" s="738"/>
      <c r="J18" s="739"/>
      <c r="K18" s="54" t="s">
        <v>1427</v>
      </c>
      <c r="L18" s="267"/>
      <c r="M18" s="863"/>
      <c r="N18" s="864"/>
      <c r="O18" s="831" t="s">
        <v>23</v>
      </c>
      <c r="P18" s="832"/>
      <c r="Q18" s="738"/>
      <c r="R18" s="739"/>
      <c r="S18" s="831" t="s">
        <v>36</v>
      </c>
      <c r="T18" s="832"/>
      <c r="U18" s="857"/>
      <c r="V18" s="858"/>
      <c r="Z18" s="670" t="s">
        <v>1703</v>
      </c>
      <c r="AA18" s="671"/>
      <c r="AB18" s="671"/>
      <c r="AC18" s="651">
        <f>+$I$19</f>
        <v>0</v>
      </c>
      <c r="AD18" s="672"/>
      <c r="AF18" s="673" t="s">
        <v>1557</v>
      </c>
      <c r="AG18" s="660"/>
      <c r="AH18" s="727">
        <f>IF(Classe2="/","/",INDEX(Niveau!$A$511:$Q$547,NivC2+2,MATCH(Classe2,Niveau!$B$511:$Q$511,0)+1)-1)</f>
        <v>5000</v>
      </c>
      <c r="AI18" s="727"/>
      <c r="AJ18" s="727"/>
      <c r="AK18" s="843">
        <f>IF(Code_Classe&gt;14,AK14,"")</f>
        <v>4028</v>
      </c>
      <c r="AL18" s="606"/>
      <c r="AM18" s="844"/>
      <c r="AN18" s="839">
        <v>2</v>
      </c>
      <c r="AO18" s="840"/>
      <c r="AQ18" s="56">
        <v>9</v>
      </c>
      <c r="AR18" s="754" t="str">
        <f>IF($AV$4="O",Sorts!E12,IF($BB$4="O",Sorts!E36,""))</f>
        <v/>
      </c>
      <c r="AS18" s="754"/>
      <c r="AT18" s="754"/>
      <c r="AU18" s="754"/>
      <c r="AV18" s="754"/>
      <c r="AW18" s="754"/>
      <c r="AX18" s="754"/>
      <c r="AY18" s="754"/>
      <c r="AZ18" s="754"/>
      <c r="BA18" s="754"/>
      <c r="BB18" s="754"/>
      <c r="BC18" s="754"/>
      <c r="BD18" s="755"/>
      <c r="BE18" s="756">
        <v>0</v>
      </c>
      <c r="BF18" s="754"/>
      <c r="BG18" s="748" t="str">
        <f>IF($AV$4="O",Sorts!F12,IF($BB$4="O",Sorts!F36,""))</f>
        <v/>
      </c>
      <c r="BH18" s="748"/>
      <c r="BI18" s="748"/>
      <c r="BJ18" s="748" t="str">
        <f>IF($AV$4="O",Sorts!G12,IF($BB$4="O",Sorts!G36,""))</f>
        <v/>
      </c>
      <c r="BK18" s="748"/>
      <c r="BL18" s="748"/>
      <c r="BM18" s="57" t="str">
        <f>IF($AV$4="O",Sorts!H12,IF($BB$4="O",Sorts!H36,""))</f>
        <v/>
      </c>
      <c r="BN18" s="57" t="str">
        <f>IF($AV$4="O",Sorts!I12,IF($BB$4="O",Sorts!I36,""))</f>
        <v/>
      </c>
      <c r="BO18" s="369" t="str">
        <f>IF($AV$4="O",Sorts!J12,IF($BB$4="O",Sorts!J36,""))</f>
        <v/>
      </c>
      <c r="BP18" s="366"/>
      <c r="BQ18" s="757" t="s">
        <v>1204</v>
      </c>
      <c r="BR18" s="747"/>
      <c r="BS18" s="57">
        <v>9</v>
      </c>
      <c r="BT18" s="758" t="str">
        <f>IF(OR($AV$6="O1",$AV$6="O2",$AV$6="O3"),Sorts!E83,IF(OR($BB$6="O1",$BB$6="O2"),Sorts!E145,""))</f>
        <v>Chute de Plume</v>
      </c>
      <c r="BU18" s="744"/>
      <c r="BV18" s="744"/>
      <c r="BW18" s="744"/>
      <c r="BX18" s="744"/>
      <c r="BY18" s="744"/>
      <c r="BZ18" s="744"/>
      <c r="CA18" s="744"/>
      <c r="CB18" s="744"/>
      <c r="CC18" s="744"/>
      <c r="CD18" s="744"/>
      <c r="CE18" s="744"/>
      <c r="CF18" s="744"/>
      <c r="CG18" s="744">
        <v>0</v>
      </c>
      <c r="CH18" s="745"/>
      <c r="CI18" s="746" t="str">
        <f>IF(OR($AV$6="O1",$AV$6="O2",$AV$6="O3"),Sorts!F83,IF(OR($BB$6="O1",$BB$6="O2"),Sorts!F145,""))</f>
        <v>1’’/n</v>
      </c>
      <c r="CJ18" s="747"/>
      <c r="CK18" s="748" t="str">
        <f>IF(OR($AV$6="O1",$AV$6="O2",$AV$6="O3"),Sorts!G83,IF(OR($BB$6="O1",$BB$6="O2"),Sorts!G145,""))</f>
        <v>1s/n</v>
      </c>
      <c r="CL18" s="748"/>
      <c r="CM18" s="748"/>
      <c r="CN18" s="57" t="str">
        <f>IF(OR($AV$6="O1",$AV$6="O2",$AV$6="O3"),Sorts!H83,IF(OR($BB$6="O1",$BB$6="O2"),Sorts!H145,""))</f>
        <v>X</v>
      </c>
      <c r="CO18" s="57" t="str">
        <f>IF(OR($AV$6="O1",$AV$6="O2",$AV$6="O3"),Sorts!I83,IF(OR($BB$6="O1",$BB$6="O2"),Sorts!I145,""))</f>
        <v>/</v>
      </c>
      <c r="CP18" s="58" t="str">
        <f>IF(OR($AV$6="O1",$AV$6="O2",$AV$6="O3"),Sorts!J83,IF(OR($BB$6="O1",$BB$6="O2"),Sorts!J145,""))</f>
        <v>X</v>
      </c>
      <c r="CQ18" s="60"/>
      <c r="CS18" s="56">
        <v>15</v>
      </c>
      <c r="CT18" s="754" t="str">
        <f>IF($AV$4="O",Sorts!K18,IF($BB$4="O",Sorts!K42,""))</f>
        <v/>
      </c>
      <c r="CU18" s="754"/>
      <c r="CV18" s="754"/>
      <c r="CW18" s="754"/>
      <c r="CX18" s="754"/>
      <c r="CY18" s="754"/>
      <c r="CZ18" s="754"/>
      <c r="DA18" s="754"/>
      <c r="DB18" s="754"/>
      <c r="DC18" s="754"/>
      <c r="DD18" s="754"/>
      <c r="DE18" s="754"/>
      <c r="DF18" s="755"/>
      <c r="DG18" s="756">
        <v>0</v>
      </c>
      <c r="DH18" s="747"/>
      <c r="DI18" s="748" t="str">
        <f>IF($AV$4="O",Sorts!L18,IF($BB$4="O",Sorts!L42,""))</f>
        <v/>
      </c>
      <c r="DJ18" s="748"/>
      <c r="DK18" s="748"/>
      <c r="DL18" s="748" t="str">
        <f>IF($AV$4="O",Sorts!M18,IF($BB$4="O",Sorts!M42,""))</f>
        <v/>
      </c>
      <c r="DM18" s="748"/>
      <c r="DN18" s="748"/>
      <c r="DO18" s="57" t="str">
        <f>IF($AV$4="O",Sorts!N18,IF($BB$4="O",Sorts!N42,""))</f>
        <v/>
      </c>
      <c r="DP18" s="57" t="str">
        <f>IF($AV$4="O",Sorts!O18,IF($BB$4="O",Sorts!O42,""))</f>
        <v/>
      </c>
      <c r="DQ18" s="58" t="str">
        <f>IF($AV$4="O",Sorts!P18,IF($BB$4="O",Sorts!P42,""))</f>
        <v/>
      </c>
      <c r="DR18" s="57"/>
      <c r="DS18" s="757" t="s">
        <v>1204</v>
      </c>
      <c r="DT18" s="747"/>
      <c r="DU18" s="57">
        <v>15</v>
      </c>
      <c r="DV18" s="758" t="str">
        <f>IF(OR($AV$6="O1",$AV$6="O2",$AV$6="O3"),Sorts!K89,IF(OR($BB$6="O1",$BB$6="O2"),Sorts!K151,""))</f>
        <v>Lien</v>
      </c>
      <c r="DW18" s="744"/>
      <c r="DX18" s="744"/>
      <c r="DY18" s="744"/>
      <c r="DZ18" s="744"/>
      <c r="EA18" s="744"/>
      <c r="EB18" s="744"/>
      <c r="EC18" s="744"/>
      <c r="ED18" s="744"/>
      <c r="EE18" s="744"/>
      <c r="EF18" s="744"/>
      <c r="EG18" s="744"/>
      <c r="EH18" s="744"/>
      <c r="EI18" s="744">
        <v>0</v>
      </c>
      <c r="EJ18" s="745"/>
      <c r="EK18" s="746" t="str">
        <f>IF(OR($AV$6="O1",$AV$6="O2",$AV$6="O3"),Sorts!L89,IF(OR($BB$6="O1",$BB$6="O2"),Sorts!L151,""))</f>
        <v>3''</v>
      </c>
      <c r="EL18" s="747"/>
      <c r="EM18" s="748" t="str">
        <f>IF(OR($AV$6="O1",$AV$6="O2",$AV$6="O3"),Sorts!M89,IF(OR($BB$6="O1",$BB$6="O2"),Sorts!M151,""))</f>
        <v>1r/n</v>
      </c>
      <c r="EN18" s="748"/>
      <c r="EO18" s="748"/>
      <c r="EP18" s="57" t="str">
        <f>IF(OR($AV$6="O1",$AV$6="O2",$AV$6="O3"),Sorts!N89,IF(OR($BB$6="O1",$BB$6="O2"),Sorts!N151,""))</f>
        <v>X</v>
      </c>
      <c r="EQ18" s="57" t="str">
        <f>IF(OR($AV$6="O1",$AV$6="O2",$AV$6="O3"),Sorts!O89,IF(OR($BB$6="O1",$BB$6="O2"),Sorts!O151,""))</f>
        <v>X</v>
      </c>
      <c r="ER18" s="58" t="str">
        <f>IF(OR($AV$6="O1",$AV$6="O2",$AV$6="O3"),Sorts!P89,IF(OR($BB$6="O1",$BB$6="O2"),Sorts!P151,""))</f>
        <v>X</v>
      </c>
      <c r="ES18" s="60"/>
      <c r="EU18" s="56">
        <v>15</v>
      </c>
      <c r="EV18" s="754" t="str">
        <f>IF($AV$4="O",Sorts!W18,IF($BB$4="O",Sorts!W42,""))</f>
        <v/>
      </c>
      <c r="EW18" s="754"/>
      <c r="EX18" s="754"/>
      <c r="EY18" s="754"/>
      <c r="EZ18" s="754"/>
      <c r="FA18" s="754"/>
      <c r="FB18" s="754"/>
      <c r="FC18" s="754"/>
      <c r="FD18" s="754"/>
      <c r="FE18" s="754"/>
      <c r="FF18" s="754"/>
      <c r="FG18" s="754"/>
      <c r="FH18" s="755"/>
      <c r="FI18" s="756">
        <v>0</v>
      </c>
      <c r="FJ18" s="747"/>
      <c r="FK18" s="748" t="str">
        <f>IF($AV$4="O",Sorts!X18,IF($BB$4="O",Sorts!X42,""))</f>
        <v/>
      </c>
      <c r="FL18" s="748"/>
      <c r="FM18" s="748"/>
      <c r="FN18" s="746" t="str">
        <f>IF($AV$4="O",Sorts!Y18,IF($BB$4="O",Sorts!Y42,""))</f>
        <v/>
      </c>
      <c r="FO18" s="754"/>
      <c r="FP18" s="747"/>
      <c r="FQ18" s="57" t="str">
        <f>IF($AV$4="O",Sorts!Z18,IF($BB$4="O",Sorts!Z42,""))</f>
        <v/>
      </c>
      <c r="FR18" s="57" t="str">
        <f>IF($AV$4="O",Sorts!AA18,IF($BB$4="O",Sorts!AA42,""))</f>
        <v/>
      </c>
      <c r="FS18" s="58" t="str">
        <f>IF($AV$4="O",Sorts!AB18,IF($BB$4="O",Sorts!AB42,""))</f>
        <v/>
      </c>
      <c r="FT18" s="57"/>
      <c r="FU18" s="757" t="s">
        <v>1204</v>
      </c>
      <c r="FV18" s="747"/>
      <c r="FW18" s="57">
        <v>15</v>
      </c>
      <c r="FX18" s="758" t="str">
        <f>IF(OR($AV$6="O1",$AV$6="O2",$AV$6="O3"),Sorts!W89,IF(OR($BB$6="O1",$BB$6="O2"),Sorts!W151,""))</f>
        <v>Feu Charmeur</v>
      </c>
      <c r="FY18" s="744"/>
      <c r="FZ18" s="744"/>
      <c r="GA18" s="744"/>
      <c r="GB18" s="744"/>
      <c r="GC18" s="744"/>
      <c r="GD18" s="744"/>
      <c r="GE18" s="744"/>
      <c r="GF18" s="744"/>
      <c r="GG18" s="744"/>
      <c r="GH18" s="744"/>
      <c r="GI18" s="744"/>
      <c r="GJ18" s="744"/>
      <c r="GK18" s="744">
        <v>0</v>
      </c>
      <c r="GL18" s="745"/>
      <c r="GM18" s="746" t="str">
        <f>IF(OR($AV$6="O1",$AV$6="O2",$AV$6="O3"),Sorts!X89,IF(OR($BB$6="O1",$BB$6="O2"),Sorts!X151,""))</f>
        <v>1''</v>
      </c>
      <c r="GN18" s="747"/>
      <c r="GO18" s="748" t="str">
        <f>IF(OR($AV$6="O1",$AV$6="O2",$AV$6="O3"),Sorts!Y89,IF(OR($BB$6="O1",$BB$6="O2"),Sorts!Y151,""))</f>
        <v>2r/n</v>
      </c>
      <c r="GP18" s="748"/>
      <c r="GQ18" s="748"/>
      <c r="GR18" s="57" t="str">
        <f>IF(OR($AV$6="O1",$AV$6="O2",$AV$6="O3"),Sorts!Z89,IF(OR($BB$6="O1",$BB$6="O2"),Sorts!Z151,""))</f>
        <v>X</v>
      </c>
      <c r="GS18" s="57" t="str">
        <f>IF(OR($AV$6="O1",$AV$6="O2",$AV$6="O3"),Sorts!AA89,IF(OR($BB$6="O1",$BB$6="O2"),Sorts!AA151,""))</f>
        <v>X</v>
      </c>
      <c r="GT18" s="58" t="str">
        <f>IF(OR($AV$6="O1",$AV$6="O2",$AV$6="O3"),Sorts!AB89,IF(OR($BB$6="O1",$BB$6="O2"),Sorts!AB151,""))</f>
        <v>X</v>
      </c>
      <c r="GU18" s="60"/>
      <c r="GW18" s="56">
        <v>15</v>
      </c>
      <c r="GX18" s="754"/>
      <c r="GY18" s="754"/>
      <c r="GZ18" s="754"/>
      <c r="HA18" s="754"/>
      <c r="HB18" s="754"/>
      <c r="HC18" s="754"/>
      <c r="HD18" s="754"/>
      <c r="HE18" s="754"/>
      <c r="HF18" s="754"/>
      <c r="HG18" s="754"/>
      <c r="HH18" s="754"/>
      <c r="HI18" s="754"/>
      <c r="HJ18" s="755"/>
      <c r="HK18" s="756"/>
      <c r="HL18" s="747"/>
      <c r="HM18" s="748"/>
      <c r="HN18" s="748"/>
      <c r="HO18" s="748"/>
      <c r="HP18" s="748"/>
      <c r="HQ18" s="748"/>
      <c r="HR18" s="748"/>
      <c r="HS18" s="57"/>
      <c r="HT18" s="57"/>
      <c r="HU18" s="58"/>
      <c r="HV18" s="57"/>
      <c r="HW18" s="757" t="s">
        <v>1204</v>
      </c>
      <c r="HX18" s="747"/>
      <c r="HY18" s="57">
        <v>15</v>
      </c>
      <c r="HZ18" s="758" t="str">
        <f>IF(OR($AV$6="O1",$AV$6="O2",$AV$6="O3"),Sorts!AI89,IF(OR($BB$6="O1",$BB$6="O2"),Sorts!AI151,""))</f>
        <v>Invocation de Monstre IV</v>
      </c>
      <c r="IA18" s="744"/>
      <c r="IB18" s="744"/>
      <c r="IC18" s="744"/>
      <c r="ID18" s="744"/>
      <c r="IE18" s="744"/>
      <c r="IF18" s="744"/>
      <c r="IG18" s="744"/>
      <c r="IH18" s="744"/>
      <c r="II18" s="744"/>
      <c r="IJ18" s="744"/>
      <c r="IK18" s="744"/>
      <c r="IL18" s="744"/>
      <c r="IM18" s="744">
        <v>0</v>
      </c>
      <c r="IN18" s="745"/>
      <c r="IO18" s="746" t="str">
        <f>IF(OR($AV$6="O1",$AV$6="O2",$AV$6="O3"),Sorts!AJ89,IF(OR($BB$6="O1",$BB$6="O2"),Sorts!AJ151,""))</f>
        <v>6''</v>
      </c>
      <c r="IP18" s="747"/>
      <c r="IQ18" s="748" t="str">
        <f>IF(OR($AV$6="O1",$AV$6="O2",$AV$6="O3"),Sorts!AK89,IF(OR($BB$6="O1",$BB$6="O2"),Sorts!AK151,""))</f>
        <v>5r+1/n</v>
      </c>
      <c r="IR18" s="748"/>
      <c r="IS18" s="748"/>
      <c r="IT18" s="57" t="str">
        <f>IF(OR($AV$6="O1",$AV$6="O2",$AV$6="O3"),Sorts!AL89,IF(OR($BB$6="O1",$BB$6="O2"),Sorts!AL151,""))</f>
        <v>X</v>
      </c>
      <c r="IU18" s="57" t="str">
        <f>IF(OR($AV$6="O1",$AV$6="O2",$AV$6="O3"),Sorts!AM89,IF(OR($BB$6="O1",$BB$6="O2"),Sorts!AM151,""))</f>
        <v>X</v>
      </c>
      <c r="IV18" s="58" t="str">
        <f>IF(OR($AV$6="O1",$AV$6="O2",$AV$6="O3"),Sorts!AN89,IF(OR($BB$6="O1",$BB$6="O2"),Sorts!AN151,""))</f>
        <v>X</v>
      </c>
      <c r="IW18" s="60"/>
      <c r="IY18" s="384"/>
      <c r="IZ18" s="762"/>
      <c r="JA18" s="762"/>
      <c r="JB18" s="762"/>
      <c r="JC18" s="762"/>
      <c r="JD18" s="762"/>
      <c r="JE18" s="762"/>
      <c r="JF18" s="762"/>
      <c r="JG18" s="762"/>
      <c r="JH18" s="762"/>
      <c r="JI18" s="762"/>
      <c r="JJ18" s="762"/>
      <c r="JK18" s="762"/>
      <c r="JL18" s="763"/>
      <c r="JM18" s="759"/>
      <c r="JN18" s="760"/>
      <c r="JO18" s="761"/>
      <c r="JP18" s="761"/>
      <c r="JQ18" s="761"/>
      <c r="JR18" s="761"/>
      <c r="JS18" s="761"/>
      <c r="JT18" s="761"/>
      <c r="JU18" s="385"/>
      <c r="JV18" s="385"/>
      <c r="JW18" s="386"/>
      <c r="JX18" s="385"/>
      <c r="JY18" s="757" t="s">
        <v>1204</v>
      </c>
      <c r="JZ18" s="747"/>
      <c r="KA18" s="57">
        <v>15</v>
      </c>
      <c r="KB18" s="746" t="str">
        <f>IF(OR($AV$6="O1",$AV$6="O2",$AV$6="O3"),Sorts!AU89,IF(OR($BB$6="O1",$BB$6="O2"),Sorts!AU151,""))</f>
        <v>Poing de Bigby</v>
      </c>
      <c r="KC18" s="754"/>
      <c r="KD18" s="754"/>
      <c r="KE18" s="754"/>
      <c r="KF18" s="754"/>
      <c r="KG18" s="754"/>
      <c r="KH18" s="754"/>
      <c r="KI18" s="754"/>
      <c r="KJ18" s="754"/>
      <c r="KK18" s="754"/>
      <c r="KL18" s="754"/>
      <c r="KM18" s="754"/>
      <c r="KN18" s="755"/>
      <c r="KO18" s="744">
        <v>0</v>
      </c>
      <c r="KP18" s="745"/>
      <c r="KQ18" s="746" t="str">
        <f>IF(OR($AV$6="O1",$AV$6="O2",$AV$6="O3"),Sorts!AV89,IF(OR($BB$6="O1",$BB$6="O2"),Sorts!AV151,""))</f>
        <v>0,5''/n</v>
      </c>
      <c r="KR18" s="747"/>
      <c r="KS18" s="748" t="str">
        <f>IF(OR($AV$6="O1",$AV$6="O2",$AV$6="O3"),Sorts!AW89,IF(OR($BB$6="O1",$BB$6="O2"),Sorts!AW151,""))</f>
        <v>1r/n</v>
      </c>
      <c r="KT18" s="748"/>
      <c r="KU18" s="748"/>
      <c r="KV18" s="57" t="str">
        <f>IF(OR($AV$6="O1",$AV$6="O2",$AV$6="O3"),Sorts!AX89,IF(OR($BB$6="O1",$BB$6="O2"),Sorts!AX151,""))</f>
        <v>X</v>
      </c>
      <c r="KW18" s="57" t="str">
        <f>IF(OR($AV$6="O1",$AV$6="O2",$AV$6="O3"),Sorts!AY89,IF(OR($BB$6="O1",$BB$6="O2"),Sorts!AY151,""))</f>
        <v>X</v>
      </c>
      <c r="KX18" s="58" t="str">
        <f>IF(OR($AV$6="O1",$AV$6="O2",$AV$6="O3"),Sorts!AZ89,IF(OR($BB$6="O1",$BB$6="O2"),Sorts!AZ151,""))</f>
        <v>X</v>
      </c>
    </row>
    <row r="19" spans="2:310" ht="18" customHeight="1" thickTop="1" thickBot="1" x14ac:dyDescent="0.3">
      <c r="B19" s="728">
        <v>12</v>
      </c>
      <c r="C19" s="729"/>
      <c r="E19" s="732" t="s">
        <v>5</v>
      </c>
      <c r="F19" s="733"/>
      <c r="G19" s="734" t="s">
        <v>9</v>
      </c>
      <c r="H19" s="735"/>
      <c r="I19" s="736">
        <f>IF(OR(Classe1="GUERRIER",Classe2="GUERRIER",Classe1="RANGER",Classe2="RANGER",Classe1="PALADIN",Classe1="BARBARE",Classe1="CAVALIER",),VLOOKUP(CON,Caractéristiques!$B$214:$G$238,3,FALSE),VLOOKUP(CON,Caractéristiques!$B$214:$G$238,2,FALSE))</f>
        <v>0</v>
      </c>
      <c r="J19" s="737"/>
      <c r="K19" s="734" t="s">
        <v>55</v>
      </c>
      <c r="L19" s="735"/>
      <c r="M19" s="740">
        <f>VLOOKUP(CON,Caractéristiques!$B$214:$G$238,4,FALSE)</f>
        <v>0.8</v>
      </c>
      <c r="N19" s="741"/>
      <c r="O19" s="734" t="s">
        <v>57</v>
      </c>
      <c r="P19" s="735"/>
      <c r="Q19" s="827">
        <f>VLOOKUP(CON,Caractéristiques!$B$214:$G$238,5,FALSE)</f>
        <v>0.85</v>
      </c>
      <c r="R19" s="828"/>
      <c r="S19" s="905" t="s">
        <v>1858</v>
      </c>
      <c r="T19" s="906"/>
      <c r="U19" s="736">
        <f>VLOOKUP(CON,Caractéristiques!$B$214:$G$238,6,FALSE)</f>
        <v>0</v>
      </c>
      <c r="V19" s="737"/>
      <c r="Z19" s="653" t="s">
        <v>1704</v>
      </c>
      <c r="AA19" s="654"/>
      <c r="AB19" s="699">
        <v>45</v>
      </c>
      <c r="AC19" s="700"/>
      <c r="AD19" s="701"/>
      <c r="AE19" s="256"/>
      <c r="AF19" s="11"/>
      <c r="AG19" s="12"/>
      <c r="AH19" s="708">
        <f>IF(Classe2="/","/",AH18-AK18)</f>
        <v>972</v>
      </c>
      <c r="AI19" s="708"/>
      <c r="AJ19" s="709"/>
      <c r="AK19" s="650"/>
      <c r="AL19" s="651"/>
      <c r="AM19" s="652"/>
      <c r="AN19" s="841"/>
      <c r="AO19" s="842"/>
      <c r="AQ19" s="56">
        <v>10</v>
      </c>
      <c r="AR19" s="754" t="str">
        <f>IF($AV$4="O",Sorts!E13,IF($BB$4="O",Sorts!E37,""))</f>
        <v/>
      </c>
      <c r="AS19" s="754"/>
      <c r="AT19" s="754"/>
      <c r="AU19" s="754"/>
      <c r="AV19" s="754"/>
      <c r="AW19" s="754"/>
      <c r="AX19" s="754"/>
      <c r="AY19" s="754"/>
      <c r="AZ19" s="754"/>
      <c r="BA19" s="754"/>
      <c r="BB19" s="754"/>
      <c r="BC19" s="754"/>
      <c r="BD19" s="755"/>
      <c r="BE19" s="756">
        <v>0</v>
      </c>
      <c r="BF19" s="754"/>
      <c r="BG19" s="748" t="str">
        <f>IF($AV$4="O",Sorts!F13,IF($BB$4="O",Sorts!F37,""))</f>
        <v/>
      </c>
      <c r="BH19" s="748"/>
      <c r="BI19" s="748"/>
      <c r="BJ19" s="748" t="str">
        <f>IF($AV$4="O",Sorts!G13,IF($BB$4="O",Sorts!G37,""))</f>
        <v/>
      </c>
      <c r="BK19" s="748"/>
      <c r="BL19" s="748"/>
      <c r="BM19" s="57" t="str">
        <f>IF($AV$4="O",Sorts!H13,IF($BB$4="O",Sorts!H37,""))</f>
        <v/>
      </c>
      <c r="BN19" s="57" t="str">
        <f>IF($AV$4="O",Sorts!I13,IF($BB$4="O",Sorts!I37,""))</f>
        <v/>
      </c>
      <c r="BO19" s="369" t="str">
        <f>IF($AV$4="O",Sorts!J13,IF($BB$4="O",Sorts!J37,""))</f>
        <v/>
      </c>
      <c r="BP19" s="366"/>
      <c r="BQ19" s="757" t="s">
        <v>1204</v>
      </c>
      <c r="BR19" s="747"/>
      <c r="BS19" s="57">
        <v>10</v>
      </c>
      <c r="BT19" s="758" t="str">
        <f>IF(OR($AV$6="O1",$AV$6="O2",$AV$6="O3"),Sorts!E84,IF(OR($BB$6="O1",$BB$6="O2"),Sorts!E146,""))</f>
        <v>Compréhension des Langues</v>
      </c>
      <c r="BU19" s="744"/>
      <c r="BV19" s="744"/>
      <c r="BW19" s="744"/>
      <c r="BX19" s="744"/>
      <c r="BY19" s="744"/>
      <c r="BZ19" s="744"/>
      <c r="CA19" s="744"/>
      <c r="CB19" s="744"/>
      <c r="CC19" s="744"/>
      <c r="CD19" s="744"/>
      <c r="CE19" s="744"/>
      <c r="CF19" s="744"/>
      <c r="CG19" s="744">
        <v>0</v>
      </c>
      <c r="CH19" s="745"/>
      <c r="CI19" s="746" t="str">
        <f>IF(OR($AV$6="O1",$AV$6="O2",$AV$6="O3"),Sorts!F84,IF(OR($BB$6="O1",$BB$6="O2"),Sorts!F146,""))</f>
        <v>T</v>
      </c>
      <c r="CJ19" s="747"/>
      <c r="CK19" s="748" t="str">
        <f>IF(OR($AV$6="O1",$AV$6="O2",$AV$6="O3"),Sorts!G84,IF(OR($BB$6="O1",$BB$6="O2"),Sorts!G146,""))</f>
        <v>5r/n</v>
      </c>
      <c r="CL19" s="748"/>
      <c r="CM19" s="748"/>
      <c r="CN19" s="57" t="str">
        <f>IF(OR($AV$6="O1",$AV$6="O2",$AV$6="O3"),Sorts!H84,IF(OR($BB$6="O1",$BB$6="O2"),Sorts!H146,""))</f>
        <v>X</v>
      </c>
      <c r="CO19" s="57" t="str">
        <f>IF(OR($AV$6="O1",$AV$6="O2",$AV$6="O3"),Sorts!I84,IF(OR($BB$6="O1",$BB$6="O2"),Sorts!I146,""))</f>
        <v>X</v>
      </c>
      <c r="CP19" s="58" t="str">
        <f>IF(OR($AV$6="O1",$AV$6="O2",$AV$6="O3"),Sorts!J84,IF(OR($BB$6="O1",$BB$6="O2"),Sorts!J146,""))</f>
        <v>X</v>
      </c>
      <c r="CQ19" s="60"/>
      <c r="CS19" s="56">
        <v>16</v>
      </c>
      <c r="CT19" s="754" t="str">
        <f>IF($AV$4="O",Sorts!K19,IF($BB$4="O",Sorts!K43,""))</f>
        <v/>
      </c>
      <c r="CU19" s="754"/>
      <c r="CV19" s="754"/>
      <c r="CW19" s="754"/>
      <c r="CX19" s="754"/>
      <c r="CY19" s="754"/>
      <c r="CZ19" s="754"/>
      <c r="DA19" s="754"/>
      <c r="DB19" s="754"/>
      <c r="DC19" s="754"/>
      <c r="DD19" s="754"/>
      <c r="DE19" s="754"/>
      <c r="DF19" s="755"/>
      <c r="DG19" s="756">
        <v>0</v>
      </c>
      <c r="DH19" s="747"/>
      <c r="DI19" s="748" t="str">
        <f>IF($AV$4="O",Sorts!L19,IF($BB$4="O",Sorts!L43,""))</f>
        <v/>
      </c>
      <c r="DJ19" s="748"/>
      <c r="DK19" s="748"/>
      <c r="DL19" s="748" t="str">
        <f>IF($AV$4="O",Sorts!M19,IF($BB$4="O",Sorts!M43,""))</f>
        <v/>
      </c>
      <c r="DM19" s="748"/>
      <c r="DN19" s="748"/>
      <c r="DO19" s="57" t="str">
        <f>IF($AV$4="O",Sorts!N19,IF($BB$4="O",Sorts!N43,""))</f>
        <v/>
      </c>
      <c r="DP19" s="57" t="str">
        <f>IF($AV$4="O",Sorts!O19,IF($BB$4="O",Sorts!O43,""))</f>
        <v/>
      </c>
      <c r="DQ19" s="58" t="str">
        <f>IF($AV$4="O",Sorts!P19,IF($BB$4="O",Sorts!P43,""))</f>
        <v/>
      </c>
      <c r="DR19" s="57"/>
      <c r="DS19" s="757" t="s">
        <v>1204</v>
      </c>
      <c r="DT19" s="747"/>
      <c r="DU19" s="57">
        <v>16</v>
      </c>
      <c r="DV19" s="758" t="str">
        <f>IF(OR($AV$6="O1",$AV$6="O2",$AV$6="O3"),Sorts!K90,IF(OR($BB$6="O1",$BB$6="O2"),Sorts!K152,""))</f>
        <v>Localisation d’Objets</v>
      </c>
      <c r="DW19" s="744"/>
      <c r="DX19" s="744"/>
      <c r="DY19" s="744"/>
      <c r="DZ19" s="744"/>
      <c r="EA19" s="744"/>
      <c r="EB19" s="744"/>
      <c r="EC19" s="744"/>
      <c r="ED19" s="744"/>
      <c r="EE19" s="744"/>
      <c r="EF19" s="744"/>
      <c r="EG19" s="744"/>
      <c r="EH19" s="744"/>
      <c r="EI19" s="744">
        <v>0</v>
      </c>
      <c r="EJ19" s="745"/>
      <c r="EK19" s="746" t="str">
        <f>IF(OR($AV$6="O1",$AV$6="O2",$AV$6="O3"),Sorts!L90,IF(OR($BB$6="O1",$BB$6="O2"),Sorts!L152,""))</f>
        <v>2''/n</v>
      </c>
      <c r="EL19" s="747"/>
      <c r="EM19" s="748" t="str">
        <f>IF(OR($AV$6="O1",$AV$6="O2",$AV$6="O3"),Sorts!M90,IF(OR($BB$6="O1",$BB$6="O2"),Sorts!M152,""))</f>
        <v>1r/n</v>
      </c>
      <c r="EN19" s="748"/>
      <c r="EO19" s="748"/>
      <c r="EP19" s="57" t="str">
        <f>IF(OR($AV$6="O1",$AV$6="O2",$AV$6="O3"),Sorts!N90,IF(OR($BB$6="O1",$BB$6="O2"),Sorts!N152,""))</f>
        <v>X</v>
      </c>
      <c r="EQ19" s="57" t="str">
        <f>IF(OR($AV$6="O1",$AV$6="O2",$AV$6="O3"),Sorts!O90,IF(OR($BB$6="O1",$BB$6="O2"),Sorts!O152,""))</f>
        <v>X</v>
      </c>
      <c r="ER19" s="58" t="str">
        <f>IF(OR($AV$6="O1",$AV$6="O2",$AV$6="O3"),Sorts!P90,IF(OR($BB$6="O1",$BB$6="O2"),Sorts!P152,""))</f>
        <v>X</v>
      </c>
      <c r="ES19" s="60"/>
      <c r="EU19" s="56">
        <v>16</v>
      </c>
      <c r="EV19" s="754" t="str">
        <f>IF($AV$4="O",Sorts!W19,IF($BB$4="O",Sorts!W43,""))</f>
        <v/>
      </c>
      <c r="EW19" s="754"/>
      <c r="EX19" s="754"/>
      <c r="EY19" s="754"/>
      <c r="EZ19" s="754"/>
      <c r="FA19" s="754"/>
      <c r="FB19" s="754"/>
      <c r="FC19" s="754"/>
      <c r="FD19" s="754"/>
      <c r="FE19" s="754"/>
      <c r="FF19" s="754"/>
      <c r="FG19" s="754"/>
      <c r="FH19" s="755"/>
      <c r="FI19" s="756">
        <v>0</v>
      </c>
      <c r="FJ19" s="747"/>
      <c r="FK19" s="748" t="str">
        <f>IF($AV$4="O",Sorts!X19,IF($BB$4="O",Sorts!X43,""))</f>
        <v/>
      </c>
      <c r="FL19" s="748"/>
      <c r="FM19" s="748"/>
      <c r="FN19" s="746" t="str">
        <f>IF($AV$4="O",Sorts!Y19,IF($BB$4="O",Sorts!Y43,""))</f>
        <v/>
      </c>
      <c r="FO19" s="754"/>
      <c r="FP19" s="747"/>
      <c r="FQ19" s="57" t="str">
        <f>IF($AV$4="O",Sorts!Z19,IF($BB$4="O",Sorts!Z43,""))</f>
        <v/>
      </c>
      <c r="FR19" s="57" t="str">
        <f>IF($AV$4="O",Sorts!AA19,IF($BB$4="O",Sorts!AA43,""))</f>
        <v/>
      </c>
      <c r="FS19" s="58" t="str">
        <f>IF($AV$4="O",Sorts!AB19,IF($BB$4="O",Sorts!AB43,""))</f>
        <v/>
      </c>
      <c r="FT19" s="57"/>
      <c r="FU19" s="757" t="s">
        <v>1204</v>
      </c>
      <c r="FV19" s="747"/>
      <c r="FW19" s="57">
        <v>16</v>
      </c>
      <c r="FX19" s="758" t="str">
        <f>IF(OR($AV$6="O1",$AV$6="O2",$AV$6="O3"),Sorts!W90,IF(OR($BB$6="O1",$BB$6="O2"),Sorts!W152,""))</f>
        <v>Globe Mineur d’Invulnérabilité</v>
      </c>
      <c r="FY19" s="744"/>
      <c r="FZ19" s="744"/>
      <c r="GA19" s="744"/>
      <c r="GB19" s="744"/>
      <c r="GC19" s="744"/>
      <c r="GD19" s="744"/>
      <c r="GE19" s="744"/>
      <c r="GF19" s="744"/>
      <c r="GG19" s="744"/>
      <c r="GH19" s="744"/>
      <c r="GI19" s="744"/>
      <c r="GJ19" s="744"/>
      <c r="GK19" s="744">
        <v>0</v>
      </c>
      <c r="GL19" s="745"/>
      <c r="GM19" s="746">
        <f>IF(OR($AV$6="O1",$AV$6="O2",$AV$6="O3"),Sorts!X90,IF(OR($BB$6="O1",$BB$6="O2"),Sorts!X152,""))</f>
        <v>0</v>
      </c>
      <c r="GN19" s="747"/>
      <c r="GO19" s="748" t="str">
        <f>IF(OR($AV$6="O1",$AV$6="O2",$AV$6="O3"),Sorts!Y90,IF(OR($BB$6="O1",$BB$6="O2"),Sorts!Y152,""))</f>
        <v>1r/n</v>
      </c>
      <c r="GP19" s="748"/>
      <c r="GQ19" s="748"/>
      <c r="GR19" s="57" t="str">
        <f>IF(OR($AV$6="O1",$AV$6="O2",$AV$6="O3"),Sorts!Z90,IF(OR($BB$6="O1",$BB$6="O2"),Sorts!Z152,""))</f>
        <v>X</v>
      </c>
      <c r="GS19" s="57" t="str">
        <f>IF(OR($AV$6="O1",$AV$6="O2",$AV$6="O3"),Sorts!AA90,IF(OR($BB$6="O1",$BB$6="O2"),Sorts!AA152,""))</f>
        <v>X</v>
      </c>
      <c r="GT19" s="58" t="str">
        <f>IF(OR($AV$6="O1",$AV$6="O2",$AV$6="O3"),Sorts!AB90,IF(OR($BB$6="O1",$BB$6="O2"),Sorts!AB152,""))</f>
        <v>X</v>
      </c>
      <c r="GU19" s="60"/>
      <c r="GW19" s="56">
        <v>16</v>
      </c>
      <c r="GX19" s="754"/>
      <c r="GY19" s="754"/>
      <c r="GZ19" s="754"/>
      <c r="HA19" s="754"/>
      <c r="HB19" s="754"/>
      <c r="HC19" s="754"/>
      <c r="HD19" s="754"/>
      <c r="HE19" s="754"/>
      <c r="HF19" s="754"/>
      <c r="HG19" s="754"/>
      <c r="HH19" s="754"/>
      <c r="HI19" s="754"/>
      <c r="HJ19" s="755"/>
      <c r="HK19" s="756"/>
      <c r="HL19" s="747"/>
      <c r="HM19" s="748"/>
      <c r="HN19" s="748"/>
      <c r="HO19" s="748"/>
      <c r="HP19" s="748"/>
      <c r="HQ19" s="748"/>
      <c r="HR19" s="748"/>
      <c r="HS19" s="57"/>
      <c r="HT19" s="57"/>
      <c r="HU19" s="58"/>
      <c r="HV19" s="57"/>
      <c r="HW19" s="757" t="s">
        <v>1204</v>
      </c>
      <c r="HX19" s="747"/>
      <c r="HY19" s="57">
        <v>16</v>
      </c>
      <c r="HZ19" s="758" t="str">
        <f>IF(OR($AV$6="O1",$AV$6="O2",$AV$6="O3"),Sorts!AI90,IF(OR($BB$6="O1",$BB$6="O2"),Sorts!AI152,""))</f>
        <v>Main de Force de Bigby</v>
      </c>
      <c r="IA19" s="744"/>
      <c r="IB19" s="744"/>
      <c r="IC19" s="744"/>
      <c r="ID19" s="744"/>
      <c r="IE19" s="744"/>
      <c r="IF19" s="744"/>
      <c r="IG19" s="744"/>
      <c r="IH19" s="744"/>
      <c r="II19" s="744"/>
      <c r="IJ19" s="744"/>
      <c r="IK19" s="744"/>
      <c r="IL19" s="744"/>
      <c r="IM19" s="744">
        <v>0</v>
      </c>
      <c r="IN19" s="745"/>
      <c r="IO19" s="746" t="str">
        <f>IF(OR($AV$6="O1",$AV$6="O2",$AV$6="O3"),Sorts!AJ90,IF(OR($BB$6="O1",$BB$6="O2"),Sorts!AJ152,""))</f>
        <v>1''/n</v>
      </c>
      <c r="IP19" s="747"/>
      <c r="IQ19" s="748" t="str">
        <f>IF(OR($AV$6="O1",$AV$6="O2",$AV$6="O3"),Sorts!AK90,IF(OR($BB$6="O1",$BB$6="O2"),Sorts!AK152,""))</f>
        <v>1r/n</v>
      </c>
      <c r="IR19" s="748"/>
      <c r="IS19" s="748"/>
      <c r="IT19" s="57" t="str">
        <f>IF(OR($AV$6="O1",$AV$6="O2",$AV$6="O3"),Sorts!AL90,IF(OR($BB$6="O1",$BB$6="O2"),Sorts!AL152,""))</f>
        <v>X</v>
      </c>
      <c r="IU19" s="57" t="str">
        <f>IF(OR($AV$6="O1",$AV$6="O2",$AV$6="O3"),Sorts!AM90,IF(OR($BB$6="O1",$BB$6="O2"),Sorts!AM152,""))</f>
        <v>X</v>
      </c>
      <c r="IV19" s="58" t="str">
        <f>IF(OR($AV$6="O1",$AV$6="O2",$AV$6="O3"),Sorts!AN90,IF(OR($BB$6="O1",$BB$6="O2"),Sorts!AN152,""))</f>
        <v>X</v>
      </c>
      <c r="IW19" s="60"/>
      <c r="IY19" s="384"/>
      <c r="IZ19" s="762"/>
      <c r="JA19" s="762"/>
      <c r="JB19" s="762"/>
      <c r="JC19" s="762"/>
      <c r="JD19" s="762"/>
      <c r="JE19" s="762"/>
      <c r="JF19" s="762"/>
      <c r="JG19" s="762"/>
      <c r="JH19" s="762"/>
      <c r="JI19" s="762"/>
      <c r="JJ19" s="762"/>
      <c r="JK19" s="762"/>
      <c r="JL19" s="763"/>
      <c r="JM19" s="759"/>
      <c r="JN19" s="760"/>
      <c r="JO19" s="761"/>
      <c r="JP19" s="761"/>
      <c r="JQ19" s="761"/>
      <c r="JR19" s="761"/>
      <c r="JS19" s="761"/>
      <c r="JT19" s="761"/>
      <c r="JU19" s="385"/>
      <c r="JV19" s="385"/>
      <c r="JW19" s="386"/>
      <c r="JX19" s="385"/>
      <c r="JY19" s="757" t="s">
        <v>1204</v>
      </c>
      <c r="JZ19" s="747"/>
      <c r="KA19" s="57">
        <v>16</v>
      </c>
      <c r="KB19" s="746" t="str">
        <f>IF(OR($AV$6="O1",$AV$6="O2",$AV$6="O3"),Sorts!AU90,IF(OR($BB$6="O1",$BB$6="O2"),Sorts!AU152,""))</f>
        <v>Protection d’Esprit</v>
      </c>
      <c r="KC19" s="754"/>
      <c r="KD19" s="754"/>
      <c r="KE19" s="754"/>
      <c r="KF19" s="754"/>
      <c r="KG19" s="754"/>
      <c r="KH19" s="754"/>
      <c r="KI19" s="754"/>
      <c r="KJ19" s="754"/>
      <c r="KK19" s="754"/>
      <c r="KL19" s="754"/>
      <c r="KM19" s="754"/>
      <c r="KN19" s="755"/>
      <c r="KO19" s="744">
        <v>0</v>
      </c>
      <c r="KP19" s="745"/>
      <c r="KQ19" s="746" t="str">
        <f>IF(OR($AV$6="O1",$AV$6="O2",$AV$6="O3"),Sorts!AV90,IF(OR($BB$6="O1",$BB$6="O2"),Sorts!AV152,""))</f>
        <v>3''</v>
      </c>
      <c r="KR19" s="747"/>
      <c r="KS19" s="748" t="str">
        <f>IF(OR($AV$6="O1",$AV$6="O2",$AV$6="O3"),Sorts!AW90,IF(OR($BB$6="O1",$BB$6="O2"),Sorts!AW152,""))</f>
        <v>1j</v>
      </c>
      <c r="KT19" s="748"/>
      <c r="KU19" s="748"/>
      <c r="KV19" s="57" t="str">
        <f>IF(OR($AV$6="O1",$AV$6="O2",$AV$6="O3"),Sorts!AX90,IF(OR($BB$6="O1",$BB$6="O2"),Sorts!AX152,""))</f>
        <v>X</v>
      </c>
      <c r="KW19" s="57" t="str">
        <f>IF(OR($AV$6="O1",$AV$6="O2",$AV$6="O3"),Sorts!AY90,IF(OR($BB$6="O1",$BB$6="O2"),Sorts!AY152,""))</f>
        <v>X</v>
      </c>
      <c r="KX19" s="58" t="str">
        <f>IF(OR($AV$6="O1",$AV$6="O2",$AV$6="O3"),Sorts!AZ90,IF(OR($BB$6="O1",$BB$6="O2"),Sorts!AZ152,""))</f>
        <v>/</v>
      </c>
    </row>
    <row r="20" spans="2:310" ht="18" customHeight="1" thickBot="1" x14ac:dyDescent="0.3">
      <c r="B20" s="730"/>
      <c r="C20" s="731"/>
      <c r="E20" s="732"/>
      <c r="F20" s="733"/>
      <c r="G20" s="831" t="s">
        <v>1426</v>
      </c>
      <c r="H20" s="832"/>
      <c r="I20" s="738"/>
      <c r="J20" s="739"/>
      <c r="K20" s="831" t="s">
        <v>56</v>
      </c>
      <c r="L20" s="832"/>
      <c r="M20" s="742"/>
      <c r="N20" s="743"/>
      <c r="O20" s="831" t="s">
        <v>1428</v>
      </c>
      <c r="P20" s="832"/>
      <c r="Q20" s="829"/>
      <c r="R20" s="830"/>
      <c r="S20" s="907"/>
      <c r="T20" s="908"/>
      <c r="U20" s="738"/>
      <c r="V20" s="739"/>
      <c r="Z20" s="653"/>
      <c r="AA20" s="654"/>
      <c r="AB20" s="702"/>
      <c r="AC20" s="703"/>
      <c r="AD20" s="704"/>
      <c r="AE20" s="66"/>
      <c r="AF20" s="724" t="str">
        <f>IF(VLOOKUP(Code_Classe,Classe!C4:F40,4,FALSE)&lt;&gt;0,VLOOKUP(Code_Classe,Classe!C4:F40,4,FALSE),"/")</f>
        <v>/</v>
      </c>
      <c r="AG20" s="725"/>
      <c r="AH20" s="726"/>
      <c r="AK20" s="9"/>
      <c r="AL20" s="9"/>
      <c r="AM20" s="9"/>
      <c r="AN20" s="246"/>
      <c r="AO20" s="418"/>
      <c r="AQ20" s="56">
        <v>11</v>
      </c>
      <c r="AR20" s="754" t="str">
        <f>IF($AV$4="O",Sorts!E14,IF($BB$4="O",Sorts!E38,""))</f>
        <v/>
      </c>
      <c r="AS20" s="754"/>
      <c r="AT20" s="754"/>
      <c r="AU20" s="754"/>
      <c r="AV20" s="754"/>
      <c r="AW20" s="754"/>
      <c r="AX20" s="754"/>
      <c r="AY20" s="754"/>
      <c r="AZ20" s="754"/>
      <c r="BA20" s="754"/>
      <c r="BB20" s="754"/>
      <c r="BC20" s="754"/>
      <c r="BD20" s="755"/>
      <c r="BE20" s="756">
        <v>0</v>
      </c>
      <c r="BF20" s="754"/>
      <c r="BG20" s="748" t="str">
        <f>IF($AV$4="O",Sorts!F14,IF($BB$4="O",Sorts!F38,""))</f>
        <v/>
      </c>
      <c r="BH20" s="748"/>
      <c r="BI20" s="748"/>
      <c r="BJ20" s="748" t="str">
        <f>IF($AV$4="O",Sorts!G14,IF($BB$4="O",Sorts!G38,""))</f>
        <v/>
      </c>
      <c r="BK20" s="748"/>
      <c r="BL20" s="748"/>
      <c r="BM20" s="57" t="str">
        <f>IF($AV$4="O",Sorts!H14,IF($BB$4="O",Sorts!H38,""))</f>
        <v/>
      </c>
      <c r="BN20" s="57" t="str">
        <f>IF($AV$4="O",Sorts!I14,IF($BB$4="O",Sorts!I38,""))</f>
        <v/>
      </c>
      <c r="BO20" s="369" t="str">
        <f>IF($AV$4="O",Sorts!J14,IF($BB$4="O",Sorts!J38,""))</f>
        <v/>
      </c>
      <c r="BP20" s="366"/>
      <c r="BQ20" s="757" t="s">
        <v>1204</v>
      </c>
      <c r="BR20" s="747"/>
      <c r="BS20" s="57">
        <v>11</v>
      </c>
      <c r="BT20" s="758" t="str">
        <f>IF(OR($AV$6="O1",$AV$6="O2",$AV$6="O3"),Sorts!E85,IF(OR($BB$6="O1",$BB$6="O2"),Sorts!E147,""))</f>
        <v>Course</v>
      </c>
      <c r="BU20" s="744"/>
      <c r="BV20" s="744"/>
      <c r="BW20" s="744"/>
      <c r="BX20" s="744"/>
      <c r="BY20" s="744"/>
      <c r="BZ20" s="744"/>
      <c r="CA20" s="744"/>
      <c r="CB20" s="744"/>
      <c r="CC20" s="744"/>
      <c r="CD20" s="744"/>
      <c r="CE20" s="744"/>
      <c r="CF20" s="744"/>
      <c r="CG20" s="744">
        <v>0</v>
      </c>
      <c r="CH20" s="745"/>
      <c r="CI20" s="746" t="str">
        <f>IF(OR($AV$6="O1",$AV$6="O2",$AV$6="O3"),Sorts!F85,IF(OR($BB$6="O1",$BB$6="O2"),Sorts!F147,""))</f>
        <v>T</v>
      </c>
      <c r="CJ20" s="747"/>
      <c r="CK20" s="748" t="str">
        <f>IF(OR($AV$6="O1",$AV$6="O2",$AV$6="O3"),Sorts!G85,IF(OR($BB$6="O1",$BB$6="O2"),Sorts!G147,""))</f>
        <v>5-8h</v>
      </c>
      <c r="CL20" s="748"/>
      <c r="CM20" s="748"/>
      <c r="CN20" s="57" t="str">
        <f>IF(OR($AV$6="O1",$AV$6="O2",$AV$6="O3"),Sorts!H85,IF(OR($BB$6="O1",$BB$6="O2"),Sorts!H147,""))</f>
        <v>X</v>
      </c>
      <c r="CO20" s="57" t="str">
        <f>IF(OR($AV$6="O1",$AV$6="O2",$AV$6="O3"),Sorts!I85,IF(OR($BB$6="O1",$BB$6="O2"),Sorts!I147,""))</f>
        <v>X</v>
      </c>
      <c r="CP20" s="58" t="str">
        <f>IF(OR($AV$6="O1",$AV$6="O2",$AV$6="O3"),Sorts!J85,IF(OR($BB$6="O1",$BB$6="O2"),Sorts!J147,""))</f>
        <v>X</v>
      </c>
      <c r="CQ20" s="25"/>
      <c r="CS20" s="56">
        <v>17</v>
      </c>
      <c r="CT20" s="754" t="str">
        <f>IF($AV$4="O",Sorts!K20,IF($BB$4="O",Sorts!K44,""))</f>
        <v/>
      </c>
      <c r="CU20" s="754"/>
      <c r="CV20" s="754"/>
      <c r="CW20" s="754"/>
      <c r="CX20" s="754"/>
      <c r="CY20" s="754"/>
      <c r="CZ20" s="754"/>
      <c r="DA20" s="754"/>
      <c r="DB20" s="754"/>
      <c r="DC20" s="754"/>
      <c r="DD20" s="754"/>
      <c r="DE20" s="754"/>
      <c r="DF20" s="755"/>
      <c r="DG20" s="756">
        <v>0</v>
      </c>
      <c r="DH20" s="747"/>
      <c r="DI20" s="748" t="str">
        <f>IF($AV$4="O",Sorts!L20,IF($BB$4="O",Sorts!L44,""))</f>
        <v/>
      </c>
      <c r="DJ20" s="748"/>
      <c r="DK20" s="748"/>
      <c r="DL20" s="748" t="str">
        <f>IF($AV$4="O",Sorts!M20,IF($BB$4="O",Sorts!M44,""))</f>
        <v/>
      </c>
      <c r="DM20" s="748"/>
      <c r="DN20" s="748"/>
      <c r="DO20" s="57" t="str">
        <f>IF($AV$4="O",Sorts!N20,IF($BB$4="O",Sorts!N44,""))</f>
        <v/>
      </c>
      <c r="DP20" s="57" t="str">
        <f>IF($AV$4="O",Sorts!O20,IF($BB$4="O",Sorts!O44,""))</f>
        <v/>
      </c>
      <c r="DQ20" s="58" t="str">
        <f>IF($AV$4="O",Sorts!P20,IF($BB$4="O",Sorts!P44,""))</f>
        <v/>
      </c>
      <c r="DR20" s="57"/>
      <c r="DS20" s="757" t="s">
        <v>1204</v>
      </c>
      <c r="DT20" s="747"/>
      <c r="DU20" s="57">
        <v>17</v>
      </c>
      <c r="DV20" s="758" t="str">
        <f>IF(OR($AV$6="O1",$AV$6="O2",$AV$6="O3"),Sorts!K91,IF(OR($BB$6="O1",$BB$6="O2"),Sorts!K153,""))</f>
        <v>Lumière Éternelle</v>
      </c>
      <c r="DW20" s="744"/>
      <c r="DX20" s="744"/>
      <c r="DY20" s="744"/>
      <c r="DZ20" s="744"/>
      <c r="EA20" s="744"/>
      <c r="EB20" s="744"/>
      <c r="EC20" s="744"/>
      <c r="ED20" s="744"/>
      <c r="EE20" s="744"/>
      <c r="EF20" s="744"/>
      <c r="EG20" s="744"/>
      <c r="EH20" s="744"/>
      <c r="EI20" s="744">
        <v>0</v>
      </c>
      <c r="EJ20" s="745"/>
      <c r="EK20" s="746" t="str">
        <f>IF(OR($AV$6="O1",$AV$6="O2",$AV$6="O3"),Sorts!L91,IF(OR($BB$6="O1",$BB$6="O2"),Sorts!L153,""))</f>
        <v>6''</v>
      </c>
      <c r="EL20" s="747"/>
      <c r="EM20" s="748" t="str">
        <f>IF(OR($AV$6="O1",$AV$6="O2",$AV$6="O3"),Sorts!M91,IF(OR($BB$6="O1",$BB$6="O2"),Sorts!M153,""))</f>
        <v>P</v>
      </c>
      <c r="EN20" s="748"/>
      <c r="EO20" s="748"/>
      <c r="EP20" s="57" t="str">
        <f>IF(OR($AV$6="O1",$AV$6="O2",$AV$6="O3"),Sorts!N91,IF(OR($BB$6="O1",$BB$6="O2"),Sorts!N153,""))</f>
        <v>X</v>
      </c>
      <c r="EQ20" s="57" t="str">
        <f>IF(OR($AV$6="O1",$AV$6="O2",$AV$6="O3"),Sorts!O91,IF(OR($BB$6="O1",$BB$6="O2"),Sorts!O153,""))</f>
        <v>X</v>
      </c>
      <c r="ER20" s="58" t="str">
        <f>IF(OR($AV$6="O1",$AV$6="O2",$AV$6="O3"),Sorts!P91,IF(OR($BB$6="O1",$BB$6="O2"),Sorts!P153,""))</f>
        <v>/</v>
      </c>
      <c r="ES20" s="25"/>
      <c r="EU20" s="56">
        <v>17</v>
      </c>
      <c r="EV20" s="754"/>
      <c r="EW20" s="754"/>
      <c r="EX20" s="754"/>
      <c r="EY20" s="754"/>
      <c r="EZ20" s="754"/>
      <c r="FA20" s="754"/>
      <c r="FB20" s="754"/>
      <c r="FC20" s="754"/>
      <c r="FD20" s="754"/>
      <c r="FE20" s="754"/>
      <c r="FF20" s="754"/>
      <c r="FG20" s="754"/>
      <c r="FH20" s="755"/>
      <c r="FI20" s="756"/>
      <c r="FJ20" s="747"/>
      <c r="FK20" s="748"/>
      <c r="FL20" s="748"/>
      <c r="FM20" s="748"/>
      <c r="FN20" s="748"/>
      <c r="FO20" s="748"/>
      <c r="FP20" s="748"/>
      <c r="FQ20" s="57"/>
      <c r="FR20" s="57"/>
      <c r="FS20" s="58"/>
      <c r="FT20" s="57"/>
      <c r="FU20" s="757" t="s">
        <v>1204</v>
      </c>
      <c r="FV20" s="747"/>
      <c r="FW20" s="57">
        <v>17</v>
      </c>
      <c r="FX20" s="758" t="str">
        <f>IF(OR($AV$6="O1",$AV$6="O2",$AV$6="O3"),Sorts!W91,IF(OR($BB$6="O1",$BB$6="O2"),Sorts!W153,""))</f>
        <v>Invocation de Monstre II</v>
      </c>
      <c r="FY20" s="744"/>
      <c r="FZ20" s="744"/>
      <c r="GA20" s="744"/>
      <c r="GB20" s="744"/>
      <c r="GC20" s="744"/>
      <c r="GD20" s="744"/>
      <c r="GE20" s="744"/>
      <c r="GF20" s="744"/>
      <c r="GG20" s="744"/>
      <c r="GH20" s="744"/>
      <c r="GI20" s="744"/>
      <c r="GJ20" s="744"/>
      <c r="GK20" s="744">
        <v>0</v>
      </c>
      <c r="GL20" s="745"/>
      <c r="GM20" s="746" t="str">
        <f>IF(OR($AV$6="O1",$AV$6="O2",$AV$6="O3"),Sorts!X91,IF(OR($BB$6="O1",$BB$6="O2"),Sorts!X153,""))</f>
        <v>4''</v>
      </c>
      <c r="GN20" s="747"/>
      <c r="GO20" s="748" t="str">
        <f>IF(OR($AV$6="O1",$AV$6="O2",$AV$6="O3"),Sorts!Y91,IF(OR($BB$6="O1",$BB$6="O2"),Sorts!Y153,""))</f>
        <v>3r+1/n</v>
      </c>
      <c r="GP20" s="748"/>
      <c r="GQ20" s="748"/>
      <c r="GR20" s="57" t="str">
        <f>IF(OR($AV$6="O1",$AV$6="O2",$AV$6="O3"),Sorts!Z91,IF(OR($BB$6="O1",$BB$6="O2"),Sorts!Z153,""))</f>
        <v>X</v>
      </c>
      <c r="GS20" s="57" t="str">
        <f>IF(OR($AV$6="O1",$AV$6="O2",$AV$6="O3"),Sorts!AA91,IF(OR($BB$6="O1",$BB$6="O2"),Sorts!AA153,""))</f>
        <v>X</v>
      </c>
      <c r="GT20" s="58" t="str">
        <f>IF(OR($AV$6="O1",$AV$6="O2",$AV$6="O3"),Sorts!AB91,IF(OR($BB$6="O1",$BB$6="O2"),Sorts!AB153,""))</f>
        <v>X</v>
      </c>
      <c r="GU20" s="25"/>
      <c r="GW20" s="56">
        <v>17</v>
      </c>
      <c r="GX20" s="754"/>
      <c r="GY20" s="754"/>
      <c r="GZ20" s="754"/>
      <c r="HA20" s="754"/>
      <c r="HB20" s="754"/>
      <c r="HC20" s="754"/>
      <c r="HD20" s="754"/>
      <c r="HE20" s="754"/>
      <c r="HF20" s="754"/>
      <c r="HG20" s="754"/>
      <c r="HH20" s="754"/>
      <c r="HI20" s="754"/>
      <c r="HJ20" s="755"/>
      <c r="HK20" s="756"/>
      <c r="HL20" s="747"/>
      <c r="HM20" s="748"/>
      <c r="HN20" s="748"/>
      <c r="HO20" s="748"/>
      <c r="HP20" s="748"/>
      <c r="HQ20" s="748"/>
      <c r="HR20" s="748"/>
      <c r="HS20" s="57"/>
      <c r="HT20" s="57"/>
      <c r="HU20" s="58"/>
      <c r="HV20" s="57"/>
      <c r="HW20" s="757" t="s">
        <v>1204</v>
      </c>
      <c r="HX20" s="747"/>
      <c r="HY20" s="57">
        <v>17</v>
      </c>
      <c r="HZ20" s="758" t="str">
        <f>IF(OR($AV$6="O1",$AV$6="O2",$AV$6="O3"),Sorts!AI91,IF(OR($BB$6="O1",$BB$6="O2"),Sorts!AI153,""))</f>
        <v>Mauvais Œil</v>
      </c>
      <c r="IA20" s="744"/>
      <c r="IB20" s="744"/>
      <c r="IC20" s="744"/>
      <c r="ID20" s="744"/>
      <c r="IE20" s="744"/>
      <c r="IF20" s="744"/>
      <c r="IG20" s="744"/>
      <c r="IH20" s="744"/>
      <c r="II20" s="744"/>
      <c r="IJ20" s="744"/>
      <c r="IK20" s="744"/>
      <c r="IL20" s="744"/>
      <c r="IM20" s="744">
        <v>0</v>
      </c>
      <c r="IN20" s="745"/>
      <c r="IO20" s="746" t="str">
        <f>IF(OR($AV$6="O1",$AV$6="O2",$AV$6="O3"),Sorts!AJ91,IF(OR($BB$6="O1",$BB$6="O2"),Sorts!AJ153,""))</f>
        <v>6m</v>
      </c>
      <c r="IP20" s="747"/>
      <c r="IQ20" s="748" t="str">
        <f>IF(OR($AV$6="O1",$AV$6="O2",$AV$6="O3"),Sorts!AK91,IF(OR($BB$6="O1",$BB$6="O2"),Sorts!AK153,""))</f>
        <v>S</v>
      </c>
      <c r="IR20" s="748"/>
      <c r="IS20" s="748"/>
      <c r="IT20" s="57" t="str">
        <f>IF(OR($AV$6="O1",$AV$6="O2",$AV$6="O3"),Sorts!AL91,IF(OR($BB$6="O1",$BB$6="O2"),Sorts!AL153,""))</f>
        <v>X</v>
      </c>
      <c r="IU20" s="57" t="str">
        <f>IF(OR($AV$6="O1",$AV$6="O2",$AV$6="O3"),Sorts!AM91,IF(OR($BB$6="O1",$BB$6="O2"),Sorts!AM153,""))</f>
        <v>X</v>
      </c>
      <c r="IV20" s="58" t="str">
        <f>IF(OR($AV$6="O1",$AV$6="O2",$AV$6="O3"),Sorts!AN91,IF(OR($BB$6="O1",$BB$6="O2"),Sorts!AN153,""))</f>
        <v>/</v>
      </c>
      <c r="IW20" s="25"/>
      <c r="IY20" s="384"/>
      <c r="IZ20" s="762"/>
      <c r="JA20" s="762"/>
      <c r="JB20" s="762"/>
      <c r="JC20" s="762"/>
      <c r="JD20" s="762"/>
      <c r="JE20" s="762"/>
      <c r="JF20" s="762"/>
      <c r="JG20" s="762"/>
      <c r="JH20" s="762"/>
      <c r="JI20" s="762"/>
      <c r="JJ20" s="762"/>
      <c r="JK20" s="762"/>
      <c r="JL20" s="763"/>
      <c r="JM20" s="759"/>
      <c r="JN20" s="760"/>
      <c r="JO20" s="761"/>
      <c r="JP20" s="761"/>
      <c r="JQ20" s="761"/>
      <c r="JR20" s="761"/>
      <c r="JS20" s="761"/>
      <c r="JT20" s="761"/>
      <c r="JU20" s="385"/>
      <c r="JV20" s="385"/>
      <c r="JW20" s="386"/>
      <c r="JX20" s="385"/>
      <c r="JY20" s="757" t="s">
        <v>1204</v>
      </c>
      <c r="JZ20" s="747"/>
      <c r="KA20" s="57">
        <v>17</v>
      </c>
      <c r="KB20" s="746" t="str">
        <f>IF(OR($AV$6="O1",$AV$6="O2",$AV$6="O3"),Sorts!AU91,IF(OR($BB$6="O1",$BB$6="O2"),Sorts!AU153,""))</f>
        <v>Requête</v>
      </c>
      <c r="KC20" s="754"/>
      <c r="KD20" s="754"/>
      <c r="KE20" s="754"/>
      <c r="KF20" s="754"/>
      <c r="KG20" s="754"/>
      <c r="KH20" s="754"/>
      <c r="KI20" s="754"/>
      <c r="KJ20" s="754"/>
      <c r="KK20" s="754"/>
      <c r="KL20" s="754"/>
      <c r="KM20" s="754"/>
      <c r="KN20" s="755"/>
      <c r="KO20" s="744">
        <v>0</v>
      </c>
      <c r="KP20" s="745"/>
      <c r="KQ20" s="746" t="str">
        <f>IF(OR($AV$6="O1",$AV$6="O2",$AV$6="O3"),Sorts!AV91,IF(OR($BB$6="O1",$BB$6="O2"),Sorts!AV153,""))</f>
        <v>S</v>
      </c>
      <c r="KR20" s="747"/>
      <c r="KS20" s="748" t="str">
        <f>IF(OR($AV$6="O1",$AV$6="O2",$AV$6="O3"),Sorts!AW91,IF(OR($BB$6="O1",$BB$6="O2"),Sorts!AW153,""))</f>
        <v>S</v>
      </c>
      <c r="KT20" s="748"/>
      <c r="KU20" s="748"/>
      <c r="KV20" s="57" t="str">
        <f>IF(OR($AV$6="O1",$AV$6="O2",$AV$6="O3"),Sorts!AX91,IF(OR($BB$6="O1",$BB$6="O2"),Sorts!AX153,""))</f>
        <v>X</v>
      </c>
      <c r="KW20" s="57" t="str">
        <f>IF(OR($AV$6="O1",$AV$6="O2",$AV$6="O3"),Sorts!AY91,IF(OR($BB$6="O1",$BB$6="O2"),Sorts!AY153,""))</f>
        <v>X</v>
      </c>
      <c r="KX20" s="58" t="str">
        <f>IF(OR($AV$6="O1",$AV$6="O2",$AV$6="O3"),Sorts!AZ91,IF(OR($BB$6="O1",$BB$6="O2"),Sorts!AZ153,""))</f>
        <v>/</v>
      </c>
    </row>
    <row r="21" spans="2:310" ht="18" customHeight="1" thickTop="1" thickBot="1" x14ac:dyDescent="0.3">
      <c r="B21" s="728">
        <v>12</v>
      </c>
      <c r="C21" s="729"/>
      <c r="E21" s="732" t="s">
        <v>6</v>
      </c>
      <c r="F21" s="733"/>
      <c r="G21" s="734" t="s">
        <v>58</v>
      </c>
      <c r="H21" s="735"/>
      <c r="I21" s="736">
        <f>VLOOKUP($B$21,Caractéristiques!$B$241:$F$265,2,FALSE)</f>
        <v>5</v>
      </c>
      <c r="J21" s="737"/>
      <c r="K21" s="53" t="s">
        <v>54</v>
      </c>
      <c r="L21" s="266"/>
      <c r="M21" s="740">
        <f>VLOOKUP($B$21,Caractéristiques!$B$241:$F$265,3,FALSE)</f>
        <v>0</v>
      </c>
      <c r="N21" s="741"/>
      <c r="O21" s="734" t="s">
        <v>9</v>
      </c>
      <c r="P21" s="735"/>
      <c r="Q21" s="827">
        <f>VLOOKUP($B$21,Caractéristiques!$B$241:$F$265,4,FALSE)</f>
        <v>0</v>
      </c>
      <c r="R21" s="828"/>
      <c r="S21" s="5"/>
      <c r="T21" s="5"/>
      <c r="U21" s="5"/>
      <c r="X21" s="5"/>
      <c r="Z21" s="668" t="s">
        <v>1701</v>
      </c>
      <c r="AA21" s="669"/>
      <c r="AB21" s="514">
        <v>3</v>
      </c>
      <c r="AC21" s="515">
        <v>1</v>
      </c>
      <c r="AD21" s="516"/>
      <c r="AF21" s="673" t="s">
        <v>1556</v>
      </c>
      <c r="AG21" s="660"/>
      <c r="AH21" s="727" t="str">
        <f>IF(Classe3="/","/",INDEX(Niveau!$A$511:$Q$547,NivC3+1,MATCH(Classe3,Niveau!$B$511:$Q$511,0)+1))</f>
        <v>/</v>
      </c>
      <c r="AI21" s="727"/>
      <c r="AJ21" s="727"/>
      <c r="AK21" s="611" t="s">
        <v>1570</v>
      </c>
      <c r="AL21" s="612"/>
      <c r="AM21" s="613"/>
      <c r="AN21" s="614" t="s">
        <v>48</v>
      </c>
      <c r="AO21" s="615"/>
      <c r="AQ21" s="56">
        <v>12</v>
      </c>
      <c r="AR21" s="754" t="str">
        <f>IF($AV$4="O",Sorts!E15,IF($BB$4="O",Sorts!E39,""))</f>
        <v/>
      </c>
      <c r="AS21" s="754"/>
      <c r="AT21" s="754"/>
      <c r="AU21" s="754"/>
      <c r="AV21" s="754"/>
      <c r="AW21" s="754"/>
      <c r="AX21" s="754"/>
      <c r="AY21" s="754"/>
      <c r="AZ21" s="754"/>
      <c r="BA21" s="754"/>
      <c r="BB21" s="754"/>
      <c r="BC21" s="754"/>
      <c r="BD21" s="755"/>
      <c r="BE21" s="756">
        <v>0</v>
      </c>
      <c r="BF21" s="754"/>
      <c r="BG21" s="748" t="str">
        <f>IF($AV$4="O",Sorts!F15,IF($BB$4="O",Sorts!F39,""))</f>
        <v/>
      </c>
      <c r="BH21" s="748"/>
      <c r="BI21" s="748"/>
      <c r="BJ21" s="748" t="str">
        <f>IF($AV$4="O",Sorts!G15,IF($BB$4="O",Sorts!G39,""))</f>
        <v/>
      </c>
      <c r="BK21" s="748"/>
      <c r="BL21" s="748"/>
      <c r="BM21" s="57" t="str">
        <f>IF($AV$4="O",Sorts!H15,IF($BB$4="O",Sorts!H39,""))</f>
        <v/>
      </c>
      <c r="BN21" s="57" t="str">
        <f>IF($AV$4="O",Sorts!I15,IF($BB$4="O",Sorts!I39,""))</f>
        <v/>
      </c>
      <c r="BO21" s="369" t="str">
        <f>IF($AV$4="O",Sorts!J15,IF($BB$4="O",Sorts!J39,""))</f>
        <v/>
      </c>
      <c r="BP21" s="366"/>
      <c r="BQ21" s="757" t="s">
        <v>1204</v>
      </c>
      <c r="BR21" s="747"/>
      <c r="BS21" s="57">
        <v>12</v>
      </c>
      <c r="BT21" s="758" t="str">
        <f>IF(OR($AV$6="O1",$AV$6="O2",$AV$6="O3"),Sorts!E86,IF(OR($BB$6="O1",$BB$6="O2"),Sorts!E148,""))</f>
        <v>Détection de la Magie</v>
      </c>
      <c r="BU21" s="744"/>
      <c r="BV21" s="744"/>
      <c r="BW21" s="744"/>
      <c r="BX21" s="744"/>
      <c r="BY21" s="744"/>
      <c r="BZ21" s="744"/>
      <c r="CA21" s="744"/>
      <c r="CB21" s="744"/>
      <c r="CC21" s="744"/>
      <c r="CD21" s="744"/>
      <c r="CE21" s="744"/>
      <c r="CF21" s="744"/>
      <c r="CG21" s="744">
        <v>0</v>
      </c>
      <c r="CH21" s="745"/>
      <c r="CI21" s="746">
        <f>IF(OR($AV$6="O1",$AV$6="O2",$AV$6="O3"),Sorts!F86,IF(OR($BB$6="O1",$BB$6="O2"),Sorts!F148,""))</f>
        <v>0</v>
      </c>
      <c r="CJ21" s="747"/>
      <c r="CK21" s="748" t="str">
        <f>IF(OR($AV$6="O1",$AV$6="O2",$AV$6="O3"),Sorts!G86,IF(OR($BB$6="O1",$BB$6="O2"),Sorts!G148,""))</f>
        <v>2r/n</v>
      </c>
      <c r="CL21" s="748"/>
      <c r="CM21" s="748"/>
      <c r="CN21" s="57" t="str">
        <f>IF(OR($AV$6="O1",$AV$6="O2",$AV$6="O3"),Sorts!H86,IF(OR($BB$6="O1",$BB$6="O2"),Sorts!H148,""))</f>
        <v>X</v>
      </c>
      <c r="CO21" s="57" t="str">
        <f>IF(OR($AV$6="O1",$AV$6="O2",$AV$6="O3"),Sorts!I86,IF(OR($BB$6="O1",$BB$6="O2"),Sorts!I148,""))</f>
        <v>X</v>
      </c>
      <c r="CP21" s="58" t="str">
        <f>IF(OR($AV$6="O1",$AV$6="O2",$AV$6="O3"),Sorts!J86,IF(OR($BB$6="O1",$BB$6="O2"),Sorts!J148,""))</f>
        <v>/</v>
      </c>
      <c r="CQ21" s="60"/>
      <c r="CS21" s="56">
        <v>18</v>
      </c>
      <c r="CT21" s="754" t="str">
        <f>IF($AV$4="O",Sorts!K21,IF($BB$4="O",Sorts!K45,""))</f>
        <v/>
      </c>
      <c r="CU21" s="754"/>
      <c r="CV21" s="754"/>
      <c r="CW21" s="754"/>
      <c r="CX21" s="754"/>
      <c r="CY21" s="754"/>
      <c r="CZ21" s="754"/>
      <c r="DA21" s="754"/>
      <c r="DB21" s="754"/>
      <c r="DC21" s="754"/>
      <c r="DD21" s="754"/>
      <c r="DE21" s="754"/>
      <c r="DF21" s="755"/>
      <c r="DG21" s="756">
        <v>0</v>
      </c>
      <c r="DH21" s="747"/>
      <c r="DI21" s="748" t="str">
        <f>IF($AV$4="O",Sorts!L21,IF($BB$4="O",Sorts!L45,""))</f>
        <v/>
      </c>
      <c r="DJ21" s="748"/>
      <c r="DK21" s="748"/>
      <c r="DL21" s="748" t="str">
        <f>IF($AV$4="O",Sorts!M21,IF($BB$4="O",Sorts!M45,""))</f>
        <v/>
      </c>
      <c r="DM21" s="748"/>
      <c r="DN21" s="748"/>
      <c r="DO21" s="57" t="str">
        <f>IF($AV$4="O",Sorts!N21,IF($BB$4="O",Sorts!N45,""))</f>
        <v/>
      </c>
      <c r="DP21" s="57" t="str">
        <f>IF($AV$4="O",Sorts!O21,IF($BB$4="O",Sorts!O45,""))</f>
        <v/>
      </c>
      <c r="DQ21" s="58" t="str">
        <f>IF($AV$4="O",Sorts!P21,IF($BB$4="O",Sorts!P45,""))</f>
        <v/>
      </c>
      <c r="DR21" s="57"/>
      <c r="DS21" s="757" t="s">
        <v>1204</v>
      </c>
      <c r="DT21" s="747"/>
      <c r="DU21" s="57">
        <v>18</v>
      </c>
      <c r="DV21" s="758" t="str">
        <f>IF(OR($AV$6="O1",$AV$6="O2",$AV$6="O3"),Sorts!K92,IF(OR($BB$6="O1",$BB$6="O2"),Sorts!K154,""))</f>
        <v>Nuage Puant</v>
      </c>
      <c r="DW21" s="744"/>
      <c r="DX21" s="744"/>
      <c r="DY21" s="744"/>
      <c r="DZ21" s="744"/>
      <c r="EA21" s="744"/>
      <c r="EB21" s="744"/>
      <c r="EC21" s="744"/>
      <c r="ED21" s="744"/>
      <c r="EE21" s="744"/>
      <c r="EF21" s="744"/>
      <c r="EG21" s="744"/>
      <c r="EH21" s="744"/>
      <c r="EI21" s="744">
        <v>0</v>
      </c>
      <c r="EJ21" s="745"/>
      <c r="EK21" s="746" t="str">
        <f>IF(OR($AV$6="O1",$AV$6="O2",$AV$6="O3"),Sorts!L92,IF(OR($BB$6="O1",$BB$6="O2"),Sorts!L154,""))</f>
        <v>3''</v>
      </c>
      <c r="EL21" s="747"/>
      <c r="EM21" s="748" t="str">
        <f>IF(OR($AV$6="O1",$AV$6="O2",$AV$6="O3"),Sorts!M92,IF(OR($BB$6="O1",$BB$6="O2"),Sorts!M154,""))</f>
        <v>1r/n</v>
      </c>
      <c r="EN21" s="748"/>
      <c r="EO21" s="748"/>
      <c r="EP21" s="57" t="str">
        <f>IF(OR($AV$6="O1",$AV$6="O2",$AV$6="O3"),Sorts!N92,IF(OR($BB$6="O1",$BB$6="O2"),Sorts!N154,""))</f>
        <v>X</v>
      </c>
      <c r="EQ21" s="57" t="str">
        <f>IF(OR($AV$6="O1",$AV$6="O2",$AV$6="O3"),Sorts!O92,IF(OR($BB$6="O1",$BB$6="O2"),Sorts!O154,""))</f>
        <v>X</v>
      </c>
      <c r="ER21" s="58" t="str">
        <f>IF(OR($AV$6="O1",$AV$6="O2",$AV$6="O3"),Sorts!P92,IF(OR($BB$6="O1",$BB$6="O2"),Sorts!P154,""))</f>
        <v>X</v>
      </c>
      <c r="ES21" s="60"/>
      <c r="EU21" s="56">
        <v>18</v>
      </c>
      <c r="EV21" s="754"/>
      <c r="EW21" s="754"/>
      <c r="EX21" s="754"/>
      <c r="EY21" s="754"/>
      <c r="EZ21" s="754"/>
      <c r="FA21" s="754"/>
      <c r="FB21" s="754"/>
      <c r="FC21" s="754"/>
      <c r="FD21" s="754"/>
      <c r="FE21" s="754"/>
      <c r="FF21" s="754"/>
      <c r="FG21" s="754"/>
      <c r="FH21" s="755"/>
      <c r="FI21" s="756"/>
      <c r="FJ21" s="747"/>
      <c r="FK21" s="748"/>
      <c r="FL21" s="748"/>
      <c r="FM21" s="748"/>
      <c r="FN21" s="748"/>
      <c r="FO21" s="748"/>
      <c r="FP21" s="748"/>
      <c r="FQ21" s="57"/>
      <c r="FR21" s="57"/>
      <c r="FS21" s="58"/>
      <c r="FT21" s="57"/>
      <c r="FU21" s="757" t="s">
        <v>1204</v>
      </c>
      <c r="FV21" s="747"/>
      <c r="FW21" s="57">
        <v>18</v>
      </c>
      <c r="FX21" s="758" t="str">
        <f>IF(OR($AV$6="O1",$AV$6="O2",$AV$6="O3"),Sorts!W92,IF(OR($BB$6="O1",$BB$6="O2"),Sorts!W154,""))</f>
        <v>Maladresse</v>
      </c>
      <c r="FY21" s="744"/>
      <c r="FZ21" s="744"/>
      <c r="GA21" s="744"/>
      <c r="GB21" s="744"/>
      <c r="GC21" s="744"/>
      <c r="GD21" s="744"/>
      <c r="GE21" s="744"/>
      <c r="GF21" s="744"/>
      <c r="GG21" s="744"/>
      <c r="GH21" s="744"/>
      <c r="GI21" s="744"/>
      <c r="GJ21" s="744"/>
      <c r="GK21" s="744">
        <v>0</v>
      </c>
      <c r="GL21" s="745"/>
      <c r="GM21" s="746" t="str">
        <f>IF(OR($AV$6="O1",$AV$6="O2",$AV$6="O3"),Sorts!X92,IF(OR($BB$6="O1",$BB$6="O2"),Sorts!X154,""))</f>
        <v>1''/n</v>
      </c>
      <c r="GN21" s="747"/>
      <c r="GO21" s="748" t="str">
        <f>IF(OR($AV$6="O1",$AV$6="O2",$AV$6="O3"),Sorts!Y92,IF(OR($BB$6="O1",$BB$6="O2"),Sorts!Y154,""))</f>
        <v>1r/n</v>
      </c>
      <c r="GP21" s="748"/>
      <c r="GQ21" s="748"/>
      <c r="GR21" s="57" t="str">
        <f>IF(OR($AV$6="O1",$AV$6="O2",$AV$6="O3"),Sorts!Z92,IF(OR($BB$6="O1",$BB$6="O2"),Sorts!Z154,""))</f>
        <v>X</v>
      </c>
      <c r="GS21" s="57" t="str">
        <f>IF(OR($AV$6="O1",$AV$6="O2",$AV$6="O3"),Sorts!AA92,IF(OR($BB$6="O1",$BB$6="O2"),Sorts!AA154,""))</f>
        <v>X</v>
      </c>
      <c r="GT21" s="58" t="str">
        <f>IF(OR($AV$6="O1",$AV$6="O2",$AV$6="O3"),Sorts!AB92,IF(OR($BB$6="O1",$BB$6="O2"),Sorts!AB154,""))</f>
        <v>X</v>
      </c>
      <c r="GU21" s="60"/>
      <c r="GW21" s="56">
        <v>18</v>
      </c>
      <c r="GX21" s="754"/>
      <c r="GY21" s="754"/>
      <c r="GZ21" s="754"/>
      <c r="HA21" s="754"/>
      <c r="HB21" s="754"/>
      <c r="HC21" s="754"/>
      <c r="HD21" s="754"/>
      <c r="HE21" s="754"/>
      <c r="HF21" s="754"/>
      <c r="HG21" s="754"/>
      <c r="HH21" s="754"/>
      <c r="HI21" s="754"/>
      <c r="HJ21" s="755"/>
      <c r="HK21" s="756"/>
      <c r="HL21" s="747"/>
      <c r="HM21" s="748"/>
      <c r="HN21" s="748"/>
      <c r="HO21" s="748"/>
      <c r="HP21" s="748"/>
      <c r="HQ21" s="748"/>
      <c r="HR21" s="748"/>
      <c r="HS21" s="57"/>
      <c r="HT21" s="57"/>
      <c r="HU21" s="58"/>
      <c r="HV21" s="57"/>
      <c r="HW21" s="757" t="s">
        <v>1204</v>
      </c>
      <c r="HX21" s="747"/>
      <c r="HY21" s="57">
        <v>18</v>
      </c>
      <c r="HZ21" s="758" t="str">
        <f>IF(OR($AV$6="O1",$AV$6="O2",$AV$6="O3"),Sorts!AI92,IF(OR($BB$6="O1",$BB$6="O2"),Sorts!AI154,""))</f>
        <v>Mythomancie</v>
      </c>
      <c r="IA21" s="744"/>
      <c r="IB21" s="744"/>
      <c r="IC21" s="744"/>
      <c r="ID21" s="744"/>
      <c r="IE21" s="744"/>
      <c r="IF21" s="744"/>
      <c r="IG21" s="744"/>
      <c r="IH21" s="744"/>
      <c r="II21" s="744"/>
      <c r="IJ21" s="744"/>
      <c r="IK21" s="744"/>
      <c r="IL21" s="744"/>
      <c r="IM21" s="744">
        <v>0</v>
      </c>
      <c r="IN21" s="745"/>
      <c r="IO21" s="746">
        <f>IF(OR($AV$6="O1",$AV$6="O2",$AV$6="O3"),Sorts!AJ92,IF(OR($BB$6="O1",$BB$6="O2"),Sorts!AJ154,""))</f>
        <v>0</v>
      </c>
      <c r="IP21" s="747"/>
      <c r="IQ21" s="748" t="str">
        <f>IF(OR($AV$6="O1",$AV$6="O2",$AV$6="O3"),Sorts!AK92,IF(OR($BB$6="O1",$BB$6="O2"),Sorts!AK154,""))</f>
        <v>S</v>
      </c>
      <c r="IR21" s="748"/>
      <c r="IS21" s="748"/>
      <c r="IT21" s="57" t="str">
        <f>IF(OR($AV$6="O1",$AV$6="O2",$AV$6="O3"),Sorts!AL92,IF(OR($BB$6="O1",$BB$6="O2"),Sorts!AL154,""))</f>
        <v>X</v>
      </c>
      <c r="IU21" s="57" t="str">
        <f>IF(OR($AV$6="O1",$AV$6="O2",$AV$6="O3"),Sorts!AM92,IF(OR($BB$6="O1",$BB$6="O2"),Sorts!AM154,""))</f>
        <v>X</v>
      </c>
      <c r="IV21" s="58" t="str">
        <f>IF(OR($AV$6="O1",$AV$6="O2",$AV$6="O3"),Sorts!AN92,IF(OR($BB$6="O1",$BB$6="O2"),Sorts!AN154,""))</f>
        <v>X</v>
      </c>
      <c r="IW21" s="60"/>
      <c r="IY21" s="384"/>
      <c r="IZ21" s="762"/>
      <c r="JA21" s="762"/>
      <c r="JB21" s="762"/>
      <c r="JC21" s="762"/>
      <c r="JD21" s="762"/>
      <c r="JE21" s="762"/>
      <c r="JF21" s="762"/>
      <c r="JG21" s="762"/>
      <c r="JH21" s="762"/>
      <c r="JI21" s="762"/>
      <c r="JJ21" s="762"/>
      <c r="JK21" s="762"/>
      <c r="JL21" s="763"/>
      <c r="JM21" s="759"/>
      <c r="JN21" s="760"/>
      <c r="JO21" s="761"/>
      <c r="JP21" s="761"/>
      <c r="JQ21" s="761"/>
      <c r="JR21" s="761"/>
      <c r="JS21" s="761"/>
      <c r="JT21" s="761"/>
      <c r="JU21" s="385"/>
      <c r="JV21" s="385"/>
      <c r="JW21" s="386"/>
      <c r="JX21" s="385"/>
      <c r="JY21" s="757" t="s">
        <v>1204</v>
      </c>
      <c r="JZ21" s="747"/>
      <c r="KA21" s="57">
        <v>18</v>
      </c>
      <c r="KB21" s="746" t="str">
        <f>IF(OR($AV$6="O1",$AV$6="O2",$AV$6="O3"),Sorts!AU92,IF(OR($BB$6="O1",$BB$6="O2"),Sorts!AU154,""))</f>
        <v>Sphère Télékinétique d’Otiluke</v>
      </c>
      <c r="KC21" s="754"/>
      <c r="KD21" s="754"/>
      <c r="KE21" s="754"/>
      <c r="KF21" s="754"/>
      <c r="KG21" s="754"/>
      <c r="KH21" s="754"/>
      <c r="KI21" s="754"/>
      <c r="KJ21" s="754"/>
      <c r="KK21" s="754"/>
      <c r="KL21" s="754"/>
      <c r="KM21" s="754"/>
      <c r="KN21" s="755"/>
      <c r="KO21" s="744">
        <v>0</v>
      </c>
      <c r="KP21" s="745"/>
      <c r="KQ21" s="746" t="str">
        <f>IF(OR($AV$6="O1",$AV$6="O2",$AV$6="O3"),Sorts!AV92,IF(OR($BB$6="O1",$BB$6="O2"),Sorts!AV154,""))</f>
        <v>2''</v>
      </c>
      <c r="KR21" s="747"/>
      <c r="KS21" s="748" t="str">
        <f>IF(OR($AV$6="O1",$AV$6="O2",$AV$6="O3"),Sorts!AW92,IF(OR($BB$6="O1",$BB$6="O2"),Sorts!AW154,""))</f>
        <v>1r/n</v>
      </c>
      <c r="KT21" s="748"/>
      <c r="KU21" s="748"/>
      <c r="KV21" s="57" t="str">
        <f>IF(OR($AV$6="O1",$AV$6="O2",$AV$6="O3"),Sorts!AX92,IF(OR($BB$6="O1",$BB$6="O2"),Sorts!AX154,""))</f>
        <v>X</v>
      </c>
      <c r="KW21" s="57" t="str">
        <f>IF(OR($AV$6="O1",$AV$6="O2",$AV$6="O3"),Sorts!AY92,IF(OR($BB$6="O1",$BB$6="O2"),Sorts!AY154,""))</f>
        <v>X</v>
      </c>
      <c r="KX21" s="58" t="str">
        <f>IF(OR($AV$6="O1",$AV$6="O2",$AV$6="O3"),Sorts!AZ92,IF(OR($BB$6="O1",$BB$6="O2"),Sorts!AZ154,""))</f>
        <v>X</v>
      </c>
    </row>
    <row r="22" spans="2:310" ht="18" customHeight="1" thickBot="1" x14ac:dyDescent="0.3">
      <c r="B22" s="730"/>
      <c r="C22" s="731"/>
      <c r="E22" s="732"/>
      <c r="F22" s="733"/>
      <c r="G22" s="831" t="s">
        <v>59</v>
      </c>
      <c r="H22" s="832"/>
      <c r="I22" s="738"/>
      <c r="J22" s="739"/>
      <c r="K22" s="54" t="s">
        <v>60</v>
      </c>
      <c r="L22" s="267"/>
      <c r="M22" s="742"/>
      <c r="N22" s="743"/>
      <c r="O22" s="831" t="s">
        <v>1429</v>
      </c>
      <c r="P22" s="832"/>
      <c r="Q22" s="829"/>
      <c r="R22" s="830"/>
      <c r="V22" s="529"/>
      <c r="Z22" s="653" t="s">
        <v>1698</v>
      </c>
      <c r="AA22" s="654"/>
      <c r="AB22" s="849">
        <f>AB19-AB21-AC21-AD21</f>
        <v>41</v>
      </c>
      <c r="AC22" s="850"/>
      <c r="AD22" s="851"/>
      <c r="AF22" s="673" t="s">
        <v>1557</v>
      </c>
      <c r="AG22" s="660"/>
      <c r="AH22" s="727" t="str">
        <f>IF(Classe3="/","/",INDEX(Niveau!$A$511:$Q$547,NivC3+2,MATCH(Classe3,Niveau!$B$511:$Q$511,0)+1)-1)</f>
        <v>/</v>
      </c>
      <c r="AI22" s="727"/>
      <c r="AJ22" s="727"/>
      <c r="AK22" s="843" t="str">
        <f>IF(Code_Classe&gt;33,AK18,"")</f>
        <v/>
      </c>
      <c r="AL22" s="606"/>
      <c r="AM22" s="844"/>
      <c r="AN22" s="833"/>
      <c r="AO22" s="834"/>
      <c r="AQ22" s="56">
        <v>13</v>
      </c>
      <c r="AR22" s="754" t="str">
        <f>IF($AV$4="O",Sorts!E16,IF($BB$4="O",Sorts!E40,""))</f>
        <v/>
      </c>
      <c r="AS22" s="754"/>
      <c r="AT22" s="754"/>
      <c r="AU22" s="754"/>
      <c r="AV22" s="754"/>
      <c r="AW22" s="754"/>
      <c r="AX22" s="754"/>
      <c r="AY22" s="754"/>
      <c r="AZ22" s="754"/>
      <c r="BA22" s="754"/>
      <c r="BB22" s="754"/>
      <c r="BC22" s="754"/>
      <c r="BD22" s="755"/>
      <c r="BE22" s="756">
        <v>0</v>
      </c>
      <c r="BF22" s="754"/>
      <c r="BG22" s="748" t="str">
        <f>IF($AV$4="O",Sorts!F16,IF($BB$4="O",Sorts!F40,""))</f>
        <v/>
      </c>
      <c r="BH22" s="748"/>
      <c r="BI22" s="748"/>
      <c r="BJ22" s="748" t="str">
        <f>IF($AV$4="O",Sorts!G16,IF($BB$4="O",Sorts!G40,""))</f>
        <v/>
      </c>
      <c r="BK22" s="748"/>
      <c r="BL22" s="748"/>
      <c r="BM22" s="57" t="str">
        <f>IF($AV$4="O",Sorts!H16,IF($BB$4="O",Sorts!H40,""))</f>
        <v/>
      </c>
      <c r="BN22" s="57" t="str">
        <f>IF($AV$4="O",Sorts!I16,IF($BB$4="O",Sorts!I40,""))</f>
        <v/>
      </c>
      <c r="BO22" s="369" t="str">
        <f>IF($AV$4="O",Sorts!J16,IF($BB$4="O",Sorts!J40,""))</f>
        <v/>
      </c>
      <c r="BP22" s="366"/>
      <c r="BQ22" s="757" t="s">
        <v>1204</v>
      </c>
      <c r="BR22" s="747"/>
      <c r="BS22" s="57">
        <v>13</v>
      </c>
      <c r="BT22" s="758" t="str">
        <f>IF(OR($AV$6="O1",$AV$6="O2",$AV$6="O3"),Sorts!E87,IF(OR($BB$6="O1",$BB$6="O2"),Sorts!E149,""))</f>
        <v>Disque Flottant de Tenser</v>
      </c>
      <c r="BU22" s="744"/>
      <c r="BV22" s="744"/>
      <c r="BW22" s="744"/>
      <c r="BX22" s="744"/>
      <c r="BY22" s="744"/>
      <c r="BZ22" s="744"/>
      <c r="CA22" s="744"/>
      <c r="CB22" s="744"/>
      <c r="CC22" s="744"/>
      <c r="CD22" s="744"/>
      <c r="CE22" s="744"/>
      <c r="CF22" s="744"/>
      <c r="CG22" s="744">
        <v>0</v>
      </c>
      <c r="CH22" s="745"/>
      <c r="CI22" s="746" t="str">
        <f>IF(OR($AV$6="O1",$AV$6="O2",$AV$6="O3"),Sorts!F87,IF(OR($BB$6="O1",$BB$6="O2"),Sorts!F149,""))</f>
        <v>2’’</v>
      </c>
      <c r="CJ22" s="747"/>
      <c r="CK22" s="748" t="str">
        <f>IF(OR($AV$6="O1",$AV$6="O2",$AV$6="O3"),Sorts!G87,IF(OR($BB$6="O1",$BB$6="O2"),Sorts!G149,""))</f>
        <v>3t+1t/n</v>
      </c>
      <c r="CL22" s="748"/>
      <c r="CM22" s="748"/>
      <c r="CN22" s="57" t="str">
        <f>IF(OR($AV$6="O1",$AV$6="O2",$AV$6="O3"),Sorts!H87,IF(OR($BB$6="O1",$BB$6="O2"),Sorts!H149,""))</f>
        <v>X</v>
      </c>
      <c r="CO22" s="57" t="str">
        <f>IF(OR($AV$6="O1",$AV$6="O2",$AV$6="O3"),Sorts!I87,IF(OR($BB$6="O1",$BB$6="O2"),Sorts!I149,""))</f>
        <v>X</v>
      </c>
      <c r="CP22" s="58" t="str">
        <f>IF(OR($AV$6="O1",$AV$6="O2",$AV$6="O3"),Sorts!J87,IF(OR($BB$6="O1",$BB$6="O2"),Sorts!J149,""))</f>
        <v>X</v>
      </c>
      <c r="CQ22" s="60"/>
      <c r="CS22" s="56">
        <v>19</v>
      </c>
      <c r="CT22" s="754" t="str">
        <f>IF($AV$4="O",Sorts!K22,IF($BB$4="O",Sorts!K46,""))</f>
        <v/>
      </c>
      <c r="CU22" s="754"/>
      <c r="CV22" s="754"/>
      <c r="CW22" s="754"/>
      <c r="CX22" s="754"/>
      <c r="CY22" s="754"/>
      <c r="CZ22" s="754"/>
      <c r="DA22" s="754"/>
      <c r="DB22" s="754"/>
      <c r="DC22" s="754"/>
      <c r="DD22" s="754"/>
      <c r="DE22" s="754"/>
      <c r="DF22" s="755"/>
      <c r="DG22" s="756">
        <v>0</v>
      </c>
      <c r="DH22" s="747"/>
      <c r="DI22" s="748" t="str">
        <f>IF($AV$4="O",Sorts!L22,IF($BB$4="O",Sorts!L46,""))</f>
        <v/>
      </c>
      <c r="DJ22" s="748"/>
      <c r="DK22" s="748"/>
      <c r="DL22" s="748" t="str">
        <f>IF($AV$4="O",Sorts!M22,IF($BB$4="O",Sorts!M46,""))</f>
        <v/>
      </c>
      <c r="DM22" s="748"/>
      <c r="DN22" s="748"/>
      <c r="DO22" s="57" t="str">
        <f>IF($AV$4="O",Sorts!N22,IF($BB$4="O",Sorts!N46,""))</f>
        <v/>
      </c>
      <c r="DP22" s="57" t="str">
        <f>IF($AV$4="O",Sorts!O22,IF($BB$4="O",Sorts!O46,""))</f>
        <v/>
      </c>
      <c r="DQ22" s="58" t="str">
        <f>IF($AV$4="O",Sorts!P22,IF($BB$4="O",Sorts!P46,""))</f>
        <v/>
      </c>
      <c r="DR22" s="57"/>
      <c r="DS22" s="757" t="s">
        <v>1204</v>
      </c>
      <c r="DT22" s="747"/>
      <c r="DU22" s="57">
        <v>19</v>
      </c>
      <c r="DV22" s="758" t="str">
        <f>IF(OR($AV$6="O1",$AV$6="O2",$AV$6="O3"),Sorts!K93,IF(OR($BB$6="O1",$BB$6="O2"),Sorts!K155,""))</f>
        <v>Or des Fous</v>
      </c>
      <c r="DW22" s="744"/>
      <c r="DX22" s="744"/>
      <c r="DY22" s="744"/>
      <c r="DZ22" s="744"/>
      <c r="EA22" s="744"/>
      <c r="EB22" s="744"/>
      <c r="EC22" s="744"/>
      <c r="ED22" s="744"/>
      <c r="EE22" s="744"/>
      <c r="EF22" s="744"/>
      <c r="EG22" s="744"/>
      <c r="EH22" s="744"/>
      <c r="EI22" s="744">
        <v>0</v>
      </c>
      <c r="EJ22" s="745"/>
      <c r="EK22" s="746" t="str">
        <f>IF(OR($AV$6="O1",$AV$6="O2",$AV$6="O3"),Sorts!L93,IF(OR($BB$6="O1",$BB$6="O2"),Sorts!L155,""))</f>
        <v>1''</v>
      </c>
      <c r="EL22" s="747"/>
      <c r="EM22" s="748" t="str">
        <f>IF(OR($AV$6="O1",$AV$6="O2",$AV$6="O3"),Sorts!M93,IF(OR($BB$6="O1",$BB$6="O2"),Sorts!M155,""))</f>
        <v>6t/n</v>
      </c>
      <c r="EN22" s="748"/>
      <c r="EO22" s="748"/>
      <c r="EP22" s="57" t="str">
        <f>IF(OR($AV$6="O1",$AV$6="O2",$AV$6="O3"),Sorts!N93,IF(OR($BB$6="O1",$BB$6="O2"),Sorts!N155,""))</f>
        <v>X</v>
      </c>
      <c r="EQ22" s="57" t="str">
        <f>IF(OR($AV$6="O1",$AV$6="O2",$AV$6="O3"),Sorts!O93,IF(OR($BB$6="O1",$BB$6="O2"),Sorts!O155,""))</f>
        <v>X</v>
      </c>
      <c r="ER22" s="58" t="str">
        <f>IF(OR($AV$6="O1",$AV$6="O2",$AV$6="O3"),Sorts!P93,IF(OR($BB$6="O1",$BB$6="O2"),Sorts!P155,""))</f>
        <v>X</v>
      </c>
      <c r="ES22" s="60"/>
      <c r="EU22" s="56">
        <v>19</v>
      </c>
      <c r="EV22" s="754"/>
      <c r="EW22" s="754"/>
      <c r="EX22" s="754"/>
      <c r="EY22" s="754"/>
      <c r="EZ22" s="754"/>
      <c r="FA22" s="754"/>
      <c r="FB22" s="754"/>
      <c r="FC22" s="754"/>
      <c r="FD22" s="754"/>
      <c r="FE22" s="754"/>
      <c r="FF22" s="754"/>
      <c r="FG22" s="754"/>
      <c r="FH22" s="755"/>
      <c r="FI22" s="756"/>
      <c r="FJ22" s="747"/>
      <c r="FK22" s="748"/>
      <c r="FL22" s="748"/>
      <c r="FM22" s="748"/>
      <c r="FN22" s="748"/>
      <c r="FO22" s="748"/>
      <c r="FP22" s="748"/>
      <c r="FQ22" s="57"/>
      <c r="FR22" s="57"/>
      <c r="FS22" s="58"/>
      <c r="FT22" s="57"/>
      <c r="FU22" s="757" t="s">
        <v>1204</v>
      </c>
      <c r="FV22" s="747"/>
      <c r="FW22" s="57">
        <v>19</v>
      </c>
      <c r="FX22" s="758" t="str">
        <f>IF(OR($AV$6="O1",$AV$6="O2",$AV$6="O3"),Sorts!W93,IF(OR($BB$6="O1",$BB$6="O2"),Sorts!W155,""))</f>
        <v>Miroir Magique</v>
      </c>
      <c r="FY22" s="744"/>
      <c r="FZ22" s="744"/>
      <c r="GA22" s="744"/>
      <c r="GB22" s="744"/>
      <c r="GC22" s="744"/>
      <c r="GD22" s="744"/>
      <c r="GE22" s="744"/>
      <c r="GF22" s="744"/>
      <c r="GG22" s="744"/>
      <c r="GH22" s="744"/>
      <c r="GI22" s="744"/>
      <c r="GJ22" s="744"/>
      <c r="GK22" s="744">
        <v>0</v>
      </c>
      <c r="GL22" s="745"/>
      <c r="GM22" s="746" t="str">
        <f>IF(OR($AV$6="O1",$AV$6="O2",$AV$6="O3"),Sorts!X93,IF(OR($BB$6="O1",$BB$6="O2"),Sorts!X155,""))</f>
        <v>T</v>
      </c>
      <c r="GN22" s="747"/>
      <c r="GO22" s="748" t="str">
        <f>IF(OR($AV$6="O1",$AV$6="O2",$AV$6="O3"),Sorts!Y93,IF(OR($BB$6="O1",$BB$6="O2"),Sorts!Y155,""))</f>
        <v>1r/n</v>
      </c>
      <c r="GP22" s="748"/>
      <c r="GQ22" s="748"/>
      <c r="GR22" s="57" t="str">
        <f>IF(OR($AV$6="O1",$AV$6="O2",$AV$6="O3"),Sorts!Z93,IF(OR($BB$6="O1",$BB$6="O2"),Sorts!Z155,""))</f>
        <v>X</v>
      </c>
      <c r="GS22" s="57" t="str">
        <f>IF(OR($AV$6="O1",$AV$6="O2",$AV$6="O3"),Sorts!AA93,IF(OR($BB$6="O1",$BB$6="O2"),Sorts!AA155,""))</f>
        <v>X</v>
      </c>
      <c r="GT22" s="58" t="str">
        <f>IF(OR($AV$6="O1",$AV$6="O2",$AV$6="O3"),Sorts!AB93,IF(OR($BB$6="O1",$BB$6="O2"),Sorts!AB155,""))</f>
        <v>X</v>
      </c>
      <c r="GU22" s="60"/>
      <c r="GW22" s="56">
        <v>19</v>
      </c>
      <c r="GX22" s="754"/>
      <c r="GY22" s="754"/>
      <c r="GZ22" s="754"/>
      <c r="HA22" s="754"/>
      <c r="HB22" s="754"/>
      <c r="HC22" s="754"/>
      <c r="HD22" s="754"/>
      <c r="HE22" s="754"/>
      <c r="HF22" s="754"/>
      <c r="HG22" s="754"/>
      <c r="HH22" s="754"/>
      <c r="HI22" s="754"/>
      <c r="HJ22" s="755"/>
      <c r="HK22" s="756"/>
      <c r="HL22" s="747"/>
      <c r="HM22" s="748"/>
      <c r="HN22" s="748"/>
      <c r="HO22" s="748"/>
      <c r="HP22" s="748"/>
      <c r="HQ22" s="748"/>
      <c r="HR22" s="748"/>
      <c r="HS22" s="57"/>
      <c r="HT22" s="57"/>
      <c r="HU22" s="58"/>
      <c r="HV22" s="57"/>
      <c r="HW22" s="757" t="s">
        <v>1204</v>
      </c>
      <c r="HX22" s="747"/>
      <c r="HY22" s="57">
        <v>19</v>
      </c>
      <c r="HZ22" s="758" t="str">
        <f>IF(OR($AV$6="O1",$AV$6="O2",$AV$6="O3"),Sorts!AI93,IF(OR($BB$6="O1",$BB$6="O2"),Sorts!AI155,""))</f>
        <v>Punition Spirituelle</v>
      </c>
      <c r="IA22" s="744"/>
      <c r="IB22" s="744"/>
      <c r="IC22" s="744"/>
      <c r="ID22" s="744"/>
      <c r="IE22" s="744"/>
      <c r="IF22" s="744"/>
      <c r="IG22" s="744"/>
      <c r="IH22" s="744"/>
      <c r="II22" s="744"/>
      <c r="IJ22" s="744"/>
      <c r="IK22" s="744"/>
      <c r="IL22" s="744"/>
      <c r="IM22" s="744">
        <v>0</v>
      </c>
      <c r="IN22" s="745"/>
      <c r="IO22" s="746" t="str">
        <f>IF(OR($AV$6="O1",$AV$6="O2",$AV$6="O3"),Sorts!AJ93,IF(OR($BB$6="O1",$BB$6="O2"),Sorts!AJ155,""))</f>
        <v>1''+30cm/n</v>
      </c>
      <c r="IP22" s="747"/>
      <c r="IQ22" s="748" t="str">
        <f>IF(OR($AV$6="O1",$AV$6="O2",$AV$6="O3"),Sorts!AK93,IF(OR($BB$6="O1",$BB$6="O2"),Sorts!AK155,""))</f>
        <v>S</v>
      </c>
      <c r="IR22" s="748"/>
      <c r="IS22" s="748"/>
      <c r="IT22" s="57" t="str">
        <f>IF(OR($AV$6="O1",$AV$6="O2",$AV$6="O3"),Sorts!AL93,IF(OR($BB$6="O1",$BB$6="O2"),Sorts!AL155,""))</f>
        <v>X</v>
      </c>
      <c r="IU22" s="57" t="str">
        <f>IF(OR($AV$6="O1",$AV$6="O2",$AV$6="O3"),Sorts!AM93,IF(OR($BB$6="O1",$BB$6="O2"),Sorts!AM155,""))</f>
        <v>/</v>
      </c>
      <c r="IV22" s="58" t="str">
        <f>IF(OR($AV$6="O1",$AV$6="O2",$AV$6="O3"),Sorts!AN93,IF(OR($BB$6="O1",$BB$6="O2"),Sorts!AN155,""))</f>
        <v>X</v>
      </c>
      <c r="IW22" s="60"/>
      <c r="IY22" s="384"/>
      <c r="IZ22" s="762"/>
      <c r="JA22" s="762"/>
      <c r="JB22" s="762"/>
      <c r="JC22" s="762"/>
      <c r="JD22" s="762"/>
      <c r="JE22" s="762"/>
      <c r="JF22" s="762"/>
      <c r="JG22" s="762"/>
      <c r="JH22" s="762"/>
      <c r="JI22" s="762"/>
      <c r="JJ22" s="762"/>
      <c r="JK22" s="762"/>
      <c r="JL22" s="763"/>
      <c r="JM22" s="759"/>
      <c r="JN22" s="760"/>
      <c r="JO22" s="761"/>
      <c r="JP22" s="761"/>
      <c r="JQ22" s="761"/>
      <c r="JR22" s="761"/>
      <c r="JS22" s="761"/>
      <c r="JT22" s="761"/>
      <c r="JU22" s="385"/>
      <c r="JV22" s="385"/>
      <c r="JW22" s="386"/>
      <c r="JX22" s="385"/>
      <c r="JY22" s="757" t="s">
        <v>1204</v>
      </c>
      <c r="JZ22" s="747"/>
      <c r="KA22" s="57">
        <v>19</v>
      </c>
      <c r="KB22" s="746" t="str">
        <f>IF(OR($AV$6="O1",$AV$6="O2",$AV$6="O3"),Sorts!AU93,IF(OR($BB$6="O1",$BB$6="O2"),Sorts!AU155,""))</f>
        <v>Symbole</v>
      </c>
      <c r="KC22" s="754"/>
      <c r="KD22" s="754"/>
      <c r="KE22" s="754"/>
      <c r="KF22" s="754"/>
      <c r="KG22" s="754"/>
      <c r="KH22" s="754"/>
      <c r="KI22" s="754"/>
      <c r="KJ22" s="754"/>
      <c r="KK22" s="754"/>
      <c r="KL22" s="754"/>
      <c r="KM22" s="754"/>
      <c r="KN22" s="755"/>
      <c r="KO22" s="744">
        <v>0</v>
      </c>
      <c r="KP22" s="745"/>
      <c r="KQ22" s="746" t="str">
        <f>IF(OR($AV$6="O1",$AV$6="O2",$AV$6="O3"),Sorts!AV93,IF(OR($BB$6="O1",$BB$6="O2"),Sorts!AV155,""))</f>
        <v>T</v>
      </c>
      <c r="KR22" s="747"/>
      <c r="KS22" s="748" t="str">
        <f>IF(OR($AV$6="O1",$AV$6="O2",$AV$6="O3"),Sorts!AW93,IF(OR($BB$6="O1",$BB$6="O2"),Sorts!AW155,""))</f>
        <v>S</v>
      </c>
      <c r="KT22" s="748"/>
      <c r="KU22" s="748"/>
      <c r="KV22" s="57" t="str">
        <f>IF(OR($AV$6="O1",$AV$6="O2",$AV$6="O3"),Sorts!AX93,IF(OR($BB$6="O1",$BB$6="O2"),Sorts!AX155,""))</f>
        <v>X</v>
      </c>
      <c r="KW22" s="57" t="str">
        <f>IF(OR($AV$6="O1",$AV$6="O2",$AV$6="O3"),Sorts!AY93,IF(OR($BB$6="O1",$BB$6="O2"),Sorts!AY155,""))</f>
        <v>X</v>
      </c>
      <c r="KX22" s="58" t="str">
        <f>IF(OR($AV$6="O1",$AV$6="O2",$AV$6="O3"),Sorts!AZ93,IF(OR($BB$6="O1",$BB$6="O2"),Sorts!AZ155,""))</f>
        <v>X</v>
      </c>
    </row>
    <row r="23" spans="2:310" ht="18" customHeight="1" thickTop="1" thickBot="1" x14ac:dyDescent="0.3">
      <c r="Z23" s="655"/>
      <c r="AA23" s="656"/>
      <c r="AB23" s="852"/>
      <c r="AC23" s="853"/>
      <c r="AD23" s="854"/>
      <c r="AF23" s="76"/>
      <c r="AG23" s="24"/>
      <c r="AH23" s="855" t="str">
        <f>IF(Classe3="/","/",AH22-AK22)</f>
        <v>/</v>
      </c>
      <c r="AI23" s="855"/>
      <c r="AJ23" s="856"/>
      <c r="AK23" s="845"/>
      <c r="AL23" s="846"/>
      <c r="AM23" s="847"/>
      <c r="AN23" s="835"/>
      <c r="AO23" s="836"/>
      <c r="AQ23" s="56">
        <v>14</v>
      </c>
      <c r="AR23" s="754" t="str">
        <f>IF($AV$4="O",Sorts!E17,IF($BB$4="O",Sorts!E41,""))</f>
        <v/>
      </c>
      <c r="AS23" s="754"/>
      <c r="AT23" s="754"/>
      <c r="AU23" s="754"/>
      <c r="AV23" s="754"/>
      <c r="AW23" s="754"/>
      <c r="AX23" s="754"/>
      <c r="AY23" s="754"/>
      <c r="AZ23" s="754"/>
      <c r="BA23" s="754"/>
      <c r="BB23" s="754"/>
      <c r="BC23" s="754"/>
      <c r="BD23" s="755"/>
      <c r="BE23" s="756">
        <v>0</v>
      </c>
      <c r="BF23" s="754"/>
      <c r="BG23" s="748" t="str">
        <f>IF($AV$4="O",Sorts!F17,IF($BB$4="O",Sorts!F41,""))</f>
        <v/>
      </c>
      <c r="BH23" s="748"/>
      <c r="BI23" s="748"/>
      <c r="BJ23" s="748" t="str">
        <f>IF($AV$4="O",Sorts!G17,IF($BB$4="O",Sorts!G41,""))</f>
        <v/>
      </c>
      <c r="BK23" s="748"/>
      <c r="BL23" s="748"/>
      <c r="BM23" s="57" t="str">
        <f>IF($AV$4="O",Sorts!H17,IF($BB$4="O",Sorts!H41,""))</f>
        <v/>
      </c>
      <c r="BN23" s="57" t="str">
        <f>IF($AV$4="O",Sorts!I17,IF($BB$4="O",Sorts!I41,""))</f>
        <v/>
      </c>
      <c r="BO23" s="369" t="str">
        <f>IF($AV$4="O",Sorts!J17,IF($BB$4="O",Sorts!J41,""))</f>
        <v/>
      </c>
      <c r="BP23" s="366"/>
      <c r="BQ23" s="757" t="s">
        <v>1204</v>
      </c>
      <c r="BR23" s="747"/>
      <c r="BS23" s="57">
        <v>14</v>
      </c>
      <c r="BT23" s="758" t="str">
        <f>IF(OR($AV$6="O1",$AV$6="O2",$AV$6="O3"),Sorts!E88,IF(OR($BB$6="O1",$BB$6="O2"),Sorts!E150,""))</f>
        <v>Eau de Feu</v>
      </c>
      <c r="BU23" s="744"/>
      <c r="BV23" s="744"/>
      <c r="BW23" s="744"/>
      <c r="BX23" s="744"/>
      <c r="BY23" s="744"/>
      <c r="BZ23" s="744"/>
      <c r="CA23" s="744"/>
      <c r="CB23" s="744"/>
      <c r="CC23" s="744"/>
      <c r="CD23" s="744"/>
      <c r="CE23" s="744"/>
      <c r="CF23" s="744"/>
      <c r="CG23" s="744">
        <v>0</v>
      </c>
      <c r="CH23" s="745"/>
      <c r="CI23" s="746" t="str">
        <f>IF(OR($AV$6="O1",$AV$6="O2",$AV$6="O3"),Sorts!F88,IF(OR($BB$6="O1",$BB$6="O2"),Sorts!F150,""))</f>
        <v>1’’</v>
      </c>
      <c r="CJ23" s="747"/>
      <c r="CK23" s="748" t="str">
        <f>IF(OR($AV$6="O1",$AV$6="O2",$AV$6="O3"),Sorts!G88,IF(OR($BB$6="O1",$BB$6="O2"),Sorts!G150,""))</f>
        <v>1r</v>
      </c>
      <c r="CL23" s="748"/>
      <c r="CM23" s="748"/>
      <c r="CN23" s="57" t="str">
        <f>IF(OR($AV$6="O1",$AV$6="O2",$AV$6="O3"),Sorts!H88,IF(OR($BB$6="O1",$BB$6="O2"),Sorts!H150,""))</f>
        <v>X</v>
      </c>
      <c r="CO23" s="57" t="str">
        <f>IF(OR($AV$6="O1",$AV$6="O2",$AV$6="O3"),Sorts!I88,IF(OR($BB$6="O1",$BB$6="O2"),Sorts!I150,""))</f>
        <v>X</v>
      </c>
      <c r="CP23" s="58" t="str">
        <f>IF(OR($AV$6="O1",$AV$6="O2",$AV$6="O3"),Sorts!J88,IF(OR($BB$6="O1",$BB$6="O2"),Sorts!J150,""))</f>
        <v>X</v>
      </c>
      <c r="CQ23" s="60"/>
      <c r="CS23" s="56">
        <v>20</v>
      </c>
      <c r="CT23" s="754" t="str">
        <f>IF($AV$4="O",Sorts!K23,IF($BB$4="O",Sorts!K47,""))</f>
        <v/>
      </c>
      <c r="CU23" s="754"/>
      <c r="CV23" s="754"/>
      <c r="CW23" s="754"/>
      <c r="CX23" s="754"/>
      <c r="CY23" s="754"/>
      <c r="CZ23" s="754"/>
      <c r="DA23" s="754"/>
      <c r="DB23" s="754"/>
      <c r="DC23" s="754"/>
      <c r="DD23" s="754"/>
      <c r="DE23" s="754"/>
      <c r="DF23" s="755"/>
      <c r="DG23" s="756">
        <v>0</v>
      </c>
      <c r="DH23" s="747"/>
      <c r="DI23" s="748" t="str">
        <f>IF($AV$4="O",Sorts!L23,IF($BB$4="O",Sorts!L47,""))</f>
        <v/>
      </c>
      <c r="DJ23" s="748"/>
      <c r="DK23" s="748"/>
      <c r="DL23" s="748" t="str">
        <f>IF($AV$4="O",Sorts!M23,IF($BB$4="O",Sorts!M47,""))</f>
        <v/>
      </c>
      <c r="DM23" s="748"/>
      <c r="DN23" s="748"/>
      <c r="DO23" s="57" t="str">
        <f>IF($AV$4="O",Sorts!N23,IF($BB$4="O",Sorts!N47,""))</f>
        <v/>
      </c>
      <c r="DP23" s="57" t="str">
        <f>IF($AV$4="O",Sorts!O23,IF($BB$4="O",Sorts!O47,""))</f>
        <v/>
      </c>
      <c r="DQ23" s="58" t="str">
        <f>IF($AV$4="O",Sorts!P23,IF($BB$4="O",Sorts!P47,""))</f>
        <v/>
      </c>
      <c r="DR23" s="57"/>
      <c r="DS23" s="757" t="s">
        <v>1204</v>
      </c>
      <c r="DT23" s="747"/>
      <c r="DU23" s="57">
        <v>20</v>
      </c>
      <c r="DV23" s="758" t="str">
        <f>IF(OR($AV$6="O1",$AV$6="O2",$AV$6="O3"),Sorts!K94,IF(OR($BB$6="O1",$BB$6="O2"),Sorts!K156,""))</f>
        <v>Oubli</v>
      </c>
      <c r="DW23" s="744"/>
      <c r="DX23" s="744"/>
      <c r="DY23" s="744"/>
      <c r="DZ23" s="744"/>
      <c r="EA23" s="744"/>
      <c r="EB23" s="744"/>
      <c r="EC23" s="744"/>
      <c r="ED23" s="744"/>
      <c r="EE23" s="744"/>
      <c r="EF23" s="744"/>
      <c r="EG23" s="744"/>
      <c r="EH23" s="744"/>
      <c r="EI23" s="744">
        <v>0</v>
      </c>
      <c r="EJ23" s="745"/>
      <c r="EK23" s="746" t="str">
        <f>IF(OR($AV$6="O1",$AV$6="O2",$AV$6="O3"),Sorts!L94,IF(OR($BB$6="O1",$BB$6="O2"),Sorts!L156,""))</f>
        <v>3''</v>
      </c>
      <c r="EL23" s="747"/>
      <c r="EM23" s="748" t="str">
        <f>IF(OR($AV$6="O1",$AV$6="O2",$AV$6="O3"),Sorts!M94,IF(OR($BB$6="O1",$BB$6="O2"),Sorts!M156,""))</f>
        <v>P</v>
      </c>
      <c r="EN23" s="748"/>
      <c r="EO23" s="748"/>
      <c r="EP23" s="57" t="str">
        <f>IF(OR($AV$6="O1",$AV$6="O2",$AV$6="O3"),Sorts!N94,IF(OR($BB$6="O1",$BB$6="O2"),Sorts!N156,""))</f>
        <v>X</v>
      </c>
      <c r="EQ23" s="57" t="str">
        <f>IF(OR($AV$6="O1",$AV$6="O2",$AV$6="O3"),Sorts!O94,IF(OR($BB$6="O1",$BB$6="O2"),Sorts!O156,""))</f>
        <v>X</v>
      </c>
      <c r="ER23" s="58" t="str">
        <f>IF(OR($AV$6="O1",$AV$6="O2",$AV$6="O3"),Sorts!P94,IF(OR($BB$6="O1",$BB$6="O2"),Sorts!P156,""))</f>
        <v>/</v>
      </c>
      <c r="ES23" s="60"/>
      <c r="EU23" s="56">
        <v>20</v>
      </c>
      <c r="EV23" s="754"/>
      <c r="EW23" s="754"/>
      <c r="EX23" s="754"/>
      <c r="EY23" s="754"/>
      <c r="EZ23" s="754"/>
      <c r="FA23" s="754"/>
      <c r="FB23" s="754"/>
      <c r="FC23" s="754"/>
      <c r="FD23" s="754"/>
      <c r="FE23" s="754"/>
      <c r="FF23" s="754"/>
      <c r="FG23" s="754"/>
      <c r="FH23" s="755"/>
      <c r="FI23" s="756"/>
      <c r="FJ23" s="747"/>
      <c r="FK23" s="748"/>
      <c r="FL23" s="748"/>
      <c r="FM23" s="748"/>
      <c r="FN23" s="748"/>
      <c r="FO23" s="748"/>
      <c r="FP23" s="748"/>
      <c r="FQ23" s="57"/>
      <c r="FR23" s="57"/>
      <c r="FS23" s="58"/>
      <c r="FT23" s="57"/>
      <c r="FU23" s="757" t="s">
        <v>1204</v>
      </c>
      <c r="FV23" s="747"/>
      <c r="FW23" s="57">
        <v>20</v>
      </c>
      <c r="FX23" s="758" t="str">
        <f>IF(OR($AV$6="O1",$AV$6="O2",$AV$6="O3"),Sorts!W94,IF(OR($BB$6="O1",$BB$6="O2"),Sorts!W156,""))</f>
        <v>Moyen Mnémonique de Rary</v>
      </c>
      <c r="FY23" s="744"/>
      <c r="FZ23" s="744"/>
      <c r="GA23" s="744"/>
      <c r="GB23" s="744"/>
      <c r="GC23" s="744"/>
      <c r="GD23" s="744"/>
      <c r="GE23" s="744"/>
      <c r="GF23" s="744"/>
      <c r="GG23" s="744"/>
      <c r="GH23" s="744"/>
      <c r="GI23" s="744"/>
      <c r="GJ23" s="744"/>
      <c r="GK23" s="744">
        <v>0</v>
      </c>
      <c r="GL23" s="745"/>
      <c r="GM23" s="746">
        <f>IF(OR($AV$6="O1",$AV$6="O2",$AV$6="O3"),Sorts!X94,IF(OR($BB$6="O1",$BB$6="O2"),Sorts!X156,""))</f>
        <v>0</v>
      </c>
      <c r="GN23" s="747"/>
      <c r="GO23" s="748" t="str">
        <f>IF(OR($AV$6="O1",$AV$6="O2",$AV$6="O3"),Sorts!Y94,IF(OR($BB$6="O1",$BB$6="O2"),Sorts!Y156,""))</f>
        <v>1j</v>
      </c>
      <c r="GP23" s="748"/>
      <c r="GQ23" s="748"/>
      <c r="GR23" s="57" t="str">
        <f>IF(OR($AV$6="O1",$AV$6="O2",$AV$6="O3"),Sorts!Z94,IF(OR($BB$6="O1",$BB$6="O2"),Sorts!Z156,""))</f>
        <v>X</v>
      </c>
      <c r="GS23" s="57" t="str">
        <f>IF(OR($AV$6="O1",$AV$6="O2",$AV$6="O3"),Sorts!AA94,IF(OR($BB$6="O1",$BB$6="O2"),Sorts!AA156,""))</f>
        <v>X</v>
      </c>
      <c r="GT23" s="58" t="str">
        <f>IF(OR($AV$6="O1",$AV$6="O2",$AV$6="O3"),Sorts!AB94,IF(OR($BB$6="O1",$BB$6="O2"),Sorts!AB156,""))</f>
        <v>X</v>
      </c>
      <c r="GU23" s="60"/>
      <c r="GW23" s="56">
        <v>20</v>
      </c>
      <c r="GX23" s="754"/>
      <c r="GY23" s="754"/>
      <c r="GZ23" s="754"/>
      <c r="HA23" s="754"/>
      <c r="HB23" s="754"/>
      <c r="HC23" s="754"/>
      <c r="HD23" s="754"/>
      <c r="HE23" s="754"/>
      <c r="HF23" s="754"/>
      <c r="HG23" s="754"/>
      <c r="HH23" s="754"/>
      <c r="HI23" s="754"/>
      <c r="HJ23" s="755"/>
      <c r="HK23" s="756"/>
      <c r="HL23" s="747"/>
      <c r="HM23" s="748"/>
      <c r="HN23" s="748"/>
      <c r="HO23" s="748"/>
      <c r="HP23" s="748"/>
      <c r="HQ23" s="748"/>
      <c r="HR23" s="748"/>
      <c r="HS23" s="57"/>
      <c r="HT23" s="57"/>
      <c r="HU23" s="58"/>
      <c r="HV23" s="57"/>
      <c r="HW23" s="757" t="s">
        <v>1204</v>
      </c>
      <c r="HX23" s="747"/>
      <c r="HY23" s="57">
        <v>20</v>
      </c>
      <c r="HZ23" s="758" t="str">
        <f>IF(OR($AV$6="O1",$AV$6="O2",$AV$6="O3"),Sorts!AI94,IF(OR($BB$6="O1",$BB$6="O2"),Sorts!AI156,""))</f>
        <v>Quête Magique</v>
      </c>
      <c r="IA23" s="744"/>
      <c r="IB23" s="744"/>
      <c r="IC23" s="744"/>
      <c r="ID23" s="744"/>
      <c r="IE23" s="744"/>
      <c r="IF23" s="744"/>
      <c r="IG23" s="744"/>
      <c r="IH23" s="744"/>
      <c r="II23" s="744"/>
      <c r="IJ23" s="744"/>
      <c r="IK23" s="744"/>
      <c r="IL23" s="744"/>
      <c r="IM23" s="744">
        <v>0</v>
      </c>
      <c r="IN23" s="745"/>
      <c r="IO23" s="746" t="str">
        <f>IF(OR($AV$6="O1",$AV$6="O2",$AV$6="O3"),Sorts!AJ94,IF(OR($BB$6="O1",$BB$6="O2"),Sorts!AJ156,""))</f>
        <v>T</v>
      </c>
      <c r="IP23" s="747"/>
      <c r="IQ23" s="748" t="str">
        <f>IF(OR($AV$6="O1",$AV$6="O2",$AV$6="O3"),Sorts!AK94,IF(OR($BB$6="O1",$BB$6="O2"),Sorts!AK156,""))</f>
        <v>S</v>
      </c>
      <c r="IR23" s="748"/>
      <c r="IS23" s="748"/>
      <c r="IT23" s="57" t="str">
        <f>IF(OR($AV$6="O1",$AV$6="O2",$AV$6="O3"),Sorts!AL94,IF(OR($BB$6="O1",$BB$6="O2"),Sorts!AL156,""))</f>
        <v>X</v>
      </c>
      <c r="IU23" s="57" t="str">
        <f>IF(OR($AV$6="O1",$AV$6="O2",$AV$6="O3"),Sorts!AM94,IF(OR($BB$6="O1",$BB$6="O2"),Sorts!AM156,""))</f>
        <v>/</v>
      </c>
      <c r="IV23" s="58" t="str">
        <f>IF(OR($AV$6="O1",$AV$6="O2",$AV$6="O3"),Sorts!AN94,IF(OR($BB$6="O1",$BB$6="O2"),Sorts!AN156,""))</f>
        <v>/</v>
      </c>
      <c r="IW23" s="60"/>
      <c r="IY23" s="384"/>
      <c r="IZ23" s="762"/>
      <c r="JA23" s="762"/>
      <c r="JB23" s="762"/>
      <c r="JC23" s="762"/>
      <c r="JD23" s="762"/>
      <c r="JE23" s="762"/>
      <c r="JF23" s="762"/>
      <c r="JG23" s="762"/>
      <c r="JH23" s="762"/>
      <c r="JI23" s="762"/>
      <c r="JJ23" s="762"/>
      <c r="JK23" s="762"/>
      <c r="JL23" s="763"/>
      <c r="JM23" s="759"/>
      <c r="JN23" s="760"/>
      <c r="JO23" s="761"/>
      <c r="JP23" s="761"/>
      <c r="JQ23" s="761"/>
      <c r="JR23" s="761"/>
      <c r="JS23" s="761"/>
      <c r="JT23" s="761"/>
      <c r="JU23" s="385"/>
      <c r="JV23" s="385"/>
      <c r="JW23" s="386"/>
      <c r="JX23" s="385"/>
      <c r="JY23" s="757" t="s">
        <v>1204</v>
      </c>
      <c r="JZ23" s="747"/>
      <c r="KA23" s="57">
        <v>20</v>
      </c>
      <c r="KB23" s="746" t="str">
        <f>IF(OR($AV$6="O1",$AV$6="O2",$AV$6="O3"),Sorts!AU94,IF(OR($BB$6="O1",$BB$6="O2"),Sorts!AU156,""))</f>
        <v>Transformation d’Objets</v>
      </c>
      <c r="KC23" s="754"/>
      <c r="KD23" s="754"/>
      <c r="KE23" s="754"/>
      <c r="KF23" s="754"/>
      <c r="KG23" s="754"/>
      <c r="KH23" s="754"/>
      <c r="KI23" s="754"/>
      <c r="KJ23" s="754"/>
      <c r="KK23" s="754"/>
      <c r="KL23" s="754"/>
      <c r="KM23" s="754"/>
      <c r="KN23" s="755"/>
      <c r="KO23" s="744">
        <v>0</v>
      </c>
      <c r="KP23" s="745"/>
      <c r="KQ23" s="746" t="str">
        <f>IF(OR($AV$6="O1",$AV$6="O2",$AV$6="O3"),Sorts!AV94,IF(OR($BB$6="O1",$BB$6="O2"),Sorts!AV156,""))</f>
        <v>0,5''/n</v>
      </c>
      <c r="KR23" s="747"/>
      <c r="KS23" s="748" t="str">
        <f>IF(OR($AV$6="O1",$AV$6="O2",$AV$6="O3"),Sorts!AW94,IF(OR($BB$6="O1",$BB$6="O2"),Sorts!AW156,""))</f>
        <v>V</v>
      </c>
      <c r="KT23" s="748"/>
      <c r="KU23" s="748"/>
      <c r="KV23" s="57" t="str">
        <f>IF(OR($AV$6="O1",$AV$6="O2",$AV$6="O3"),Sorts!AX94,IF(OR($BB$6="O1",$BB$6="O2"),Sorts!AX156,""))</f>
        <v>X</v>
      </c>
      <c r="KW23" s="57" t="str">
        <f>IF(OR($AV$6="O1",$AV$6="O2",$AV$6="O3"),Sorts!AY94,IF(OR($BB$6="O1",$BB$6="O2"),Sorts!AY156,""))</f>
        <v>X</v>
      </c>
      <c r="KX23" s="58" t="str">
        <f>IF(OR($AV$6="O1",$AV$6="O2",$AV$6="O3"),Sorts!AZ94,IF(OR($BB$6="O1",$BB$6="O2"),Sorts!AZ156,""))</f>
        <v>X</v>
      </c>
    </row>
    <row r="24" spans="2:310" ht="18" customHeight="1" thickTop="1" thickBot="1" x14ac:dyDescent="0.3">
      <c r="B24" s="564" t="s">
        <v>1710</v>
      </c>
      <c r="C24" s="67"/>
      <c r="D24" s="67"/>
      <c r="E24" s="67"/>
      <c r="F24" s="67"/>
      <c r="G24" s="67"/>
      <c r="H24" s="67"/>
      <c r="I24" s="67"/>
      <c r="J24" s="67"/>
      <c r="K24" s="67"/>
      <c r="L24" s="67"/>
      <c r="M24" s="67"/>
      <c r="N24" s="848"/>
      <c r="O24" s="848"/>
      <c r="P24" s="68"/>
      <c r="Q24" s="4"/>
      <c r="AQ24" s="56">
        <v>15</v>
      </c>
      <c r="AR24" s="754" t="str">
        <f>IF($AV$4="O",Sorts!E18,IF($BB$4="O",Sorts!E42,""))</f>
        <v/>
      </c>
      <c r="AS24" s="754"/>
      <c r="AT24" s="754"/>
      <c r="AU24" s="754"/>
      <c r="AV24" s="754"/>
      <c r="AW24" s="754"/>
      <c r="AX24" s="754"/>
      <c r="AY24" s="754"/>
      <c r="AZ24" s="754"/>
      <c r="BA24" s="754"/>
      <c r="BB24" s="754"/>
      <c r="BC24" s="754"/>
      <c r="BD24" s="755"/>
      <c r="BE24" s="756">
        <v>0</v>
      </c>
      <c r="BF24" s="754"/>
      <c r="BG24" s="748" t="str">
        <f>IF($AV$4="O",Sorts!F18,IF($BB$4="O",Sorts!F42,""))</f>
        <v/>
      </c>
      <c r="BH24" s="748"/>
      <c r="BI24" s="748"/>
      <c r="BJ24" s="748" t="str">
        <f>IF($AV$4="O",Sorts!G18,IF($BB$4="O",Sorts!G42,""))</f>
        <v/>
      </c>
      <c r="BK24" s="748"/>
      <c r="BL24" s="748"/>
      <c r="BM24" s="57" t="str">
        <f>IF($AV$4="O",Sorts!H18,IF($BB$4="O",Sorts!H42,""))</f>
        <v/>
      </c>
      <c r="BN24" s="57" t="str">
        <f>IF($AV$4="O",Sorts!I18,IF($BB$4="O",Sorts!I42,""))</f>
        <v/>
      </c>
      <c r="BO24" s="369" t="str">
        <f>IF($AV$4="O",Sorts!J18,IF($BB$4="O",Sorts!J42,""))</f>
        <v/>
      </c>
      <c r="BP24" s="366"/>
      <c r="BQ24" s="757" t="s">
        <v>1204</v>
      </c>
      <c r="BR24" s="747"/>
      <c r="BS24" s="57">
        <v>15</v>
      </c>
      <c r="BT24" s="758" t="str">
        <f>IF(OR($AV$6="O1",$AV$6="O2",$AV$6="O3"),Sorts!E89,IF(OR($BB$6="O1",$BB$6="O2"),Sorts!E151,""))</f>
        <v>Écriture</v>
      </c>
      <c r="BU24" s="744"/>
      <c r="BV24" s="744"/>
      <c r="BW24" s="744"/>
      <c r="BX24" s="744"/>
      <c r="BY24" s="744"/>
      <c r="BZ24" s="744"/>
      <c r="CA24" s="744"/>
      <c r="CB24" s="744"/>
      <c r="CC24" s="744"/>
      <c r="CD24" s="744"/>
      <c r="CE24" s="744"/>
      <c r="CF24" s="744"/>
      <c r="CG24" s="744">
        <v>0</v>
      </c>
      <c r="CH24" s="745"/>
      <c r="CI24" s="746">
        <f>IF(OR($AV$6="O1",$AV$6="O2",$AV$6="O3"),Sorts!F89,IF(OR($BB$6="O1",$BB$6="O2"),Sorts!F151,""))</f>
        <v>0</v>
      </c>
      <c r="CJ24" s="747"/>
      <c r="CK24" s="748" t="str">
        <f>IF(OR($AV$6="O1",$AV$6="O2",$AV$6="O3"),Sorts!G89,IF(OR($BB$6="O1",$BB$6="O2"),Sorts!G151,""))</f>
        <v>1h/n</v>
      </c>
      <c r="CL24" s="748"/>
      <c r="CM24" s="748"/>
      <c r="CN24" s="57" t="str">
        <f>IF(OR($AV$6="O1",$AV$6="O2",$AV$6="O3"),Sorts!H89,IF(OR($BB$6="O1",$BB$6="O2"),Sorts!H151,""))</f>
        <v>X</v>
      </c>
      <c r="CO24" s="57" t="str">
        <f>IF(OR($AV$6="O1",$AV$6="O2",$AV$6="O3"),Sorts!I89,IF(OR($BB$6="O1",$BB$6="O2"),Sorts!I151,""))</f>
        <v>X</v>
      </c>
      <c r="CP24" s="58" t="str">
        <f>IF(OR($AV$6="O1",$AV$6="O2",$AV$6="O3"),Sorts!J89,IF(OR($BB$6="O1",$BB$6="O2"),Sorts!J151,""))</f>
        <v>X</v>
      </c>
      <c r="CQ24" s="60"/>
      <c r="CS24" s="56">
        <v>21</v>
      </c>
      <c r="CT24" s="754"/>
      <c r="CU24" s="754"/>
      <c r="CV24" s="754"/>
      <c r="CW24" s="754"/>
      <c r="CX24" s="754"/>
      <c r="CY24" s="754"/>
      <c r="CZ24" s="754"/>
      <c r="DA24" s="754"/>
      <c r="DB24" s="754"/>
      <c r="DC24" s="754"/>
      <c r="DD24" s="754"/>
      <c r="DE24" s="754"/>
      <c r="DF24" s="755"/>
      <c r="DG24" s="756"/>
      <c r="DH24" s="747"/>
      <c r="DI24" s="748"/>
      <c r="DJ24" s="748"/>
      <c r="DK24" s="748"/>
      <c r="DL24" s="748"/>
      <c r="DM24" s="748"/>
      <c r="DN24" s="748"/>
      <c r="DO24" s="57"/>
      <c r="DP24" s="57"/>
      <c r="DQ24" s="58"/>
      <c r="DR24" s="57"/>
      <c r="DS24" s="757" t="s">
        <v>1204</v>
      </c>
      <c r="DT24" s="747"/>
      <c r="DU24" s="57">
        <v>21</v>
      </c>
      <c r="DV24" s="758" t="str">
        <f>IF(OR($AV$6="O1",$AV$6="O2",$AV$6="O3"),Sorts!K95,IF(OR($BB$6="O1",$BB$6="O2"),Sorts!K157,""))</f>
        <v>Ouverture</v>
      </c>
      <c r="DW24" s="744"/>
      <c r="DX24" s="744"/>
      <c r="DY24" s="744"/>
      <c r="DZ24" s="744"/>
      <c r="EA24" s="744"/>
      <c r="EB24" s="744"/>
      <c r="EC24" s="744"/>
      <c r="ED24" s="744"/>
      <c r="EE24" s="744"/>
      <c r="EF24" s="744"/>
      <c r="EG24" s="744"/>
      <c r="EH24" s="744"/>
      <c r="EI24" s="744">
        <v>0</v>
      </c>
      <c r="EJ24" s="745"/>
      <c r="EK24" s="746" t="str">
        <f>IF(OR($AV$6="O1",$AV$6="O2",$AV$6="O3"),Sorts!L95,IF(OR($BB$6="O1",$BB$6="O2"),Sorts!L157,""))</f>
        <v>6''</v>
      </c>
      <c r="EL24" s="747"/>
      <c r="EM24" s="748" t="str">
        <f>IF(OR($AV$6="O1",$AV$6="O2",$AV$6="O3"),Sorts!M95,IF(OR($BB$6="O1",$BB$6="O2"),Sorts!M157,""))</f>
        <v>S</v>
      </c>
      <c r="EN24" s="748"/>
      <c r="EO24" s="748"/>
      <c r="EP24" s="57" t="str">
        <f>IF(OR($AV$6="O1",$AV$6="O2",$AV$6="O3"),Sorts!N95,IF(OR($BB$6="O1",$BB$6="O2"),Sorts!N157,""))</f>
        <v>X</v>
      </c>
      <c r="EQ24" s="57" t="str">
        <f>IF(OR($AV$6="O1",$AV$6="O2",$AV$6="O3"),Sorts!O95,IF(OR($BB$6="O1",$BB$6="O2"),Sorts!O157,""))</f>
        <v>/</v>
      </c>
      <c r="ER24" s="58" t="str">
        <f>IF(OR($AV$6="O1",$AV$6="O2",$AV$6="O3"),Sorts!P95,IF(OR($BB$6="O1",$BB$6="O2"),Sorts!P157,""))</f>
        <v>/</v>
      </c>
      <c r="ES24" s="60"/>
      <c r="EU24" s="56">
        <v>21</v>
      </c>
      <c r="EV24" s="754"/>
      <c r="EW24" s="754"/>
      <c r="EX24" s="754"/>
      <c r="EY24" s="754"/>
      <c r="EZ24" s="754"/>
      <c r="FA24" s="754"/>
      <c r="FB24" s="754"/>
      <c r="FC24" s="754"/>
      <c r="FD24" s="754"/>
      <c r="FE24" s="754"/>
      <c r="FF24" s="754"/>
      <c r="FG24" s="754"/>
      <c r="FH24" s="755"/>
      <c r="FI24" s="756"/>
      <c r="FJ24" s="747"/>
      <c r="FK24" s="748"/>
      <c r="FL24" s="748"/>
      <c r="FM24" s="748"/>
      <c r="FN24" s="748"/>
      <c r="FO24" s="748"/>
      <c r="FP24" s="748"/>
      <c r="FQ24" s="57"/>
      <c r="FR24" s="57"/>
      <c r="FS24" s="58"/>
      <c r="FT24" s="57"/>
      <c r="FU24" s="757" t="s">
        <v>1204</v>
      </c>
      <c r="FV24" s="747"/>
      <c r="FW24" s="57">
        <v>21</v>
      </c>
      <c r="FX24" s="758" t="str">
        <f>IF(OR($AV$6="O1",$AV$6="O2",$AV$6="O3"),Sorts!W95,IF(OR($BB$6="O1",$BB$6="O2"),Sorts!W157,""))</f>
        <v>Mur de Feu</v>
      </c>
      <c r="FY24" s="744"/>
      <c r="FZ24" s="744"/>
      <c r="GA24" s="744"/>
      <c r="GB24" s="744"/>
      <c r="GC24" s="744"/>
      <c r="GD24" s="744"/>
      <c r="GE24" s="744"/>
      <c r="GF24" s="744"/>
      <c r="GG24" s="744"/>
      <c r="GH24" s="744"/>
      <c r="GI24" s="744"/>
      <c r="GJ24" s="744"/>
      <c r="GK24" s="744">
        <v>0</v>
      </c>
      <c r="GL24" s="745"/>
      <c r="GM24" s="746" t="str">
        <f>IF(OR($AV$6="O1",$AV$6="O2",$AV$6="O3"),Sorts!X95,IF(OR($BB$6="O1",$BB$6="O2"),Sorts!X157,""))</f>
        <v>6''</v>
      </c>
      <c r="GN24" s="747"/>
      <c r="GO24" s="748" t="str">
        <f>IF(OR($AV$6="O1",$AV$6="O2",$AV$6="O3"),Sorts!Y95,IF(OR($BB$6="O1",$BB$6="O2"),Sorts!Y157,""))</f>
        <v>S</v>
      </c>
      <c r="GP24" s="748"/>
      <c r="GQ24" s="748"/>
      <c r="GR24" s="57" t="str">
        <f>IF(OR($AV$6="O1",$AV$6="O2",$AV$6="O3"),Sorts!Z95,IF(OR($BB$6="O1",$BB$6="O2"),Sorts!Z157,""))</f>
        <v>X</v>
      </c>
      <c r="GS24" s="57" t="str">
        <f>IF(OR($AV$6="O1",$AV$6="O2",$AV$6="O3"),Sorts!AA95,IF(OR($BB$6="O1",$BB$6="O2"),Sorts!AA157,""))</f>
        <v>X</v>
      </c>
      <c r="GT24" s="58" t="str">
        <f>IF(OR($AV$6="O1",$AV$6="O2",$AV$6="O3"),Sorts!AB95,IF(OR($BB$6="O1",$BB$6="O2"),Sorts!AB157,""))</f>
        <v>X</v>
      </c>
      <c r="GU24" s="60"/>
      <c r="GW24" s="56">
        <v>21</v>
      </c>
      <c r="GX24" s="754"/>
      <c r="GY24" s="754"/>
      <c r="GZ24" s="754"/>
      <c r="HA24" s="754"/>
      <c r="HB24" s="754"/>
      <c r="HC24" s="754"/>
      <c r="HD24" s="754"/>
      <c r="HE24" s="754"/>
      <c r="HF24" s="754"/>
      <c r="HG24" s="754"/>
      <c r="HH24" s="754"/>
      <c r="HI24" s="754"/>
      <c r="HJ24" s="755"/>
      <c r="HK24" s="756"/>
      <c r="HL24" s="747"/>
      <c r="HM24" s="748"/>
      <c r="HN24" s="748"/>
      <c r="HO24" s="748"/>
      <c r="HP24" s="748"/>
      <c r="HQ24" s="748"/>
      <c r="HR24" s="748"/>
      <c r="HS24" s="57"/>
      <c r="HT24" s="57"/>
      <c r="HU24" s="58"/>
      <c r="HV24" s="57"/>
      <c r="HW24" s="757" t="s">
        <v>1204</v>
      </c>
      <c r="HX24" s="747"/>
      <c r="HY24" s="57">
        <v>21</v>
      </c>
      <c r="HZ24" s="758" t="str">
        <f>IF(OR($AV$6="O1",$AV$6="O2",$AV$6="O3"),Sorts!AI95,IF(OR($BB$6="O1",$BB$6="O2"),Sorts!AI157,""))</f>
        <v>Réincarnation</v>
      </c>
      <c r="IA24" s="744"/>
      <c r="IB24" s="744"/>
      <c r="IC24" s="744"/>
      <c r="ID24" s="744"/>
      <c r="IE24" s="744"/>
      <c r="IF24" s="744"/>
      <c r="IG24" s="744"/>
      <c r="IH24" s="744"/>
      <c r="II24" s="744"/>
      <c r="IJ24" s="744"/>
      <c r="IK24" s="744"/>
      <c r="IL24" s="744"/>
      <c r="IM24" s="744">
        <v>0</v>
      </c>
      <c r="IN24" s="745"/>
      <c r="IO24" s="746" t="str">
        <f>IF(OR($AV$6="O1",$AV$6="O2",$AV$6="O3"),Sorts!AJ95,IF(OR($BB$6="O1",$BB$6="O2"),Sorts!AJ157,""))</f>
        <v>T</v>
      </c>
      <c r="IP24" s="747"/>
      <c r="IQ24" s="748" t="str">
        <f>IF(OR($AV$6="O1",$AV$6="O2",$AV$6="O3"),Sorts!AK95,IF(OR($BB$6="O1",$BB$6="O2"),Sorts!AK157,""))</f>
        <v>P</v>
      </c>
      <c r="IR24" s="748"/>
      <c r="IS24" s="748"/>
      <c r="IT24" s="57" t="str">
        <f>IF(OR($AV$6="O1",$AV$6="O2",$AV$6="O3"),Sorts!AL95,IF(OR($BB$6="O1",$BB$6="O2"),Sorts!AL157,""))</f>
        <v>X</v>
      </c>
      <c r="IU24" s="57" t="str">
        <f>IF(OR($AV$6="O1",$AV$6="O2",$AV$6="O3"),Sorts!AM95,IF(OR($BB$6="O1",$BB$6="O2"),Sorts!AM157,""))</f>
        <v>X</v>
      </c>
      <c r="IV24" s="58" t="str">
        <f>IF(OR($AV$6="O1",$AV$6="O2",$AV$6="O3"),Sorts!AN95,IF(OR($BB$6="O1",$BB$6="O2"),Sorts!AN157,""))</f>
        <v>X</v>
      </c>
      <c r="IW24" s="60"/>
      <c r="IY24" s="628" t="s">
        <v>269</v>
      </c>
      <c r="IZ24" s="629"/>
      <c r="JA24" s="629"/>
      <c r="JB24" s="629"/>
      <c r="JC24" s="629"/>
      <c r="JD24" s="629"/>
      <c r="JE24" s="629"/>
      <c r="JF24" s="629"/>
      <c r="JG24" s="629"/>
      <c r="JH24" s="629"/>
      <c r="JI24" s="629"/>
      <c r="JJ24" s="629"/>
      <c r="JK24" s="629"/>
      <c r="JL24" s="629"/>
      <c r="JM24" s="629"/>
      <c r="JN24" s="629"/>
      <c r="JO24" s="629"/>
      <c r="JP24" s="629"/>
      <c r="JQ24" s="629"/>
      <c r="JR24" s="629"/>
      <c r="JS24" s="629"/>
      <c r="JT24" s="629"/>
      <c r="JU24" s="629"/>
      <c r="JV24" s="629"/>
      <c r="JW24" s="629"/>
      <c r="JX24" s="629"/>
      <c r="JY24" s="629"/>
      <c r="JZ24" s="629"/>
      <c r="KA24" s="629"/>
      <c r="KB24" s="629"/>
      <c r="KC24" s="629"/>
      <c r="KD24" s="629"/>
      <c r="KE24" s="629"/>
      <c r="KF24" s="629"/>
      <c r="KG24" s="629"/>
      <c r="KH24" s="629"/>
      <c r="KI24" s="629"/>
      <c r="KJ24" s="629"/>
      <c r="KK24" s="629"/>
      <c r="KL24" s="629"/>
      <c r="KM24" s="629"/>
      <c r="KN24" s="629"/>
      <c r="KO24" s="629"/>
      <c r="KP24" s="629"/>
      <c r="KQ24" s="629"/>
      <c r="KR24" s="629"/>
      <c r="KS24" s="629"/>
      <c r="KT24" s="629"/>
      <c r="KU24" s="629"/>
      <c r="KV24" s="629"/>
      <c r="KW24" s="629"/>
      <c r="KX24" s="749"/>
    </row>
    <row r="25" spans="2:310" ht="18" customHeight="1" thickTop="1" thickBot="1" x14ac:dyDescent="0.3">
      <c r="B25" s="4"/>
      <c r="L25" s="903" t="s">
        <v>236</v>
      </c>
      <c r="M25" s="903"/>
      <c r="N25" s="904" t="s">
        <v>24</v>
      </c>
      <c r="O25" s="904"/>
      <c r="P25" s="69"/>
      <c r="R25" s="425" t="s">
        <v>16</v>
      </c>
      <c r="S25" s="67"/>
      <c r="T25" s="67"/>
      <c r="U25" s="67"/>
      <c r="V25" s="67"/>
      <c r="W25" s="419" t="str">
        <f>IF(OR(Classe1="voleur",Classe2="voleur",Classe3="voleur"),"V",IF(Classe1="voleur Acrobate","V",IF(OR(Classe1="assassin",Classe2="assassin"),"A",IF(Classe1="moine","M",IF(Classe1="barde","B","NA")))))</f>
        <v>NA</v>
      </c>
      <c r="X25" s="420" t="str">
        <f>IF(OR(Classe1="Voleur",Classe1="Voleur Acrobate",Classe1="Assassin",Classe1="Moine",Classe1="Barde"),NivC1,IF(OR(Classe2="Voleur",Classe2="Assassin"),NivC2,IF(Classe3="Voleur",NivC3,"")))</f>
        <v/>
      </c>
      <c r="Y25" s="66"/>
      <c r="AA25" s="628" t="s">
        <v>28</v>
      </c>
      <c r="AB25" s="629"/>
      <c r="AC25" s="629"/>
      <c r="AD25" s="629"/>
      <c r="AE25" s="629"/>
      <c r="AF25" s="21" t="s">
        <v>1859</v>
      </c>
      <c r="AG25" s="21"/>
      <c r="AH25" s="21"/>
      <c r="AI25" s="21"/>
      <c r="AJ25" s="421"/>
      <c r="AK25" s="821" cm="1">
        <f t="array" ref="AK25">IF(Classe3&lt;&gt;"/",MIN(INDEX(Niveau!$B$159:$P$195,NivC1+1,MATCH(Classe1,Niveau!$C$159:$P$159,0)+1),INDEX(Niveau!$B$159:$P$195,NivC2+1,MATCH(Classe2,Niveau!$C$159:$P$159,0)+1),INDEX(Niveau!$B$159:$P$195,NivC3+1,MATCH(Classe3,Niveau!$C$159:$P$159,0)+1)),IF(Classe2&lt;&gt;"/",MIN(INDEX(Niveau!$B$159:$P$195,NivC1+1,MATCH(Classe1,Niveau!$C$159:$P$159,0)+1),INDEX(Niveau!$B$159:$P$195,NivC2+1,MATCH(Classe2,Niveau!$C$159:$P$159,0)+1)),INDEX(Niveau!$B$159:$P$195,NivC1+1,MATCH(Classe1,Niveau!$C$159:$P$159,0)+1)))+$AN$26+$AN$30</f>
        <v>13</v>
      </c>
      <c r="AL25" s="822"/>
      <c r="AM25" s="21"/>
      <c r="AN25" s="825" t="s">
        <v>5</v>
      </c>
      <c r="AO25" s="826"/>
      <c r="AQ25" s="56">
        <v>16</v>
      </c>
      <c r="AR25" s="754" t="str">
        <f>IF($AV$4="O",Sorts!E19,IF($BB$4="O",Sorts!E43,""))</f>
        <v/>
      </c>
      <c r="AS25" s="754"/>
      <c r="AT25" s="754"/>
      <c r="AU25" s="754"/>
      <c r="AV25" s="754"/>
      <c r="AW25" s="754"/>
      <c r="AX25" s="754"/>
      <c r="AY25" s="754"/>
      <c r="AZ25" s="754"/>
      <c r="BA25" s="754"/>
      <c r="BB25" s="754"/>
      <c r="BC25" s="754"/>
      <c r="BD25" s="755"/>
      <c r="BE25" s="756">
        <v>0</v>
      </c>
      <c r="BF25" s="754"/>
      <c r="BG25" s="748" t="str">
        <f>IF($AV$4="O",Sorts!F19,IF($BB$4="O",Sorts!F43,""))</f>
        <v/>
      </c>
      <c r="BH25" s="748"/>
      <c r="BI25" s="748"/>
      <c r="BJ25" s="748" t="str">
        <f>IF($AV$4="O",Sorts!G19,IF($BB$4="O",Sorts!G43,""))</f>
        <v/>
      </c>
      <c r="BK25" s="748"/>
      <c r="BL25" s="748"/>
      <c r="BM25" s="57" t="str">
        <f>IF($AV$4="O",Sorts!H19,IF($BB$4="O",Sorts!H43,""))</f>
        <v/>
      </c>
      <c r="BN25" s="57" t="str">
        <f>IF($AV$4="O",Sorts!I19,IF($BB$4="O",Sorts!I43,""))</f>
        <v/>
      </c>
      <c r="BO25" s="369" t="str">
        <f>IF($AV$4="O",Sorts!J19,IF($BB$4="O",Sorts!J43,""))</f>
        <v/>
      </c>
      <c r="BP25" s="366"/>
      <c r="BQ25" s="757" t="s">
        <v>1204</v>
      </c>
      <c r="BR25" s="747"/>
      <c r="BS25" s="57">
        <v>16</v>
      </c>
      <c r="BT25" s="758" t="str">
        <f>IF(OR($AV$6="O1",$AV$6="O2",$AV$6="O3"),Sorts!E90,IF(OR($BB$6="O1",$BB$6="O2"),Sorts!E152,""))</f>
        <v>Effacement</v>
      </c>
      <c r="BU25" s="744"/>
      <c r="BV25" s="744"/>
      <c r="BW25" s="744"/>
      <c r="BX25" s="744"/>
      <c r="BY25" s="744"/>
      <c r="BZ25" s="744"/>
      <c r="CA25" s="744"/>
      <c r="CB25" s="744"/>
      <c r="CC25" s="744"/>
      <c r="CD25" s="744"/>
      <c r="CE25" s="744"/>
      <c r="CF25" s="744"/>
      <c r="CG25" s="744">
        <v>0</v>
      </c>
      <c r="CH25" s="745"/>
      <c r="CI25" s="746" t="str">
        <f>IF(OR($AV$6="O1",$AV$6="O2",$AV$6="O3"),Sorts!F90,IF(OR($BB$6="O1",$BB$6="O2"),Sorts!F152,""))</f>
        <v>3’’</v>
      </c>
      <c r="CJ25" s="747"/>
      <c r="CK25" s="748" t="str">
        <f>IF(OR($AV$6="O1",$AV$6="O2",$AV$6="O3"),Sorts!G90,IF(OR($BB$6="O1",$BB$6="O2"),Sorts!G152,""))</f>
        <v>P</v>
      </c>
      <c r="CL25" s="748"/>
      <c r="CM25" s="748"/>
      <c r="CN25" s="57" t="str">
        <f>IF(OR($AV$6="O1",$AV$6="O2",$AV$6="O3"),Sorts!H90,IF(OR($BB$6="O1",$BB$6="O2"),Sorts!H152,""))</f>
        <v>X</v>
      </c>
      <c r="CO25" s="57" t="str">
        <f>IF(OR($AV$6="O1",$AV$6="O2",$AV$6="O3"),Sorts!I90,IF(OR($BB$6="O1",$BB$6="O2"),Sorts!I152,""))</f>
        <v>X</v>
      </c>
      <c r="CP25" s="58" t="str">
        <f>IF(OR($AV$6="O1",$AV$6="O2",$AV$6="O3"),Sorts!J90,IF(OR($BB$6="O1",$BB$6="O2"),Sorts!J152,""))</f>
        <v>/</v>
      </c>
      <c r="CQ25" s="60"/>
      <c r="CS25" s="56">
        <v>22</v>
      </c>
      <c r="CT25" s="754"/>
      <c r="CU25" s="754"/>
      <c r="CV25" s="754"/>
      <c r="CW25" s="754"/>
      <c r="CX25" s="754"/>
      <c r="CY25" s="754"/>
      <c r="CZ25" s="754"/>
      <c r="DA25" s="754"/>
      <c r="DB25" s="754"/>
      <c r="DC25" s="754"/>
      <c r="DD25" s="754"/>
      <c r="DE25" s="754"/>
      <c r="DF25" s="755"/>
      <c r="DG25" s="756"/>
      <c r="DH25" s="747"/>
      <c r="DI25" s="748"/>
      <c r="DJ25" s="748"/>
      <c r="DK25" s="748"/>
      <c r="DL25" s="748"/>
      <c r="DM25" s="748"/>
      <c r="DN25" s="748"/>
      <c r="DO25" s="57"/>
      <c r="DP25" s="57"/>
      <c r="DQ25" s="58"/>
      <c r="DR25" s="57"/>
      <c r="DS25" s="757" t="s">
        <v>1204</v>
      </c>
      <c r="DT25" s="747"/>
      <c r="DU25" s="57">
        <v>22</v>
      </c>
      <c r="DV25" s="758" t="str">
        <f>IF(OR($AV$6="O1",$AV$6="O2",$AV$6="O3"),Sorts!K96,IF(OR($BB$6="O1",$BB$6="O2"),Sorts!K158,""))</f>
        <v>Perception des Alignements</v>
      </c>
      <c r="DW25" s="744"/>
      <c r="DX25" s="744"/>
      <c r="DY25" s="744"/>
      <c r="DZ25" s="744"/>
      <c r="EA25" s="744"/>
      <c r="EB25" s="744"/>
      <c r="EC25" s="744"/>
      <c r="ED25" s="744"/>
      <c r="EE25" s="744"/>
      <c r="EF25" s="744"/>
      <c r="EG25" s="744"/>
      <c r="EH25" s="744"/>
      <c r="EI25" s="744">
        <v>0</v>
      </c>
      <c r="EJ25" s="745"/>
      <c r="EK25" s="746" t="str">
        <f>IF(OR($AV$6="O1",$AV$6="O2",$AV$6="O3"),Sorts!L96,IF(OR($BB$6="O1",$BB$6="O2"),Sorts!L158,""))</f>
        <v>1''</v>
      </c>
      <c r="EL25" s="747"/>
      <c r="EM25" s="748" t="str">
        <f>IF(OR($AV$6="O1",$AV$6="O2",$AV$6="O3"),Sorts!M96,IF(OR($BB$6="O1",$BB$6="O2"),Sorts!M158,""))</f>
        <v>1r/n</v>
      </c>
      <c r="EN25" s="748"/>
      <c r="EO25" s="748"/>
      <c r="EP25" s="57" t="str">
        <f>IF(OR($AV$6="O1",$AV$6="O2",$AV$6="O3"),Sorts!N96,IF(OR($BB$6="O1",$BB$6="O2"),Sorts!N158,""))</f>
        <v>X</v>
      </c>
      <c r="EQ25" s="57" t="str">
        <f>IF(OR($AV$6="O1",$AV$6="O2",$AV$6="O3"),Sorts!O96,IF(OR($BB$6="O1",$BB$6="O2"),Sorts!O158,""))</f>
        <v>X</v>
      </c>
      <c r="ER25" s="58" t="str">
        <f>IF(OR($AV$6="O1",$AV$6="O2",$AV$6="O3"),Sorts!P96,IF(OR($BB$6="O1",$BB$6="O2"),Sorts!P158,""))</f>
        <v>/</v>
      </c>
      <c r="ES25" s="60"/>
      <c r="EU25" s="56">
        <v>22</v>
      </c>
      <c r="EV25" s="754"/>
      <c r="EW25" s="754"/>
      <c r="EX25" s="754"/>
      <c r="EY25" s="754"/>
      <c r="EZ25" s="754"/>
      <c r="FA25" s="754"/>
      <c r="FB25" s="754"/>
      <c r="FC25" s="754"/>
      <c r="FD25" s="754"/>
      <c r="FE25" s="754"/>
      <c r="FF25" s="754"/>
      <c r="FG25" s="754"/>
      <c r="FH25" s="755"/>
      <c r="FI25" s="756"/>
      <c r="FJ25" s="747"/>
      <c r="FK25" s="748"/>
      <c r="FL25" s="748"/>
      <c r="FM25" s="748"/>
      <c r="FN25" s="748"/>
      <c r="FO25" s="748"/>
      <c r="FP25" s="748"/>
      <c r="FQ25" s="57"/>
      <c r="FR25" s="57"/>
      <c r="FS25" s="58"/>
      <c r="FT25" s="57"/>
      <c r="FU25" s="757" t="s">
        <v>1204</v>
      </c>
      <c r="FV25" s="747"/>
      <c r="FW25" s="57">
        <v>22</v>
      </c>
      <c r="FX25" s="758" t="str">
        <f>IF(OR($AV$6="O1",$AV$6="O2",$AV$6="O3"),Sorts!W96,IF(OR($BB$6="O1",$BB$6="O2"),Sorts!W158,""))</f>
        <v>Mur de Glace</v>
      </c>
      <c r="FY25" s="744"/>
      <c r="FZ25" s="744"/>
      <c r="GA25" s="744"/>
      <c r="GB25" s="744"/>
      <c r="GC25" s="744"/>
      <c r="GD25" s="744"/>
      <c r="GE25" s="744"/>
      <c r="GF25" s="744"/>
      <c r="GG25" s="744"/>
      <c r="GH25" s="744"/>
      <c r="GI25" s="744"/>
      <c r="GJ25" s="744"/>
      <c r="GK25" s="744">
        <v>0</v>
      </c>
      <c r="GL25" s="745"/>
      <c r="GM25" s="746" t="str">
        <f>IF(OR($AV$6="O1",$AV$6="O2",$AV$6="O3"),Sorts!X96,IF(OR($BB$6="O1",$BB$6="O2"),Sorts!X158,""))</f>
        <v>1''/n</v>
      </c>
      <c r="GN25" s="747"/>
      <c r="GO25" s="748" t="str">
        <f>IF(OR($AV$6="O1",$AV$6="O2",$AV$6="O3"),Sorts!Y96,IF(OR($BB$6="O1",$BB$6="O2"),Sorts!Y158,""))</f>
        <v>1t/n</v>
      </c>
      <c r="GP25" s="748"/>
      <c r="GQ25" s="748"/>
      <c r="GR25" s="57" t="str">
        <f>IF(OR($AV$6="O1",$AV$6="O2",$AV$6="O3"),Sorts!Z96,IF(OR($BB$6="O1",$BB$6="O2"),Sorts!Z158,""))</f>
        <v>X</v>
      </c>
      <c r="GS25" s="57" t="str">
        <f>IF(OR($AV$6="O1",$AV$6="O2",$AV$6="O3"),Sorts!AA96,IF(OR($BB$6="O1",$BB$6="O2"),Sorts!AA158,""))</f>
        <v>X</v>
      </c>
      <c r="GT25" s="58" t="str">
        <f>IF(OR($AV$6="O1",$AV$6="O2",$AV$6="O3"),Sorts!AB96,IF(OR($BB$6="O1",$BB$6="O2"),Sorts!AB158,""))</f>
        <v>X</v>
      </c>
      <c r="GU25" s="60"/>
      <c r="GW25" s="56">
        <v>22</v>
      </c>
      <c r="GX25" s="754"/>
      <c r="GY25" s="754"/>
      <c r="GZ25" s="754"/>
      <c r="HA25" s="754"/>
      <c r="HB25" s="754"/>
      <c r="HC25" s="754"/>
      <c r="HD25" s="754"/>
      <c r="HE25" s="754"/>
      <c r="HF25" s="754"/>
      <c r="HG25" s="754"/>
      <c r="HH25" s="754"/>
      <c r="HI25" s="754"/>
      <c r="HJ25" s="755"/>
      <c r="HK25" s="756"/>
      <c r="HL25" s="747"/>
      <c r="HM25" s="748"/>
      <c r="HN25" s="748"/>
      <c r="HO25" s="748"/>
      <c r="HP25" s="748"/>
      <c r="HQ25" s="748"/>
      <c r="HR25" s="748"/>
      <c r="HS25" s="57"/>
      <c r="HT25" s="57"/>
      <c r="HU25" s="58"/>
      <c r="HV25" s="57"/>
      <c r="HW25" s="757" t="s">
        <v>1204</v>
      </c>
      <c r="HX25" s="747"/>
      <c r="HY25" s="57">
        <v>22</v>
      </c>
      <c r="HZ25" s="758" t="str">
        <f>IF(OR($AV$6="O1",$AV$6="O2",$AV$6="O3"),Sorts!AI96,IF(OR($BB$6="O1",$BB$6="O2"),Sorts!AI158,""))</f>
        <v>Répulsion</v>
      </c>
      <c r="IA25" s="744"/>
      <c r="IB25" s="744"/>
      <c r="IC25" s="744"/>
      <c r="ID25" s="744"/>
      <c r="IE25" s="744"/>
      <c r="IF25" s="744"/>
      <c r="IG25" s="744"/>
      <c r="IH25" s="744"/>
      <c r="II25" s="744"/>
      <c r="IJ25" s="744"/>
      <c r="IK25" s="744"/>
      <c r="IL25" s="744"/>
      <c r="IM25" s="744">
        <v>0</v>
      </c>
      <c r="IN25" s="745"/>
      <c r="IO25" s="746" t="str">
        <f>IF(OR($AV$6="O1",$AV$6="O2",$AV$6="O3"),Sorts!AJ96,IF(OR($BB$6="O1",$BB$6="O2"),Sorts!AJ158,""))</f>
        <v>1''/n</v>
      </c>
      <c r="IP25" s="747"/>
      <c r="IQ25" s="748" t="str">
        <f>IF(OR($AV$6="O1",$AV$6="O2",$AV$6="O3"),Sorts!AK96,IF(OR($BB$6="O1",$BB$6="O2"),Sorts!AK158,""))</f>
        <v>1r/2n</v>
      </c>
      <c r="IR25" s="748"/>
      <c r="IS25" s="748"/>
      <c r="IT25" s="57" t="str">
        <f>IF(OR($AV$6="O1",$AV$6="O2",$AV$6="O3"),Sorts!AL96,IF(OR($BB$6="O1",$BB$6="O2"),Sorts!AL158,""))</f>
        <v>X</v>
      </c>
      <c r="IU25" s="57" t="str">
        <f>IF(OR($AV$6="O1",$AV$6="O2",$AV$6="O3"),Sorts!AM96,IF(OR($BB$6="O1",$BB$6="O2"),Sorts!AM158,""))</f>
        <v>X</v>
      </c>
      <c r="IV25" s="58" t="str">
        <f>IF(OR($AV$6="O1",$AV$6="O2",$AV$6="O3"),Sorts!AN96,IF(OR($BB$6="O1",$BB$6="O2"),Sorts!AN158,""))</f>
        <v>X</v>
      </c>
      <c r="IW25" s="60"/>
      <c r="IY25" s="70"/>
      <c r="KX25" s="71"/>
    </row>
    <row r="26" spans="2:310" ht="18" customHeight="1" thickBot="1" x14ac:dyDescent="0.3">
      <c r="B26" s="648" t="s">
        <v>17</v>
      </c>
      <c r="C26" s="649"/>
      <c r="D26" s="803" t="s">
        <v>1828</v>
      </c>
      <c r="E26" s="803"/>
      <c r="F26" s="803"/>
      <c r="G26" s="803"/>
      <c r="H26" s="803"/>
      <c r="I26" s="803"/>
      <c r="J26" s="803"/>
      <c r="K26" s="803"/>
      <c r="L26" s="814">
        <f>IF(AND(Code_Classe=14,OR(D26='Armures-Armes'!B4,D26='Armures-Armes'!B5)),VLOOKUP(NivC1,Classe!B44:I60,2,FALSE),VLOOKUP(D26,'Armures-Armes'!B3:E14,4,FALSE))</f>
        <v>3</v>
      </c>
      <c r="M26" s="814"/>
      <c r="N26" s="800">
        <v>0</v>
      </c>
      <c r="O26" s="800"/>
      <c r="P26" s="69"/>
      <c r="R26" s="50" t="s">
        <v>1564</v>
      </c>
      <c r="S26" s="51"/>
      <c r="T26" s="51"/>
      <c r="U26" s="51"/>
      <c r="V26" s="51"/>
      <c r="W26" s="51"/>
      <c r="X26" s="79"/>
      <c r="Y26" s="76"/>
      <c r="Z26" s="24"/>
      <c r="AA26" s="24"/>
      <c r="AB26" s="24"/>
      <c r="AC26" s="24"/>
      <c r="AF26" s="11" t="s">
        <v>31</v>
      </c>
      <c r="AG26" s="12"/>
      <c r="AH26" s="12"/>
      <c r="AI26" s="12"/>
      <c r="AJ26" s="13"/>
      <c r="AK26" s="823"/>
      <c r="AL26" s="824"/>
      <c r="AN26" s="900">
        <f>$U$19</f>
        <v>0</v>
      </c>
      <c r="AO26" s="901"/>
      <c r="AQ26" s="56">
        <v>17</v>
      </c>
      <c r="AR26" s="754" t="str">
        <f>IF($AV$4="O",Sorts!E20,IF($BB$4="O",Sorts!E44,""))</f>
        <v/>
      </c>
      <c r="AS26" s="754"/>
      <c r="AT26" s="754"/>
      <c r="AU26" s="754"/>
      <c r="AV26" s="754"/>
      <c r="AW26" s="754"/>
      <c r="AX26" s="754"/>
      <c r="AY26" s="754"/>
      <c r="AZ26" s="754"/>
      <c r="BA26" s="754"/>
      <c r="BB26" s="754"/>
      <c r="BC26" s="754"/>
      <c r="BD26" s="755"/>
      <c r="BE26" s="756">
        <v>0</v>
      </c>
      <c r="BF26" s="754"/>
      <c r="BG26" s="748" t="str">
        <f>IF($AV$4="O",Sorts!F20,IF($BB$4="O",Sorts!F44,""))</f>
        <v/>
      </c>
      <c r="BH26" s="748"/>
      <c r="BI26" s="748"/>
      <c r="BJ26" s="748" t="str">
        <f>IF($AV$4="O",Sorts!G20,IF($BB$4="O",Sorts!G44,""))</f>
        <v/>
      </c>
      <c r="BK26" s="748"/>
      <c r="BL26" s="748"/>
      <c r="BM26" s="57" t="str">
        <f>IF($AV$4="O",Sorts!H20,IF($BB$4="O",Sorts!H44,""))</f>
        <v/>
      </c>
      <c r="BN26" s="57" t="str">
        <f>IF($AV$4="O",Sorts!I20,IF($BB$4="O",Sorts!I44,""))</f>
        <v/>
      </c>
      <c r="BO26" s="369" t="str">
        <f>IF($AV$4="O",Sorts!J20,IF($BB$4="O",Sorts!J44,""))</f>
        <v/>
      </c>
      <c r="BP26" s="366"/>
      <c r="BQ26" s="757" t="s">
        <v>1204</v>
      </c>
      <c r="BR26" s="747"/>
      <c r="BS26" s="57">
        <v>17</v>
      </c>
      <c r="BT26" s="758" t="str">
        <f>IF(OR($AV$6="O1",$AV$6="O2",$AV$6="O3"),Sorts!E91,IF(OR($BB$6="O1",$BB$6="O2"),Sorts!E153,""))</f>
        <v>Escalade d’Araignée</v>
      </c>
      <c r="BU26" s="744"/>
      <c r="BV26" s="744"/>
      <c r="BW26" s="744"/>
      <c r="BX26" s="744"/>
      <c r="BY26" s="744"/>
      <c r="BZ26" s="744"/>
      <c r="CA26" s="744"/>
      <c r="CB26" s="744"/>
      <c r="CC26" s="744"/>
      <c r="CD26" s="744"/>
      <c r="CE26" s="744"/>
      <c r="CF26" s="744"/>
      <c r="CG26" s="744">
        <v>0</v>
      </c>
      <c r="CH26" s="745"/>
      <c r="CI26" s="746" t="str">
        <f>IF(OR($AV$6="O1",$AV$6="O2",$AV$6="O3"),Sorts!F91,IF(OR($BB$6="O1",$BB$6="O2"),Sorts!F153,""))</f>
        <v>T</v>
      </c>
      <c r="CJ26" s="747"/>
      <c r="CK26" s="748" t="str">
        <f>IF(OR($AV$6="O1",$AV$6="O2",$AV$6="O3"),Sorts!G91,IF(OR($BB$6="O1",$BB$6="O2"),Sorts!G153,""))</f>
        <v>1r+1r/n</v>
      </c>
      <c r="CL26" s="748"/>
      <c r="CM26" s="748"/>
      <c r="CN26" s="57" t="str">
        <f>IF(OR($AV$6="O1",$AV$6="O2",$AV$6="O3"),Sorts!H91,IF(OR($BB$6="O1",$BB$6="O2"),Sorts!H153,""))</f>
        <v>X</v>
      </c>
      <c r="CO26" s="57" t="str">
        <f>IF(OR($AV$6="O1",$AV$6="O2",$AV$6="O3"),Sorts!I91,IF(OR($BB$6="O1",$BB$6="O2"),Sorts!I153,""))</f>
        <v>X</v>
      </c>
      <c r="CP26" s="58" t="str">
        <f>IF(OR($AV$6="O1",$AV$6="O2",$AV$6="O3"),Sorts!J91,IF(OR($BB$6="O1",$BB$6="O2"),Sorts!J153,""))</f>
        <v>X</v>
      </c>
      <c r="CQ26" s="60"/>
      <c r="CS26" s="56">
        <v>23</v>
      </c>
      <c r="CT26" s="754"/>
      <c r="CU26" s="754"/>
      <c r="CV26" s="754"/>
      <c r="CW26" s="754"/>
      <c r="CX26" s="754"/>
      <c r="CY26" s="754"/>
      <c r="CZ26" s="754"/>
      <c r="DA26" s="754"/>
      <c r="DB26" s="754"/>
      <c r="DC26" s="754"/>
      <c r="DD26" s="754"/>
      <c r="DE26" s="754"/>
      <c r="DF26" s="755"/>
      <c r="DG26" s="756"/>
      <c r="DH26" s="747"/>
      <c r="DI26" s="748"/>
      <c r="DJ26" s="748"/>
      <c r="DK26" s="748"/>
      <c r="DL26" s="748"/>
      <c r="DM26" s="748"/>
      <c r="DN26" s="748"/>
      <c r="DO26" s="57"/>
      <c r="DP26" s="57"/>
      <c r="DQ26" s="58"/>
      <c r="DR26" s="57"/>
      <c r="DS26" s="757" t="s">
        <v>1204</v>
      </c>
      <c r="DT26" s="747"/>
      <c r="DU26" s="57">
        <v>23</v>
      </c>
      <c r="DV26" s="758" t="str">
        <f>IF(OR($AV$6="O1",$AV$6="O2",$AV$6="O3"),Sorts!K97,IF(OR($BB$6="O1",$BB$6="O2"),Sorts!K159,""))</f>
        <v>Peur</v>
      </c>
      <c r="DW26" s="744"/>
      <c r="DX26" s="744"/>
      <c r="DY26" s="744"/>
      <c r="DZ26" s="744"/>
      <c r="EA26" s="744"/>
      <c r="EB26" s="744"/>
      <c r="EC26" s="744"/>
      <c r="ED26" s="744"/>
      <c r="EE26" s="744"/>
      <c r="EF26" s="744"/>
      <c r="EG26" s="744"/>
      <c r="EH26" s="744"/>
      <c r="EI26" s="744">
        <v>0</v>
      </c>
      <c r="EJ26" s="745"/>
      <c r="EK26" s="746" t="str">
        <f>IF(OR($AV$6="O1",$AV$6="O2",$AV$6="O3"),Sorts!L97,IF(OR($BB$6="O1",$BB$6="O2"),Sorts!L159,""))</f>
        <v>1''</v>
      </c>
      <c r="EL26" s="747"/>
      <c r="EM26" s="748" t="str">
        <f>IF(OR($AV$6="O1",$AV$6="O2",$AV$6="O3"),Sorts!M97,IF(OR($BB$6="O1",$BB$6="O2"),Sorts!M159,""))</f>
        <v>3-12r</v>
      </c>
      <c r="EN26" s="748"/>
      <c r="EO26" s="748"/>
      <c r="EP26" s="57" t="str">
        <f>IF(OR($AV$6="O1",$AV$6="O2",$AV$6="O3"),Sorts!N97,IF(OR($BB$6="O1",$BB$6="O2"),Sorts!N159,""))</f>
        <v>X</v>
      </c>
      <c r="EQ26" s="57" t="str">
        <f>IF(OR($AV$6="O1",$AV$6="O2",$AV$6="O3"),Sorts!O97,IF(OR($BB$6="O1",$BB$6="O2"),Sorts!O159,""))</f>
        <v>X</v>
      </c>
      <c r="ER26" s="58" t="str">
        <f>IF(OR($AV$6="O1",$AV$6="O2",$AV$6="O3"),Sorts!P97,IF(OR($BB$6="O1",$BB$6="O2"),Sorts!P159,""))</f>
        <v>X</v>
      </c>
      <c r="ES26" s="60"/>
      <c r="EU26" s="56">
        <v>23</v>
      </c>
      <c r="EV26" s="754"/>
      <c r="EW26" s="754"/>
      <c r="EX26" s="754"/>
      <c r="EY26" s="754"/>
      <c r="EZ26" s="754"/>
      <c r="FA26" s="754"/>
      <c r="FB26" s="754"/>
      <c r="FC26" s="754"/>
      <c r="FD26" s="754"/>
      <c r="FE26" s="754"/>
      <c r="FF26" s="754"/>
      <c r="FG26" s="754"/>
      <c r="FH26" s="755"/>
      <c r="FI26" s="756"/>
      <c r="FJ26" s="747"/>
      <c r="FK26" s="748"/>
      <c r="FL26" s="748"/>
      <c r="FM26" s="748"/>
      <c r="FN26" s="748"/>
      <c r="FO26" s="748"/>
      <c r="FP26" s="748"/>
      <c r="FQ26" s="57"/>
      <c r="FR26" s="57"/>
      <c r="FS26" s="58"/>
      <c r="FT26" s="57"/>
      <c r="FU26" s="757" t="s">
        <v>1204</v>
      </c>
      <c r="FV26" s="747"/>
      <c r="FW26" s="57">
        <v>23</v>
      </c>
      <c r="FX26" s="758" t="str">
        <f>IF(OR($AV$6="O1",$AV$6="O2",$AV$6="O3"),Sorts!W97,IF(OR($BB$6="O1",$BB$6="O2"),Sorts!W159,""))</f>
        <v>Œil Magique</v>
      </c>
      <c r="FY26" s="744"/>
      <c r="FZ26" s="744"/>
      <c r="GA26" s="744"/>
      <c r="GB26" s="744"/>
      <c r="GC26" s="744"/>
      <c r="GD26" s="744"/>
      <c r="GE26" s="744"/>
      <c r="GF26" s="744"/>
      <c r="GG26" s="744"/>
      <c r="GH26" s="744"/>
      <c r="GI26" s="744"/>
      <c r="GJ26" s="744"/>
      <c r="GK26" s="744">
        <v>0</v>
      </c>
      <c r="GL26" s="745"/>
      <c r="GM26" s="746">
        <f>IF(OR($AV$6="O1",$AV$6="O2",$AV$6="O3"),Sorts!X97,IF(OR($BB$6="O1",$BB$6="O2"),Sorts!X159,""))</f>
        <v>0</v>
      </c>
      <c r="GN26" s="747"/>
      <c r="GO26" s="748" t="str">
        <f>IF(OR($AV$6="O1",$AV$6="O2",$AV$6="O3"),Sorts!Y97,IF(OR($BB$6="O1",$BB$6="O2"),Sorts!Y159,""))</f>
        <v>1r/n</v>
      </c>
      <c r="GP26" s="748"/>
      <c r="GQ26" s="748"/>
      <c r="GR26" s="57" t="str">
        <f>IF(OR($AV$6="O1",$AV$6="O2",$AV$6="O3"),Sorts!Z97,IF(OR($BB$6="O1",$BB$6="O2"),Sorts!Z159,""))</f>
        <v>X</v>
      </c>
      <c r="GS26" s="57" t="str">
        <f>IF(OR($AV$6="O1",$AV$6="O2",$AV$6="O3"),Sorts!AA97,IF(OR($BB$6="O1",$BB$6="O2"),Sorts!AA159,""))</f>
        <v>X</v>
      </c>
      <c r="GT26" s="58" t="str">
        <f>IF(OR($AV$6="O1",$AV$6="O2",$AV$6="O3"),Sorts!AB97,IF(OR($BB$6="O1",$BB$6="O2"),Sorts!AB159,""))</f>
        <v>X</v>
      </c>
      <c r="GU26" s="60"/>
      <c r="GW26" s="56">
        <v>23</v>
      </c>
      <c r="GX26" s="754"/>
      <c r="GY26" s="754"/>
      <c r="GZ26" s="754"/>
      <c r="HA26" s="754"/>
      <c r="HB26" s="754"/>
      <c r="HC26" s="754"/>
      <c r="HD26" s="754"/>
      <c r="HE26" s="754"/>
      <c r="HF26" s="754"/>
      <c r="HG26" s="754"/>
      <c r="HH26" s="754"/>
      <c r="HI26" s="754"/>
      <c r="HJ26" s="755"/>
      <c r="HK26" s="756"/>
      <c r="HL26" s="747"/>
      <c r="HM26" s="748"/>
      <c r="HN26" s="748"/>
      <c r="HO26" s="748"/>
      <c r="HP26" s="748"/>
      <c r="HQ26" s="748"/>
      <c r="HR26" s="748"/>
      <c r="HS26" s="57"/>
      <c r="HT26" s="57"/>
      <c r="HU26" s="58"/>
      <c r="HV26" s="57"/>
      <c r="HW26" s="757" t="s">
        <v>1204</v>
      </c>
      <c r="HX26" s="747"/>
      <c r="HY26" s="57">
        <v>23</v>
      </c>
      <c r="HZ26" s="758" t="str">
        <f>IF(OR($AV$6="O1",$AV$6="O2",$AV$6="O3"),Sorts!AI97,IF(OR($BB$6="O1",$BB$6="O2"),Sorts!AI159,""))</f>
        <v>Séparation des Eaux</v>
      </c>
      <c r="IA26" s="744"/>
      <c r="IB26" s="744"/>
      <c r="IC26" s="744"/>
      <c r="ID26" s="744"/>
      <c r="IE26" s="744"/>
      <c r="IF26" s="744"/>
      <c r="IG26" s="744"/>
      <c r="IH26" s="744"/>
      <c r="II26" s="744"/>
      <c r="IJ26" s="744"/>
      <c r="IK26" s="744"/>
      <c r="IL26" s="744"/>
      <c r="IM26" s="744">
        <v>0</v>
      </c>
      <c r="IN26" s="745"/>
      <c r="IO26" s="746" t="str">
        <f>IF(OR($AV$6="O1",$AV$6="O2",$AV$6="O3"),Sorts!AJ97,IF(OR($BB$6="O1",$BB$6="O2"),Sorts!AJ159,""))</f>
        <v>1''/n</v>
      </c>
      <c r="IP26" s="747"/>
      <c r="IQ26" s="748" t="str">
        <f>IF(OR($AV$6="O1",$AV$6="O2",$AV$6="O3"),Sorts!AK97,IF(OR($BB$6="O1",$BB$6="O2"),Sorts!AK159,""))</f>
        <v>S</v>
      </c>
      <c r="IR26" s="748"/>
      <c r="IS26" s="748"/>
      <c r="IT26" s="57" t="str">
        <f>IF(OR($AV$6="O1",$AV$6="O2",$AV$6="O3"),Sorts!AL97,IF(OR($BB$6="O1",$BB$6="O2"),Sorts!AL159,""))</f>
        <v>X</v>
      </c>
      <c r="IU26" s="57" t="str">
        <f>IF(OR($AV$6="O1",$AV$6="O2",$AV$6="O3"),Sorts!AM97,IF(OR($BB$6="O1",$BB$6="O2"),Sorts!AM159,""))</f>
        <v>X</v>
      </c>
      <c r="IV26" s="58" t="str">
        <f>IF(OR($AV$6="O1",$AV$6="O2",$AV$6="O3"),Sorts!AN97,IF(OR($BB$6="O1",$BB$6="O2"),Sorts!AN159,""))</f>
        <v>X</v>
      </c>
      <c r="IW26" s="60"/>
      <c r="IY26" s="70"/>
      <c r="KX26" s="71"/>
    </row>
    <row r="27" spans="2:310" ht="18" customHeight="1" thickTop="1" thickBot="1" x14ac:dyDescent="0.3">
      <c r="B27" s="648"/>
      <c r="C27" s="649"/>
      <c r="D27" s="803"/>
      <c r="E27" s="803"/>
      <c r="F27" s="803"/>
      <c r="G27" s="803"/>
      <c r="H27" s="803"/>
      <c r="I27" s="803"/>
      <c r="J27" s="803"/>
      <c r="K27" s="803"/>
      <c r="L27" s="814"/>
      <c r="M27" s="814"/>
      <c r="N27" s="800"/>
      <c r="O27" s="800"/>
      <c r="P27" s="69"/>
      <c r="R27" s="819" t="s">
        <v>1518</v>
      </c>
      <c r="S27" s="622"/>
      <c r="T27" s="622"/>
      <c r="U27" s="623"/>
      <c r="V27" s="817" t="str" cm="1">
        <f t="array" ref="V27">IF(OR(AND(W25="A",OR(X25=1,X25=2)),(AND(W25="B",OR(X25=1,X25=2,X25=3,X25=4,X25=5,X25=6)))),"/",IF(X25="","/",INDEX(Niveau!$B$43:$G$79,'Joueur 1'!$X$25+1,MATCH('Joueur 1'!$W$25,Niveau!$C$43:$G$43,0)+1)+INDEX(Caractéristiques!$B$186:$M$211,DEX+1,5)+INDEX(Race!$B$42:$K$57,MATCH(RACE,Race!$B$43:$B$57,0)+1,2)+INDEX('Armures-Armes'!$B$3:$N$14,MATCH('Joueur 1'!$D$26,'Armures-Armes'!$B$4:$B$14,0)+1,5)))</f>
        <v>/</v>
      </c>
      <c r="W27" s="818"/>
      <c r="X27" s="616" t="s">
        <v>230</v>
      </c>
      <c r="Y27" s="616"/>
      <c r="Z27" s="616"/>
      <c r="AA27" s="617"/>
      <c r="AB27" s="630" t="str" cm="1">
        <f t="array" ref="AB27">IF(OR(AND(W25="A",OR(X25=1,X25=2)),(AND(W25="B",OR(X25=1,X25=2,X25=3,X25=4,X25=5,X25=6)))),"/",IF($X$25="","/",INDEX(Niveau!$Z$43:$AE$79,'Joueur 1'!$X$25+1,MATCH('Joueur 1'!$W$25,Niveau!$AA$43:$AE$43,0)+1)+INDEX(Caractéristiques!$B$186:$M$211,DEX+1,9)+INDEX(Race!$B$42:$K$57,MATCH(RACE,Race!$B$43:$B$57,0)+1,6)+INDEX('Armures-Armes'!$B$3:$N$14,MATCH('Joueur 1'!$D$26,'Armures-Armes'!$B$4:$B$14,0)+1,9)))</f>
        <v>/</v>
      </c>
      <c r="AC27" s="631"/>
      <c r="AF27" s="8" t="s">
        <v>32</v>
      </c>
      <c r="AG27" s="9"/>
      <c r="AH27" s="9"/>
      <c r="AI27" s="9"/>
      <c r="AJ27" s="10"/>
      <c r="AK27" s="902" cm="1">
        <f t="array" ref="AK27">IF(Classe3&lt;&gt;"/",MIN(INDEX(Niveau!$B$198:$P$234,NivC1+1,MATCH(Classe1,Niveau!$C$198:$P$198,0)+1),INDEX(Niveau!$B$198:$P$234,NivC2+1,MATCH(Classe2,Niveau!$C$198:$P$198,0)+1),INDEX(Niveau!$B$198:$P$234,NivC3+1,MATCH(Classe3,Niveau!$C$198:$P$198,0)+1)),IF(Classe2&lt;&gt;"/",MIN(INDEX(Niveau!$B$198:$P$234,NivC1+1,MATCH(Classe1,Niveau!$C$198:$P$198,0)+1),INDEX(Niveau!$B$198:$P$234,NivC2+1,MATCH(Classe2,Niveau!$C$198:$P$198,0)+1)),INDEX(Niveau!$B$198:$P$234,NivC1+1,MATCH(Classe1,Niveau!$C$198:$P$198,0)+1)))+$AO$30</f>
        <v>13</v>
      </c>
      <c r="AL27" s="860"/>
      <c r="AN27" s="815" t="s">
        <v>30</v>
      </c>
      <c r="AO27" s="816"/>
      <c r="AQ27" s="56">
        <v>18</v>
      </c>
      <c r="AR27" s="754" t="str">
        <f>IF($AV$4="O",Sorts!E21,IF($BB$4="O",Sorts!E45,""))</f>
        <v/>
      </c>
      <c r="AS27" s="754"/>
      <c r="AT27" s="754"/>
      <c r="AU27" s="754"/>
      <c r="AV27" s="754"/>
      <c r="AW27" s="754"/>
      <c r="AX27" s="754"/>
      <c r="AY27" s="754"/>
      <c r="AZ27" s="754"/>
      <c r="BA27" s="754"/>
      <c r="BB27" s="754"/>
      <c r="BC27" s="754"/>
      <c r="BD27" s="755"/>
      <c r="BE27" s="756">
        <v>0</v>
      </c>
      <c r="BF27" s="754"/>
      <c r="BG27" s="748" t="str">
        <f>IF($AV$4="O",Sorts!F21,IF($BB$4="O",Sorts!F45,""))</f>
        <v/>
      </c>
      <c r="BH27" s="748"/>
      <c r="BI27" s="748"/>
      <c r="BJ27" s="748" t="str">
        <f>IF($AV$4="O",Sorts!G21,IF($BB$4="O",Sorts!G45,""))</f>
        <v/>
      </c>
      <c r="BK27" s="748"/>
      <c r="BL27" s="748"/>
      <c r="BM27" s="57" t="str">
        <f>IF($AV$4="O",Sorts!H21,IF($BB$4="O",Sorts!H45,""))</f>
        <v/>
      </c>
      <c r="BN27" s="57" t="str">
        <f>IF($AV$4="O",Sorts!I21,IF($BB$4="O",Sorts!I45,""))</f>
        <v/>
      </c>
      <c r="BO27" s="369" t="str">
        <f>IF($AV$4="O",Sorts!J21,IF($BB$4="O",Sorts!J45,""))</f>
        <v/>
      </c>
      <c r="BP27" s="366"/>
      <c r="BQ27" s="757" t="s">
        <v>1204</v>
      </c>
      <c r="BR27" s="747"/>
      <c r="BS27" s="57">
        <v>18</v>
      </c>
      <c r="BT27" s="758" t="str">
        <f>IF(OR($AV$6="O1",$AV$6="O2",$AV$6="O3"),Sorts!E92,IF(OR($BB$6="O1",$BB$6="O2"),Sorts!E154,""))</f>
        <v>Fermeture</v>
      </c>
      <c r="BU27" s="744"/>
      <c r="BV27" s="744"/>
      <c r="BW27" s="744"/>
      <c r="BX27" s="744"/>
      <c r="BY27" s="744"/>
      <c r="BZ27" s="744"/>
      <c r="CA27" s="744"/>
      <c r="CB27" s="744"/>
      <c r="CC27" s="744"/>
      <c r="CD27" s="744"/>
      <c r="CE27" s="744"/>
      <c r="CF27" s="744"/>
      <c r="CG27" s="744">
        <v>0</v>
      </c>
      <c r="CH27" s="745"/>
      <c r="CI27" s="746" t="str">
        <f>IF(OR($AV$6="O1",$AV$6="O2",$AV$6="O3"),Sorts!F92,IF(OR($BB$6="O1",$BB$6="O2"),Sorts!F154,""))</f>
        <v>2’’/n</v>
      </c>
      <c r="CJ27" s="747"/>
      <c r="CK27" s="748" t="str">
        <f>IF(OR($AV$6="O1",$AV$6="O2",$AV$6="O3"),Sorts!G92,IF(OR($BB$6="O1",$BB$6="O2"),Sorts!G154,""))</f>
        <v>1r/n</v>
      </c>
      <c r="CL27" s="748"/>
      <c r="CM27" s="748"/>
      <c r="CN27" s="57" t="str">
        <f>IF(OR($AV$6="O1",$AV$6="O2",$AV$6="O3"),Sorts!H92,IF(OR($BB$6="O1",$BB$6="O2"),Sorts!H154,""))</f>
        <v>X</v>
      </c>
      <c r="CO27" s="57" t="str">
        <f>IF(OR($AV$6="O1",$AV$6="O2",$AV$6="O3"),Sorts!I92,IF(OR($BB$6="O1",$BB$6="O2"),Sorts!I154,""))</f>
        <v>/</v>
      </c>
      <c r="CP27" s="58" t="str">
        <f>IF(OR($AV$6="O1",$AV$6="O2",$AV$6="O3"),Sorts!J92,IF(OR($BB$6="O1",$BB$6="O2"),Sorts!J154,""))</f>
        <v>/</v>
      </c>
      <c r="CQ27" s="60"/>
      <c r="CS27" s="56">
        <v>24</v>
      </c>
      <c r="CT27" s="754"/>
      <c r="CU27" s="754"/>
      <c r="CV27" s="754"/>
      <c r="CW27" s="754"/>
      <c r="CX27" s="754"/>
      <c r="CY27" s="754"/>
      <c r="CZ27" s="754"/>
      <c r="DA27" s="754"/>
      <c r="DB27" s="754"/>
      <c r="DC27" s="754"/>
      <c r="DD27" s="754"/>
      <c r="DE27" s="754"/>
      <c r="DF27" s="755"/>
      <c r="DG27" s="756"/>
      <c r="DH27" s="747"/>
      <c r="DI27" s="748"/>
      <c r="DJ27" s="748"/>
      <c r="DK27" s="748"/>
      <c r="DL27" s="748"/>
      <c r="DM27" s="748"/>
      <c r="DN27" s="748"/>
      <c r="DO27" s="57"/>
      <c r="DP27" s="57"/>
      <c r="DQ27" s="58"/>
      <c r="DR27" s="57"/>
      <c r="DS27" s="757" t="s">
        <v>1204</v>
      </c>
      <c r="DT27" s="747"/>
      <c r="DU27" s="57">
        <v>24</v>
      </c>
      <c r="DV27" s="758" t="str">
        <f>IF(OR($AV$6="O1",$AV$6="O2",$AV$6="O3"),Sorts!K98,IF(OR($BB$6="O1",$BB$6="O2"),Sorts!K160,""))</f>
        <v>Piège de Léomund</v>
      </c>
      <c r="DW27" s="744"/>
      <c r="DX27" s="744"/>
      <c r="DY27" s="744"/>
      <c r="DZ27" s="744"/>
      <c r="EA27" s="744"/>
      <c r="EB27" s="744"/>
      <c r="EC27" s="744"/>
      <c r="ED27" s="744"/>
      <c r="EE27" s="744"/>
      <c r="EF27" s="744"/>
      <c r="EG27" s="744"/>
      <c r="EH27" s="744"/>
      <c r="EI27" s="744">
        <v>0</v>
      </c>
      <c r="EJ27" s="745"/>
      <c r="EK27" s="746" t="str">
        <f>IF(OR($AV$6="O1",$AV$6="O2",$AV$6="O3"),Sorts!L98,IF(OR($BB$6="O1",$BB$6="O2"),Sorts!L160,""))</f>
        <v>T</v>
      </c>
      <c r="EL27" s="747"/>
      <c r="EM27" s="748" t="str">
        <f>IF(OR($AV$6="O1",$AV$6="O2",$AV$6="O3"),Sorts!M98,IF(OR($BB$6="O1",$BB$6="O2"),Sorts!M160,""))</f>
        <v>P</v>
      </c>
      <c r="EN27" s="748"/>
      <c r="EO27" s="748"/>
      <c r="EP27" s="57" t="str">
        <f>IF(OR($AV$6="O1",$AV$6="O2",$AV$6="O3"),Sorts!N98,IF(OR($BB$6="O1",$BB$6="O2"),Sorts!N160,""))</f>
        <v>X</v>
      </c>
      <c r="EQ27" s="57" t="str">
        <f>IF(OR($AV$6="O1",$AV$6="O2",$AV$6="O3"),Sorts!O98,IF(OR($BB$6="O1",$BB$6="O2"),Sorts!O160,""))</f>
        <v>X</v>
      </c>
      <c r="ER27" s="58" t="str">
        <f>IF(OR($AV$6="O1",$AV$6="O2",$AV$6="O3"),Sorts!P98,IF(OR($BB$6="O1",$BB$6="O2"),Sorts!P160,""))</f>
        <v>X</v>
      </c>
      <c r="ES27" s="60"/>
      <c r="EU27" s="56">
        <v>24</v>
      </c>
      <c r="EV27" s="754"/>
      <c r="EW27" s="754"/>
      <c r="EX27" s="754"/>
      <c r="EY27" s="754"/>
      <c r="EZ27" s="754"/>
      <c r="FA27" s="754"/>
      <c r="FB27" s="754"/>
      <c r="FC27" s="754"/>
      <c r="FD27" s="754"/>
      <c r="FE27" s="754"/>
      <c r="FF27" s="754"/>
      <c r="FG27" s="754"/>
      <c r="FH27" s="755"/>
      <c r="FI27" s="756"/>
      <c r="FJ27" s="747"/>
      <c r="FK27" s="748"/>
      <c r="FL27" s="748"/>
      <c r="FM27" s="748"/>
      <c r="FN27" s="748"/>
      <c r="FO27" s="748"/>
      <c r="FP27" s="748"/>
      <c r="FQ27" s="57"/>
      <c r="FR27" s="57"/>
      <c r="FS27" s="58"/>
      <c r="FT27" s="57"/>
      <c r="FU27" s="757" t="s">
        <v>1204</v>
      </c>
      <c r="FV27" s="747"/>
      <c r="FW27" s="57">
        <v>24</v>
      </c>
      <c r="FX27" s="758" t="str">
        <f>IF(OR($AV$6="O1",$AV$6="O2",$AV$6="O3"),Sorts!W98,IF(OR($BB$6="O1",$BB$6="O2"),Sorts!W160,""))</f>
        <v>Peau de Pierre</v>
      </c>
      <c r="FY27" s="744"/>
      <c r="FZ27" s="744"/>
      <c r="GA27" s="744"/>
      <c r="GB27" s="744"/>
      <c r="GC27" s="744"/>
      <c r="GD27" s="744"/>
      <c r="GE27" s="744"/>
      <c r="GF27" s="744"/>
      <c r="GG27" s="744"/>
      <c r="GH27" s="744"/>
      <c r="GI27" s="744"/>
      <c r="GJ27" s="744"/>
      <c r="GK27" s="744">
        <v>0</v>
      </c>
      <c r="GL27" s="745"/>
      <c r="GM27" s="746" t="str">
        <f>IF(OR($AV$6="O1",$AV$6="O2",$AV$6="O3"),Sorts!X98,IF(OR($BB$6="O1",$BB$6="O2"),Sorts!X160,""))</f>
        <v>T</v>
      </c>
      <c r="GN27" s="747"/>
      <c r="GO27" s="748" t="str">
        <f>IF(OR($AV$6="O1",$AV$6="O2",$AV$6="O3"),Sorts!Y98,IF(OR($BB$6="O1",$BB$6="O2"),Sorts!Y160,""))</f>
        <v>S</v>
      </c>
      <c r="GP27" s="748"/>
      <c r="GQ27" s="748"/>
      <c r="GR27" s="57" t="str">
        <f>IF(OR($AV$6="O1",$AV$6="O2",$AV$6="O3"),Sorts!Z98,IF(OR($BB$6="O1",$BB$6="O2"),Sorts!Z160,""))</f>
        <v>X</v>
      </c>
      <c r="GS27" s="57" t="str">
        <f>IF(OR($AV$6="O1",$AV$6="O2",$AV$6="O3"),Sorts!AA98,IF(OR($BB$6="O1",$BB$6="O2"),Sorts!AA160,""))</f>
        <v>X</v>
      </c>
      <c r="GT27" s="58" t="str">
        <f>IF(OR($AV$6="O1",$AV$6="O2",$AV$6="O3"),Sorts!AB98,IF(OR($BB$6="O1",$BB$6="O2"),Sorts!AB160,""))</f>
        <v>X</v>
      </c>
      <c r="GU27" s="60"/>
      <c r="GW27" s="56">
        <v>24</v>
      </c>
      <c r="GX27" s="754"/>
      <c r="GY27" s="754"/>
      <c r="GZ27" s="754"/>
      <c r="HA27" s="754"/>
      <c r="HB27" s="754"/>
      <c r="HC27" s="754"/>
      <c r="HD27" s="754"/>
      <c r="HE27" s="754"/>
      <c r="HF27" s="754"/>
      <c r="HG27" s="754"/>
      <c r="HH27" s="754"/>
      <c r="HI27" s="754"/>
      <c r="HJ27" s="755"/>
      <c r="HK27" s="756"/>
      <c r="HL27" s="747"/>
      <c r="HM27" s="748"/>
      <c r="HN27" s="748"/>
      <c r="HO27" s="748"/>
      <c r="HP27" s="748"/>
      <c r="HQ27" s="748"/>
      <c r="HR27" s="748"/>
      <c r="HS27" s="57"/>
      <c r="HT27" s="57"/>
      <c r="HU27" s="58"/>
      <c r="HV27" s="57"/>
      <c r="HW27" s="757" t="s">
        <v>1204</v>
      </c>
      <c r="HX27" s="747"/>
      <c r="HY27" s="57">
        <v>24</v>
      </c>
      <c r="HZ27" s="758" t="str">
        <f>IF(OR($AV$6="O1",$AV$6="O2",$AV$6="O3"),Sorts!AI98,IF(OR($BB$6="O1",$BB$6="O2"),Sorts!AI160,""))</f>
        <v>Sphère Glaciale d’Otiluke</v>
      </c>
      <c r="IA27" s="744"/>
      <c r="IB27" s="744"/>
      <c r="IC27" s="744"/>
      <c r="ID27" s="744"/>
      <c r="IE27" s="744"/>
      <c r="IF27" s="744"/>
      <c r="IG27" s="744"/>
      <c r="IH27" s="744"/>
      <c r="II27" s="744"/>
      <c r="IJ27" s="744"/>
      <c r="IK27" s="744"/>
      <c r="IL27" s="744"/>
      <c r="IM27" s="744">
        <v>0</v>
      </c>
      <c r="IN27" s="745"/>
      <c r="IO27" s="746" t="str">
        <f>IF(OR($AV$6="O1",$AV$6="O2",$AV$6="O3"),Sorts!AJ98,IF(OR($BB$6="O1",$BB$6="O2"),Sorts!AJ160,""))</f>
        <v>S</v>
      </c>
      <c r="IP27" s="747"/>
      <c r="IQ27" s="748" t="str">
        <f>IF(OR($AV$6="O1",$AV$6="O2",$AV$6="O3"),Sorts!AK98,IF(OR($BB$6="O1",$BB$6="O2"),Sorts!AK160,""))</f>
        <v>S</v>
      </c>
      <c r="IR27" s="748"/>
      <c r="IS27" s="748"/>
      <c r="IT27" s="57" t="str">
        <f>IF(OR($AV$6="O1",$AV$6="O2",$AV$6="O3"),Sorts!AL98,IF(OR($BB$6="O1",$BB$6="O2"),Sorts!AL160,""))</f>
        <v>X</v>
      </c>
      <c r="IU27" s="57" t="str">
        <f>IF(OR($AV$6="O1",$AV$6="O2",$AV$6="O3"),Sorts!AM98,IF(OR($BB$6="O1",$BB$6="O2"),Sorts!AM160,""))</f>
        <v>X</v>
      </c>
      <c r="IV27" s="58" t="str">
        <f>IF(OR($AV$6="O1",$AV$6="O2",$AV$6="O3"),Sorts!AN98,IF(OR($BB$6="O1",$BB$6="O2"),Sorts!AN160,""))</f>
        <v>X</v>
      </c>
      <c r="IW27" s="60"/>
      <c r="IY27" s="70"/>
      <c r="KX27" s="71"/>
    </row>
    <row r="28" spans="2:310" ht="18" customHeight="1" thickBot="1" x14ac:dyDescent="0.3">
      <c r="B28" s="648" t="s">
        <v>18</v>
      </c>
      <c r="C28" s="649"/>
      <c r="D28" s="803" t="s">
        <v>232</v>
      </c>
      <c r="E28" s="803"/>
      <c r="F28" s="803"/>
      <c r="G28" s="803"/>
      <c r="H28" s="803"/>
      <c r="I28" s="803"/>
      <c r="J28" s="803"/>
      <c r="K28" s="803"/>
      <c r="L28" s="814">
        <f>VLOOKUP($D$28,'Armures-Armes'!$B$17:$C$21,2,FALSE)</f>
        <v>-1</v>
      </c>
      <c r="M28" s="814"/>
      <c r="N28" s="800">
        <v>-1</v>
      </c>
      <c r="O28" s="800"/>
      <c r="P28" s="69"/>
      <c r="R28" s="820"/>
      <c r="S28" s="624"/>
      <c r="T28" s="624"/>
      <c r="U28" s="625"/>
      <c r="V28" s="632"/>
      <c r="W28" s="642"/>
      <c r="X28" s="618"/>
      <c r="Y28" s="618"/>
      <c r="Z28" s="618"/>
      <c r="AA28" s="619"/>
      <c r="AB28" s="632"/>
      <c r="AC28" s="633"/>
      <c r="AF28" s="11" t="s">
        <v>33</v>
      </c>
      <c r="AG28" s="12"/>
      <c r="AH28" s="12"/>
      <c r="AI28" s="12"/>
      <c r="AK28" s="823"/>
      <c r="AL28" s="824"/>
      <c r="AN28" s="900">
        <f>SUM($N$30:$O$37)</f>
        <v>-1</v>
      </c>
      <c r="AO28" s="901"/>
      <c r="AQ28" s="56">
        <v>19</v>
      </c>
      <c r="AR28" s="754" t="str">
        <f>IF($AV$4="O",Sorts!E22,IF($BB$4="O",Sorts!E46,""))</f>
        <v/>
      </c>
      <c r="AS28" s="754"/>
      <c r="AT28" s="754"/>
      <c r="AU28" s="754"/>
      <c r="AV28" s="754"/>
      <c r="AW28" s="754"/>
      <c r="AX28" s="754"/>
      <c r="AY28" s="754"/>
      <c r="AZ28" s="754"/>
      <c r="BA28" s="754"/>
      <c r="BB28" s="754"/>
      <c r="BC28" s="754"/>
      <c r="BD28" s="755"/>
      <c r="BE28" s="756">
        <v>0</v>
      </c>
      <c r="BF28" s="754"/>
      <c r="BG28" s="748" t="str">
        <f>IF($AV$4="O",Sorts!F22,IF($BB$4="O",Sorts!F46,""))</f>
        <v/>
      </c>
      <c r="BH28" s="748"/>
      <c r="BI28" s="748"/>
      <c r="BJ28" s="748" t="str">
        <f>IF($AV$4="O",Sorts!G22,IF($BB$4="O",Sorts!G46,""))</f>
        <v/>
      </c>
      <c r="BK28" s="748"/>
      <c r="BL28" s="748"/>
      <c r="BM28" s="57" t="str">
        <f>IF($AV$4="O",Sorts!H22,IF($BB$4="O",Sorts!H46,""))</f>
        <v/>
      </c>
      <c r="BN28" s="57" t="str">
        <f>IF($AV$4="O",Sorts!I22,IF($BB$4="O",Sorts!I46,""))</f>
        <v/>
      </c>
      <c r="BO28" s="369" t="str">
        <f>IF($AV$4="O",Sorts!J22,IF($BB$4="O",Sorts!J46,""))</f>
        <v/>
      </c>
      <c r="BP28" s="366"/>
      <c r="BQ28" s="757" t="s">
        <v>1204</v>
      </c>
      <c r="BR28" s="747"/>
      <c r="BS28" s="57">
        <v>19</v>
      </c>
      <c r="BT28" s="758" t="str">
        <f>IF(OR($AV$6="O1",$AV$6="O2",$AV$6="O3"),Sorts!E93,IF(OR($BB$6="O1",$BB$6="O2"),Sorts!E155,""))</f>
        <v>Fonte</v>
      </c>
      <c r="BU28" s="744"/>
      <c r="BV28" s="744"/>
      <c r="BW28" s="744"/>
      <c r="BX28" s="744"/>
      <c r="BY28" s="744"/>
      <c r="BZ28" s="744"/>
      <c r="CA28" s="744"/>
      <c r="CB28" s="744"/>
      <c r="CC28" s="744"/>
      <c r="CD28" s="744"/>
      <c r="CE28" s="744"/>
      <c r="CF28" s="744"/>
      <c r="CG28" s="744">
        <v>0</v>
      </c>
      <c r="CH28" s="745"/>
      <c r="CI28" s="746" t="str">
        <f>IF(OR($AV$6="O1",$AV$6="O2",$AV$6="O3"),Sorts!F93,IF(OR($BB$6="O1",$BB$6="O2"),Sorts!F155,""))</f>
        <v>3’’</v>
      </c>
      <c r="CJ28" s="747"/>
      <c r="CK28" s="748" t="str">
        <f>IF(OR($AV$6="O1",$AV$6="O2",$AV$6="O3"),Sorts!G93,IF(OR($BB$6="O1",$BB$6="O2"),Sorts!G155,""))</f>
        <v>1r/n</v>
      </c>
      <c r="CL28" s="748"/>
      <c r="CM28" s="748"/>
      <c r="CN28" s="57" t="str">
        <f>IF(OR($AV$6="O1",$AV$6="O2",$AV$6="O3"),Sorts!H93,IF(OR($BB$6="O1",$BB$6="O2"),Sorts!H155,""))</f>
        <v>X</v>
      </c>
      <c r="CO28" s="57" t="str">
        <f>IF(OR($AV$6="O1",$AV$6="O2",$AV$6="O3"),Sorts!I93,IF(OR($BB$6="O1",$BB$6="O2"),Sorts!I155,""))</f>
        <v>X</v>
      </c>
      <c r="CP28" s="58" t="str">
        <f>IF(OR($AV$6="O1",$AV$6="O2",$AV$6="O3"),Sorts!J93,IF(OR($BB$6="O1",$BB$6="O2"),Sorts!J155,""))</f>
        <v>X</v>
      </c>
      <c r="CQ28" s="60"/>
      <c r="CS28" s="56">
        <v>25</v>
      </c>
      <c r="CT28" s="754"/>
      <c r="CU28" s="754"/>
      <c r="CV28" s="754"/>
      <c r="CW28" s="754"/>
      <c r="CX28" s="754"/>
      <c r="CY28" s="754"/>
      <c r="CZ28" s="754"/>
      <c r="DA28" s="754"/>
      <c r="DB28" s="754"/>
      <c r="DC28" s="754"/>
      <c r="DD28" s="754"/>
      <c r="DE28" s="754"/>
      <c r="DF28" s="755"/>
      <c r="DG28" s="756"/>
      <c r="DH28" s="747"/>
      <c r="DI28" s="748"/>
      <c r="DJ28" s="748"/>
      <c r="DK28" s="748"/>
      <c r="DL28" s="748"/>
      <c r="DM28" s="748"/>
      <c r="DN28" s="748"/>
      <c r="DO28" s="57"/>
      <c r="DP28" s="57"/>
      <c r="DQ28" s="58"/>
      <c r="DR28" s="57"/>
      <c r="DS28" s="757" t="s">
        <v>1204</v>
      </c>
      <c r="DT28" s="747"/>
      <c r="DU28" s="57">
        <v>25</v>
      </c>
      <c r="DV28" s="758" t="str">
        <f>IF(OR($AV$6="O1",$AV$6="O2",$AV$6="O3"),Sorts!K99,IF(OR($BB$6="O1",$BB$6="O2"),Sorts!K161,""))</f>
        <v>Poches Profondes</v>
      </c>
      <c r="DW28" s="744"/>
      <c r="DX28" s="744"/>
      <c r="DY28" s="744"/>
      <c r="DZ28" s="744"/>
      <c r="EA28" s="744"/>
      <c r="EB28" s="744"/>
      <c r="EC28" s="744"/>
      <c r="ED28" s="744"/>
      <c r="EE28" s="744"/>
      <c r="EF28" s="744"/>
      <c r="EG28" s="744"/>
      <c r="EH28" s="744"/>
      <c r="EI28" s="744">
        <v>0</v>
      </c>
      <c r="EJ28" s="745"/>
      <c r="EK28" s="746" t="str">
        <f>IF(OR($AV$6="O1",$AV$6="O2",$AV$6="O3"),Sorts!L99,IF(OR($BB$6="O1",$BB$6="O2"),Sorts!L161,""))</f>
        <v>T</v>
      </c>
      <c r="EL28" s="747"/>
      <c r="EM28" s="748" t="str">
        <f>IF(OR($AV$6="O1",$AV$6="O2",$AV$6="O3"),Sorts!M99,IF(OR($BB$6="O1",$BB$6="O2"),Sorts!M161,""))</f>
        <v>24t+6/n</v>
      </c>
      <c r="EN28" s="748"/>
      <c r="EO28" s="748"/>
      <c r="EP28" s="57" t="str">
        <f>IF(OR($AV$6="O1",$AV$6="O2",$AV$6="O3"),Sorts!N99,IF(OR($BB$6="O1",$BB$6="O2"),Sorts!N161,""))</f>
        <v>X</v>
      </c>
      <c r="EQ28" s="57" t="str">
        <f>IF(OR($AV$6="O1",$AV$6="O2",$AV$6="O3"),Sorts!O99,IF(OR($BB$6="O1",$BB$6="O2"),Sorts!O161,""))</f>
        <v>X</v>
      </c>
      <c r="ER28" s="58" t="str">
        <f>IF(OR($AV$6="O1",$AV$6="O2",$AV$6="O3"),Sorts!P99,IF(OR($BB$6="O1",$BB$6="O2"),Sorts!P161,""))</f>
        <v>X</v>
      </c>
      <c r="ES28" s="60"/>
      <c r="EU28" s="56">
        <v>25</v>
      </c>
      <c r="EV28" s="754"/>
      <c r="EW28" s="754"/>
      <c r="EX28" s="754"/>
      <c r="EY28" s="754"/>
      <c r="EZ28" s="754"/>
      <c r="FA28" s="754"/>
      <c r="FB28" s="754"/>
      <c r="FC28" s="754"/>
      <c r="FD28" s="754"/>
      <c r="FE28" s="754"/>
      <c r="FF28" s="754"/>
      <c r="FG28" s="754"/>
      <c r="FH28" s="755"/>
      <c r="FI28" s="756"/>
      <c r="FJ28" s="747"/>
      <c r="FK28" s="748"/>
      <c r="FL28" s="748"/>
      <c r="FM28" s="748"/>
      <c r="FN28" s="748"/>
      <c r="FO28" s="748"/>
      <c r="FP28" s="748"/>
      <c r="FQ28" s="57"/>
      <c r="FR28" s="57"/>
      <c r="FS28" s="58"/>
      <c r="FT28" s="57"/>
      <c r="FU28" s="757" t="s">
        <v>1204</v>
      </c>
      <c r="FV28" s="747"/>
      <c r="FW28" s="57">
        <v>25</v>
      </c>
      <c r="FX28" s="758" t="str">
        <f>IF(OR($AV$6="O1",$AV$6="O2",$AV$6="O3"),Sorts!W99,IF(OR($BB$6="O1",$BB$6="O2"),Sorts!W161,""))</f>
        <v>Phytomorphose</v>
      </c>
      <c r="FY28" s="744"/>
      <c r="FZ28" s="744"/>
      <c r="GA28" s="744"/>
      <c r="GB28" s="744"/>
      <c r="GC28" s="744"/>
      <c r="GD28" s="744"/>
      <c r="GE28" s="744"/>
      <c r="GF28" s="744"/>
      <c r="GG28" s="744"/>
      <c r="GH28" s="744"/>
      <c r="GI28" s="744"/>
      <c r="GJ28" s="744"/>
      <c r="GK28" s="744">
        <v>0</v>
      </c>
      <c r="GL28" s="745"/>
      <c r="GM28" s="746" t="str">
        <f>IF(OR($AV$6="O1",$AV$6="O2",$AV$6="O3"),Sorts!X99,IF(OR($BB$6="O1",$BB$6="O2"),Sorts!X161,""))</f>
        <v>1''/n</v>
      </c>
      <c r="GN28" s="747"/>
      <c r="GO28" s="748" t="str">
        <f>IF(OR($AV$6="O1",$AV$6="O2",$AV$6="O3"),Sorts!Y99,IF(OR($BB$6="O1",$BB$6="O2"),Sorts!Y161,""))</f>
        <v>S</v>
      </c>
      <c r="GP28" s="748"/>
      <c r="GQ28" s="748"/>
      <c r="GR28" s="57" t="str">
        <f>IF(OR($AV$6="O1",$AV$6="O2",$AV$6="O3"),Sorts!Z99,IF(OR($BB$6="O1",$BB$6="O2"),Sorts!Z161,""))</f>
        <v>X</v>
      </c>
      <c r="GS28" s="57" t="str">
        <f>IF(OR($AV$6="O1",$AV$6="O2",$AV$6="O3"),Sorts!AA99,IF(OR($BB$6="O1",$BB$6="O2"),Sorts!AA161,""))</f>
        <v>X</v>
      </c>
      <c r="GT28" s="58" t="str">
        <f>IF(OR($AV$6="O1",$AV$6="O2",$AV$6="O3"),Sorts!AB99,IF(OR($BB$6="O1",$BB$6="O2"),Sorts!AB161,""))</f>
        <v>X</v>
      </c>
      <c r="GU28" s="60"/>
      <c r="GW28" s="56">
        <v>25</v>
      </c>
      <c r="GX28" s="754"/>
      <c r="GY28" s="754"/>
      <c r="GZ28" s="754"/>
      <c r="HA28" s="754"/>
      <c r="HB28" s="754"/>
      <c r="HC28" s="754"/>
      <c r="HD28" s="754"/>
      <c r="HE28" s="754"/>
      <c r="HF28" s="754"/>
      <c r="HG28" s="754"/>
      <c r="HH28" s="754"/>
      <c r="HI28" s="754"/>
      <c r="HJ28" s="755"/>
      <c r="HK28" s="756"/>
      <c r="HL28" s="747"/>
      <c r="HM28" s="748"/>
      <c r="HN28" s="748"/>
      <c r="HO28" s="748"/>
      <c r="HP28" s="748"/>
      <c r="HQ28" s="748"/>
      <c r="HR28" s="748"/>
      <c r="HS28" s="57"/>
      <c r="HT28" s="57"/>
      <c r="HU28" s="58"/>
      <c r="HV28" s="57"/>
      <c r="HW28" s="757" t="s">
        <v>1204</v>
      </c>
      <c r="HX28" s="747"/>
      <c r="HY28" s="57">
        <v>25</v>
      </c>
      <c r="HZ28" s="758" t="str">
        <f>IF(OR($AV$6="O1",$AV$6="O2",$AV$6="O3"),Sorts!AI99,IF(OR($BB$6="O1",$BB$6="O2"),Sorts!AI161,""))</f>
        <v>Transformation de Tenser</v>
      </c>
      <c r="IA28" s="744"/>
      <c r="IB28" s="744"/>
      <c r="IC28" s="744"/>
      <c r="ID28" s="744"/>
      <c r="IE28" s="744"/>
      <c r="IF28" s="744"/>
      <c r="IG28" s="744"/>
      <c r="IH28" s="744"/>
      <c r="II28" s="744"/>
      <c r="IJ28" s="744"/>
      <c r="IK28" s="744"/>
      <c r="IL28" s="744"/>
      <c r="IM28" s="744">
        <v>0</v>
      </c>
      <c r="IN28" s="745"/>
      <c r="IO28" s="746">
        <f>IF(OR($AV$6="O1",$AV$6="O2",$AV$6="O3"),Sorts!AJ99,IF(OR($BB$6="O1",$BB$6="O2"),Sorts!AJ161,""))</f>
        <v>0</v>
      </c>
      <c r="IP28" s="747"/>
      <c r="IQ28" s="748" t="str">
        <f>IF(OR($AV$6="O1",$AV$6="O2",$AV$6="O3"),Sorts!AK99,IF(OR($BB$6="O1",$BB$6="O2"),Sorts!AK161,""))</f>
        <v>1r/n</v>
      </c>
      <c r="IR28" s="748"/>
      <c r="IS28" s="748"/>
      <c r="IT28" s="57" t="str">
        <f>IF(OR($AV$6="O1",$AV$6="O2",$AV$6="O3"),Sorts!AL99,IF(OR($BB$6="O1",$BB$6="O2"),Sorts!AL161,""))</f>
        <v>X</v>
      </c>
      <c r="IU28" s="57" t="str">
        <f>IF(OR($AV$6="O1",$AV$6="O2",$AV$6="O3"),Sorts!AM99,IF(OR($BB$6="O1",$BB$6="O2"),Sorts!AM161,""))</f>
        <v>X</v>
      </c>
      <c r="IV28" s="58" t="str">
        <f>IF(OR($AV$6="O1",$AV$6="O2",$AV$6="O3"),Sorts!AN99,IF(OR($BB$6="O1",$BB$6="O2"),Sorts!AN161,""))</f>
        <v>X</v>
      </c>
      <c r="IW28" s="60"/>
      <c r="IY28" s="70"/>
      <c r="KX28" s="71"/>
    </row>
    <row r="29" spans="2:310" ht="18" customHeight="1" thickBot="1" x14ac:dyDescent="0.3">
      <c r="B29" s="648"/>
      <c r="C29" s="649"/>
      <c r="D29" s="803"/>
      <c r="E29" s="803"/>
      <c r="F29" s="803"/>
      <c r="G29" s="803"/>
      <c r="H29" s="803"/>
      <c r="I29" s="803"/>
      <c r="J29" s="803"/>
      <c r="K29" s="803"/>
      <c r="L29" s="814"/>
      <c r="M29" s="814"/>
      <c r="N29" s="800"/>
      <c r="O29" s="800"/>
      <c r="P29" s="69"/>
      <c r="R29" s="819" t="s">
        <v>25</v>
      </c>
      <c r="S29" s="622"/>
      <c r="T29" s="622"/>
      <c r="U29" s="623"/>
      <c r="V29" s="634" t="str" cm="1">
        <f t="array" ref="V29">IF(OR(AND(W25="A",OR(X25=1,X25=2)),(AND(W25="B",OR(X25=1,X25=2,X25=3,X25=4,X25=5,X25=6)))),"/",IF($X$25="","/",INDEX(Niveau!$H$43:$M$79,'Joueur 1'!$X$25+1,MATCH('Joueur 1'!$W$25,Niveau!$I$43:$M$43,0)+1)+INDEX(Caractéristiques!$B$186:$M$211,DEX+1,6)+INDEX(Race!$B$42:$K$57,MATCH(RACE,Race!$B$43:$B$57,0)+1,3)+INDEX('Armures-Armes'!$B$3:$N$14,MATCH('Joueur 1'!$D$26,'Armures-Armes'!$B$4:$B$14,0)+1,6)))</f>
        <v>/</v>
      </c>
      <c r="W29" s="641"/>
      <c r="X29" s="620" t="s">
        <v>26</v>
      </c>
      <c r="Y29" s="620"/>
      <c r="Z29" s="620"/>
      <c r="AA29" s="621"/>
      <c r="AB29" s="634" t="str" cm="1">
        <f t="array" ref="AB29">IF(OR(AND(W25="A",OR(X25=1,X25=2)),(AND(W25="B",OR(X25=1,X25=2,X25=3,X25=4,X25=5,X25=6)))),"/",IF($X$25="","/",INDEX(Niveau!$AF$43:$AK$79,'Joueur 1'!$X$25+1,MATCH('Joueur 1'!$W$25,Niveau!$AG$43:$AK$43,0)+1)+INDEX(Caractéristiques!$B$186:$M$211,DEX+1,10)+INDEX(Race!$B$42:$K$57,MATCH(RACE,Race!$B$43:$B$57,0)+1,7)+INDEX('Armures-Armes'!$B$3:$N$14,MATCH('Joueur 1'!$D$26,'Armures-Armes'!$B$4:$B$14,0)+1,10)))</f>
        <v>/</v>
      </c>
      <c r="AC29" s="635"/>
      <c r="AF29" s="8" t="s">
        <v>34</v>
      </c>
      <c r="AG29" s="9"/>
      <c r="AH29" s="9"/>
      <c r="AI29" s="9"/>
      <c r="AJ29" s="10"/>
      <c r="AK29" s="859" cm="1">
        <f t="array" ref="AK29">IF(Classe3&lt;&gt;"/",MIN(INDEX(Niveau!$B$237:$P$273,NivC1+1,MATCH(Classe1,Niveau!$C$237:$P$237,0)+1),INDEX(Niveau!$B$237:$P$273,NivC2+1,MATCH(Classe2,Niveau!$C$237:$P$237,0)+1),INDEX(Niveau!$B$237:$P$273,NivC3+1,MATCH(Classe3,Niveau!$C$237:$P$237,0)+1)),IF(Classe2&lt;&gt;"/",MIN(INDEX(Niveau!$B$237:$P$273,NivC1+1,MATCH(Classe1,Niveau!$C$237:$P$237,0)+1),INDEX(Niveau!$B$237:$P$273,NivC2+1,MATCH(Classe2,Niveau!$C$237:$P$237,0)+1)),INDEX(Niveau!$B$237:$P$273,NivC1+1,MATCH(Classe1,Niveau!$C$237:$P$237,0)+1)))+$AN$30</f>
        <v>11</v>
      </c>
      <c r="AL29" s="860"/>
      <c r="AN29" s="815" t="s">
        <v>29</v>
      </c>
      <c r="AO29" s="816"/>
      <c r="AQ29" s="56">
        <v>20</v>
      </c>
      <c r="AR29" s="754" t="str">
        <f>IF($AV$4="O",Sorts!E23,IF($BB$4="O",Sorts!E47,""))</f>
        <v/>
      </c>
      <c r="AS29" s="754"/>
      <c r="AT29" s="754"/>
      <c r="AU29" s="754"/>
      <c r="AV29" s="754"/>
      <c r="AW29" s="754"/>
      <c r="AX29" s="754"/>
      <c r="AY29" s="754"/>
      <c r="AZ29" s="754"/>
      <c r="BA29" s="754"/>
      <c r="BB29" s="754"/>
      <c r="BC29" s="754"/>
      <c r="BD29" s="755"/>
      <c r="BE29" s="756">
        <v>0</v>
      </c>
      <c r="BF29" s="754"/>
      <c r="BG29" s="748" t="str">
        <f>IF($AV$4="O",Sorts!F23,IF($BB$4="O",Sorts!F47,""))</f>
        <v/>
      </c>
      <c r="BH29" s="748"/>
      <c r="BI29" s="748"/>
      <c r="BJ29" s="748" t="str">
        <f>IF($AV$4="O",Sorts!G23,IF($BB$4="O",Sorts!G47,""))</f>
        <v/>
      </c>
      <c r="BK29" s="748"/>
      <c r="BL29" s="748"/>
      <c r="BM29" s="57" t="str">
        <f>IF($AV$4="O",Sorts!H23,IF($BB$4="O",Sorts!H47,""))</f>
        <v/>
      </c>
      <c r="BN29" s="57" t="str">
        <f>IF($AV$4="O",Sorts!I23,IF($BB$4="O",Sorts!I47,""))</f>
        <v/>
      </c>
      <c r="BO29" s="369" t="str">
        <f>IF($AV$4="O",Sorts!J23,IF($BB$4="O",Sorts!J47,""))</f>
        <v/>
      </c>
      <c r="BP29" s="366"/>
      <c r="BQ29" s="757" t="s">
        <v>1204</v>
      </c>
      <c r="BR29" s="747"/>
      <c r="BS29" s="57">
        <v>20</v>
      </c>
      <c r="BT29" s="758" t="str">
        <f>IF(OR($AV$6="O1",$AV$6="O2",$AV$6="O3"),Sorts!E94,IF(OR($BB$6="O1",$BB$6="O2"),Sorts!E156,""))</f>
        <v>Graisse</v>
      </c>
      <c r="BU29" s="744"/>
      <c r="BV29" s="744"/>
      <c r="BW29" s="744"/>
      <c r="BX29" s="744"/>
      <c r="BY29" s="744"/>
      <c r="BZ29" s="744"/>
      <c r="CA29" s="744"/>
      <c r="CB29" s="744"/>
      <c r="CC29" s="744"/>
      <c r="CD29" s="744"/>
      <c r="CE29" s="744"/>
      <c r="CF29" s="744"/>
      <c r="CG29" s="744">
        <v>0</v>
      </c>
      <c r="CH29" s="745"/>
      <c r="CI29" s="746" t="str">
        <f>IF(OR($AV$6="O1",$AV$6="O2",$AV$6="O3"),Sorts!F94,IF(OR($BB$6="O1",$BB$6="O2"),Sorts!F156,""))</f>
        <v>1’’</v>
      </c>
      <c r="CJ29" s="747"/>
      <c r="CK29" s="748" t="str">
        <f>IF(OR($AV$6="O1",$AV$6="O2",$AV$6="O3"),Sorts!G94,IF(OR($BB$6="O1",$BB$6="O2"),Sorts!G156,""))</f>
        <v>P</v>
      </c>
      <c r="CL29" s="748"/>
      <c r="CM29" s="748"/>
      <c r="CN29" s="57" t="str">
        <f>IF(OR($AV$6="O1",$AV$6="O2",$AV$6="O3"),Sorts!H94,IF(OR($BB$6="O1",$BB$6="O2"),Sorts!H156,""))</f>
        <v>X</v>
      </c>
      <c r="CO29" s="57" t="str">
        <f>IF(OR($AV$6="O1",$AV$6="O2",$AV$6="O3"),Sorts!I94,IF(OR($BB$6="O1",$BB$6="O2"),Sorts!I156,""))</f>
        <v>X</v>
      </c>
      <c r="CP29" s="58" t="str">
        <f>IF(OR($AV$6="O1",$AV$6="O2",$AV$6="O3"),Sorts!J94,IF(OR($BB$6="O1",$BB$6="O2"),Sorts!J156,""))</f>
        <v>X</v>
      </c>
      <c r="CQ29" s="60"/>
      <c r="CS29" s="56">
        <v>26</v>
      </c>
      <c r="CT29" s="754"/>
      <c r="CU29" s="754"/>
      <c r="CV29" s="754"/>
      <c r="CW29" s="754"/>
      <c r="CX29" s="754"/>
      <c r="CY29" s="754"/>
      <c r="CZ29" s="754"/>
      <c r="DA29" s="754"/>
      <c r="DB29" s="754"/>
      <c r="DC29" s="754"/>
      <c r="DD29" s="754"/>
      <c r="DE29" s="754"/>
      <c r="DF29" s="755"/>
      <c r="DG29" s="756"/>
      <c r="DH29" s="747"/>
      <c r="DI29" s="748"/>
      <c r="DJ29" s="748"/>
      <c r="DK29" s="748"/>
      <c r="DL29" s="748"/>
      <c r="DM29" s="748"/>
      <c r="DN29" s="748"/>
      <c r="DO29" s="57"/>
      <c r="DP29" s="57"/>
      <c r="DQ29" s="58"/>
      <c r="DR29" s="57"/>
      <c r="DS29" s="757" t="s">
        <v>1204</v>
      </c>
      <c r="DT29" s="747"/>
      <c r="DU29" s="57">
        <v>26</v>
      </c>
      <c r="DV29" s="758" t="str">
        <f>IF(OR($AV$6="O1",$AV$6="O2",$AV$6="O3"),Sorts!K100,IF(OR($BB$6="O1",$BB$6="O2"),Sorts!K162,""))</f>
        <v>Préservation</v>
      </c>
      <c r="DW29" s="744"/>
      <c r="DX29" s="744"/>
      <c r="DY29" s="744"/>
      <c r="DZ29" s="744"/>
      <c r="EA29" s="744"/>
      <c r="EB29" s="744"/>
      <c r="EC29" s="744"/>
      <c r="ED29" s="744"/>
      <c r="EE29" s="744"/>
      <c r="EF29" s="744"/>
      <c r="EG29" s="744"/>
      <c r="EH29" s="744"/>
      <c r="EI29" s="744">
        <v>0</v>
      </c>
      <c r="EJ29" s="745"/>
      <c r="EK29" s="746" t="str">
        <f>IF(OR($AV$6="O1",$AV$6="O2",$AV$6="O3"),Sorts!L100,IF(OR($BB$6="O1",$BB$6="O2"),Sorts!L162,""))</f>
        <v>T</v>
      </c>
      <c r="EL29" s="747"/>
      <c r="EM29" s="748" t="str">
        <f>IF(OR($AV$6="O1",$AV$6="O2",$AV$6="O3"),Sorts!M100,IF(OR($BB$6="O1",$BB$6="O2"),Sorts!M162,""))</f>
        <v>P</v>
      </c>
      <c r="EN29" s="748"/>
      <c r="EO29" s="748"/>
      <c r="EP29" s="57" t="str">
        <f>IF(OR($AV$6="O1",$AV$6="O2",$AV$6="O3"),Sorts!N100,IF(OR($BB$6="O1",$BB$6="O2"),Sorts!N162,""))</f>
        <v>X</v>
      </c>
      <c r="EQ29" s="57" t="str">
        <f>IF(OR($AV$6="O1",$AV$6="O2",$AV$6="O3"),Sorts!O100,IF(OR($BB$6="O1",$BB$6="O2"),Sorts!O162,""))</f>
        <v>X</v>
      </c>
      <c r="ER29" s="58" t="str">
        <f>IF(OR($AV$6="O1",$AV$6="O2",$AV$6="O3"),Sorts!P100,IF(OR($BB$6="O1",$BB$6="O2"),Sorts!P162,""))</f>
        <v>X</v>
      </c>
      <c r="ES29" s="60"/>
      <c r="EU29" s="56">
        <v>26</v>
      </c>
      <c r="EV29" s="754"/>
      <c r="EW29" s="754"/>
      <c r="EX29" s="754"/>
      <c r="EY29" s="754"/>
      <c r="EZ29" s="754"/>
      <c r="FA29" s="754"/>
      <c r="FB29" s="754"/>
      <c r="FC29" s="754"/>
      <c r="FD29" s="754"/>
      <c r="FE29" s="754"/>
      <c r="FF29" s="754"/>
      <c r="FG29" s="754"/>
      <c r="FH29" s="755"/>
      <c r="FI29" s="756"/>
      <c r="FJ29" s="747"/>
      <c r="FK29" s="748"/>
      <c r="FL29" s="748"/>
      <c r="FM29" s="748"/>
      <c r="FN29" s="748"/>
      <c r="FO29" s="748"/>
      <c r="FP29" s="748"/>
      <c r="FQ29" s="57"/>
      <c r="FR29" s="57"/>
      <c r="FS29" s="58"/>
      <c r="FT29" s="57"/>
      <c r="FU29" s="757" t="s">
        <v>1204</v>
      </c>
      <c r="FV29" s="747"/>
      <c r="FW29" s="57">
        <v>26</v>
      </c>
      <c r="FX29" s="758" t="str">
        <f>IF(OR($AV$6="O1",$AV$6="O2",$AV$6="O3"),Sorts!W100,IF(OR($BB$6="O1",$BB$6="O2"),Sorts!W162,""))</f>
        <v>Piège à Feu</v>
      </c>
      <c r="FY29" s="744"/>
      <c r="FZ29" s="744"/>
      <c r="GA29" s="744"/>
      <c r="GB29" s="744"/>
      <c r="GC29" s="744"/>
      <c r="GD29" s="744"/>
      <c r="GE29" s="744"/>
      <c r="GF29" s="744"/>
      <c r="GG29" s="744"/>
      <c r="GH29" s="744"/>
      <c r="GI29" s="744"/>
      <c r="GJ29" s="744"/>
      <c r="GK29" s="744">
        <v>0</v>
      </c>
      <c r="GL29" s="745"/>
      <c r="GM29" s="746" t="str">
        <f>IF(OR($AV$6="O1",$AV$6="O2",$AV$6="O3"),Sorts!X100,IF(OR($BB$6="O1",$BB$6="O2"),Sorts!X162,""))</f>
        <v>T</v>
      </c>
      <c r="GN29" s="747"/>
      <c r="GO29" s="748" t="str">
        <f>IF(OR($AV$6="O1",$AV$6="O2",$AV$6="O3"),Sorts!Y100,IF(OR($BB$6="O1",$BB$6="O2"),Sorts!Y162,""))</f>
        <v>P</v>
      </c>
      <c r="GP29" s="748"/>
      <c r="GQ29" s="748"/>
      <c r="GR29" s="57" t="str">
        <f>IF(OR($AV$6="O1",$AV$6="O2",$AV$6="O3"),Sorts!Z100,IF(OR($BB$6="O1",$BB$6="O2"),Sorts!Z162,""))</f>
        <v>X</v>
      </c>
      <c r="GS29" s="57" t="str">
        <f>IF(OR($AV$6="O1",$AV$6="O2",$AV$6="O3"),Sorts!AA100,IF(OR($BB$6="O1",$BB$6="O2"),Sorts!AA162,""))</f>
        <v>X</v>
      </c>
      <c r="GT29" s="58" t="str">
        <f>IF(OR($AV$6="O1",$AV$6="O2",$AV$6="O3"),Sorts!AB100,IF(OR($BB$6="O1",$BB$6="O2"),Sorts!AB162,""))</f>
        <v>X</v>
      </c>
      <c r="GU29" s="60"/>
      <c r="GW29" s="56">
        <v>26</v>
      </c>
      <c r="GX29" s="754"/>
      <c r="GY29" s="754"/>
      <c r="GZ29" s="754"/>
      <c r="HA29" s="754"/>
      <c r="HB29" s="754"/>
      <c r="HC29" s="754"/>
      <c r="HD29" s="754"/>
      <c r="HE29" s="754"/>
      <c r="HF29" s="754"/>
      <c r="HG29" s="754"/>
      <c r="HH29" s="754"/>
      <c r="HI29" s="754"/>
      <c r="HJ29" s="755"/>
      <c r="HK29" s="756"/>
      <c r="HL29" s="747"/>
      <c r="HM29" s="748"/>
      <c r="HN29" s="748"/>
      <c r="HO29" s="748"/>
      <c r="HP29" s="748"/>
      <c r="HQ29" s="748"/>
      <c r="HR29" s="748"/>
      <c r="HS29" s="57"/>
      <c r="HT29" s="57"/>
      <c r="HU29" s="58"/>
      <c r="HV29" s="57"/>
      <c r="HW29" s="757" t="s">
        <v>1204</v>
      </c>
      <c r="HX29" s="747"/>
      <c r="HY29" s="57">
        <v>26</v>
      </c>
      <c r="HZ29" s="758" t="str">
        <f>IF(OR($AV$6="O1",$AV$6="O2",$AV$6="O3"),Sorts!AI100,IF(OR($BB$6="O1",$BB$6="O2"),Sorts!AI162,""))</f>
        <v>Transmutation d’Eau en Poussière</v>
      </c>
      <c r="IA29" s="744"/>
      <c r="IB29" s="744"/>
      <c r="IC29" s="744"/>
      <c r="ID29" s="744"/>
      <c r="IE29" s="744"/>
      <c r="IF29" s="744"/>
      <c r="IG29" s="744"/>
      <c r="IH29" s="744"/>
      <c r="II29" s="744"/>
      <c r="IJ29" s="744"/>
      <c r="IK29" s="744"/>
      <c r="IL29" s="744"/>
      <c r="IM29" s="744">
        <v>0</v>
      </c>
      <c r="IN29" s="745"/>
      <c r="IO29" s="746" t="str">
        <f>IF(OR($AV$6="O1",$AV$6="O2",$AV$6="O3"),Sorts!AJ100,IF(OR($BB$6="O1",$BB$6="O2"),Sorts!AJ162,""))</f>
        <v>6''</v>
      </c>
      <c r="IP29" s="747"/>
      <c r="IQ29" s="748" t="str">
        <f>IF(OR($AV$6="O1",$AV$6="O2",$AV$6="O3"),Sorts!AK100,IF(OR($BB$6="O1",$BB$6="O2"),Sorts!AK162,""))</f>
        <v>P</v>
      </c>
      <c r="IR29" s="748"/>
      <c r="IS29" s="748"/>
      <c r="IT29" s="57" t="str">
        <f>IF(OR($AV$6="O1",$AV$6="O2",$AV$6="O3"),Sorts!AL100,IF(OR($BB$6="O1",$BB$6="O2"),Sorts!AL162,""))</f>
        <v>X</v>
      </c>
      <c r="IU29" s="57" t="str">
        <f>IF(OR($AV$6="O1",$AV$6="O2",$AV$6="O3"),Sorts!AM100,IF(OR($BB$6="O1",$BB$6="O2"),Sorts!AM162,""))</f>
        <v>X</v>
      </c>
      <c r="IV29" s="58" t="str">
        <f>IF(OR($AV$6="O1",$AV$6="O2",$AV$6="O3"),Sorts!AN100,IF(OR($BB$6="O1",$BB$6="O2"),Sorts!AN162,""))</f>
        <v>X</v>
      </c>
      <c r="IW29" s="60"/>
      <c r="IY29" s="70"/>
      <c r="KX29" s="71"/>
    </row>
    <row r="30" spans="2:310" ht="18" customHeight="1" thickBot="1" x14ac:dyDescent="0.3">
      <c r="B30" s="648" t="s">
        <v>20</v>
      </c>
      <c r="C30" s="649"/>
      <c r="D30" s="803" t="s">
        <v>227</v>
      </c>
      <c r="E30" s="803"/>
      <c r="F30" s="803"/>
      <c r="G30" s="803"/>
      <c r="H30" s="803"/>
      <c r="I30" s="803"/>
      <c r="J30" s="803"/>
      <c r="K30" s="803"/>
      <c r="L30" s="806">
        <f>VLOOKUP('Joueur 1'!$D$30,'Armures-Armes'!B23:C31,2,FALSE)</f>
        <v>10</v>
      </c>
      <c r="M30" s="807"/>
      <c r="N30" s="810"/>
      <c r="O30" s="811"/>
      <c r="P30" s="69"/>
      <c r="R30" s="820"/>
      <c r="S30" s="624"/>
      <c r="T30" s="624"/>
      <c r="U30" s="625"/>
      <c r="V30" s="632"/>
      <c r="W30" s="642"/>
      <c r="X30" s="618"/>
      <c r="Y30" s="618"/>
      <c r="Z30" s="618"/>
      <c r="AA30" s="619"/>
      <c r="AB30" s="632"/>
      <c r="AC30" s="633"/>
      <c r="AF30" s="11" t="s">
        <v>35</v>
      </c>
      <c r="AG30" s="12"/>
      <c r="AH30" s="12"/>
      <c r="AI30" s="12"/>
      <c r="AJ30" s="13"/>
      <c r="AK30" s="823"/>
      <c r="AL30" s="824"/>
      <c r="AN30" s="509">
        <f>IF(OR($D$6=Race!$B$30,$D$6=Race!$B$34,$D$6=Race!$B$35,$D$6=Race!$B$36,$D$6=Race!$B$37),-ROUNDDOWN(CON/3.5,0),IF(($D$6=Race!$B$31),-3,IF(($D$6=Race!$B$28),-2,0)))</f>
        <v>0</v>
      </c>
      <c r="AO30" s="510">
        <f>IF(($D$6=Race!$B$31),-3,IF(($D$6=Race!$B$28),-2,0))</f>
        <v>0</v>
      </c>
      <c r="AQ30" s="56">
        <v>21</v>
      </c>
      <c r="AR30" s="754"/>
      <c r="AS30" s="754"/>
      <c r="AT30" s="754"/>
      <c r="AU30" s="754"/>
      <c r="AV30" s="754"/>
      <c r="AW30" s="754"/>
      <c r="AX30" s="754"/>
      <c r="AY30" s="754"/>
      <c r="AZ30" s="754"/>
      <c r="BA30" s="754"/>
      <c r="BB30" s="754"/>
      <c r="BC30" s="754"/>
      <c r="BD30" s="755"/>
      <c r="BE30" s="756">
        <v>0</v>
      </c>
      <c r="BF30" s="754"/>
      <c r="BG30" s="748"/>
      <c r="BH30" s="748"/>
      <c r="BI30" s="748"/>
      <c r="BJ30" s="748"/>
      <c r="BK30" s="748"/>
      <c r="BL30" s="748"/>
      <c r="BM30" s="57"/>
      <c r="BN30" s="57"/>
      <c r="BO30" s="369"/>
      <c r="BP30" s="366"/>
      <c r="BQ30" s="757" t="s">
        <v>1204</v>
      </c>
      <c r="BR30" s="747"/>
      <c r="BS30" s="57">
        <v>21</v>
      </c>
      <c r="BT30" s="758" t="str">
        <f>IF(OR($AV$6="O1",$AV$6="O2",$AV$6="O3"),Sorts!E95,IF(OR($BB$6="O1",$BB$6="O2"),Sorts!E157,""))</f>
        <v>Identification</v>
      </c>
      <c r="BU30" s="744"/>
      <c r="BV30" s="744"/>
      <c r="BW30" s="744"/>
      <c r="BX30" s="744"/>
      <c r="BY30" s="744"/>
      <c r="BZ30" s="744"/>
      <c r="CA30" s="744"/>
      <c r="CB30" s="744"/>
      <c r="CC30" s="744"/>
      <c r="CD30" s="744"/>
      <c r="CE30" s="744"/>
      <c r="CF30" s="744"/>
      <c r="CG30" s="744">
        <v>0</v>
      </c>
      <c r="CH30" s="745"/>
      <c r="CI30" s="746">
        <f>IF(OR($AV$6="O1",$AV$6="O2",$AV$6="O3"),Sorts!F95,IF(OR($BB$6="O1",$BB$6="O2"),Sorts!F157,""))</f>
        <v>0</v>
      </c>
      <c r="CJ30" s="747"/>
      <c r="CK30" s="748" t="str">
        <f>IF(OR($AV$6="O1",$AV$6="O2",$AV$6="O3"),Sorts!G95,IF(OR($BB$6="O1",$BB$6="O2"),Sorts!G157,""))</f>
        <v>1s/n</v>
      </c>
      <c r="CL30" s="748"/>
      <c r="CM30" s="748"/>
      <c r="CN30" s="57" t="str">
        <f>IF(OR($AV$6="O1",$AV$6="O2",$AV$6="O3"),Sorts!H95,IF(OR($BB$6="O1",$BB$6="O2"),Sorts!H157,""))</f>
        <v>X</v>
      </c>
      <c r="CO30" s="57" t="str">
        <f>IF(OR($AV$6="O1",$AV$6="O2",$AV$6="O3"),Sorts!I95,IF(OR($BB$6="O1",$BB$6="O2"),Sorts!I157,""))</f>
        <v>X</v>
      </c>
      <c r="CP30" s="58" t="str">
        <f>IF(OR($AV$6="O1",$AV$6="O2",$AV$6="O3"),Sorts!J95,IF(OR($BB$6="O1",$BB$6="O2"),Sorts!J157,""))</f>
        <v>X</v>
      </c>
      <c r="CQ30" s="60"/>
      <c r="CS30" s="56">
        <v>27</v>
      </c>
      <c r="CT30" s="754"/>
      <c r="CU30" s="754"/>
      <c r="CV30" s="754"/>
      <c r="CW30" s="754"/>
      <c r="CX30" s="754"/>
      <c r="CY30" s="754"/>
      <c r="CZ30" s="754"/>
      <c r="DA30" s="754"/>
      <c r="DB30" s="754"/>
      <c r="DC30" s="754"/>
      <c r="DD30" s="754"/>
      <c r="DE30" s="754"/>
      <c r="DF30" s="755"/>
      <c r="DG30" s="756"/>
      <c r="DH30" s="747"/>
      <c r="DI30" s="748"/>
      <c r="DJ30" s="748"/>
      <c r="DK30" s="748"/>
      <c r="DL30" s="748"/>
      <c r="DM30" s="748"/>
      <c r="DN30" s="748"/>
      <c r="DO30" s="57"/>
      <c r="DP30" s="57"/>
      <c r="DQ30" s="58"/>
      <c r="DR30" s="57"/>
      <c r="DS30" s="757" t="s">
        <v>1204</v>
      </c>
      <c r="DT30" s="747"/>
      <c r="DU30" s="57">
        <v>27</v>
      </c>
      <c r="DV30" s="758" t="str">
        <f>IF(OR($AV$6="O1",$AV$6="O2",$AV$6="O3"),Sorts!K101,IF(OR($BB$6="O1",$BB$6="O2"),Sorts!K163,""))</f>
        <v>Protection contre les Tours Mineurs</v>
      </c>
      <c r="DW30" s="744"/>
      <c r="DX30" s="744"/>
      <c r="DY30" s="744"/>
      <c r="DZ30" s="744"/>
      <c r="EA30" s="744"/>
      <c r="EB30" s="744"/>
      <c r="EC30" s="744"/>
      <c r="ED30" s="744"/>
      <c r="EE30" s="744"/>
      <c r="EF30" s="744"/>
      <c r="EG30" s="744"/>
      <c r="EH30" s="744"/>
      <c r="EI30" s="744">
        <v>0</v>
      </c>
      <c r="EJ30" s="745"/>
      <c r="EK30" s="746" t="str">
        <f>IF(OR($AV$6="O1",$AV$6="O2",$AV$6="O3"),Sorts!L101,IF(OR($BB$6="O1",$BB$6="O2"),Sorts!L163,""))</f>
        <v>T</v>
      </c>
      <c r="EL30" s="747"/>
      <c r="EM30" s="748" t="str">
        <f>IF(OR($AV$6="O1",$AV$6="O2",$AV$6="O3"),Sorts!M101,IF(OR($BB$6="O1",$BB$6="O2"),Sorts!M163,""))</f>
        <v>1j/n</v>
      </c>
      <c r="EN30" s="748"/>
      <c r="EO30" s="748"/>
      <c r="EP30" s="57" t="str">
        <f>IF(OR($AV$6="O1",$AV$6="O2",$AV$6="O3"),Sorts!N101,IF(OR($BB$6="O1",$BB$6="O2"),Sorts!N163,""))</f>
        <v>X</v>
      </c>
      <c r="EQ30" s="57" t="str">
        <f>IF(OR($AV$6="O1",$AV$6="O2",$AV$6="O3"),Sorts!O101,IF(OR($BB$6="O1",$BB$6="O2"),Sorts!O163,""))</f>
        <v>X</v>
      </c>
      <c r="ER30" s="58" t="str">
        <f>IF(OR($AV$6="O1",$AV$6="O2",$AV$6="O3"),Sorts!P101,IF(OR($BB$6="O1",$BB$6="O2"),Sorts!P163,""))</f>
        <v>/</v>
      </c>
      <c r="ES30" s="60"/>
      <c r="EU30" s="56">
        <v>27</v>
      </c>
      <c r="EV30" s="754"/>
      <c r="EW30" s="754"/>
      <c r="EX30" s="754"/>
      <c r="EY30" s="754"/>
      <c r="EZ30" s="754"/>
      <c r="FA30" s="754"/>
      <c r="FB30" s="754"/>
      <c r="FC30" s="754"/>
      <c r="FD30" s="754"/>
      <c r="FE30" s="754"/>
      <c r="FF30" s="754"/>
      <c r="FG30" s="754"/>
      <c r="FH30" s="755"/>
      <c r="FI30" s="756"/>
      <c r="FJ30" s="747"/>
      <c r="FK30" s="748"/>
      <c r="FL30" s="748"/>
      <c r="FM30" s="748"/>
      <c r="FN30" s="748"/>
      <c r="FO30" s="748"/>
      <c r="FP30" s="748"/>
      <c r="FQ30" s="57"/>
      <c r="FR30" s="57"/>
      <c r="FS30" s="58"/>
      <c r="FT30" s="57"/>
      <c r="FU30" s="757" t="s">
        <v>1204</v>
      </c>
      <c r="FV30" s="747"/>
      <c r="FW30" s="57">
        <v>27</v>
      </c>
      <c r="FX30" s="758" t="str">
        <f>IF(OR($AV$6="O1",$AV$6="O2",$AV$6="O3"),Sorts!W101,IF(OR($BB$6="O1",$BB$6="O2"),Sorts!W163,""))</f>
        <v>Porte Dimensionnelle</v>
      </c>
      <c r="FY30" s="744"/>
      <c r="FZ30" s="744"/>
      <c r="GA30" s="744"/>
      <c r="GB30" s="744"/>
      <c r="GC30" s="744"/>
      <c r="GD30" s="744"/>
      <c r="GE30" s="744"/>
      <c r="GF30" s="744"/>
      <c r="GG30" s="744"/>
      <c r="GH30" s="744"/>
      <c r="GI30" s="744"/>
      <c r="GJ30" s="744"/>
      <c r="GK30" s="744">
        <v>0</v>
      </c>
      <c r="GL30" s="745"/>
      <c r="GM30" s="746">
        <f>IF(OR($AV$6="O1",$AV$6="O2",$AV$6="O3"),Sorts!X101,IF(OR($BB$6="O1",$BB$6="O2"),Sorts!X163,""))</f>
        <v>0</v>
      </c>
      <c r="GN30" s="747"/>
      <c r="GO30" s="748" t="str">
        <f>IF(OR($AV$6="O1",$AV$6="O2",$AV$6="O3"),Sorts!Y101,IF(OR($BB$6="O1",$BB$6="O2"),Sorts!Y163,""))</f>
        <v>S</v>
      </c>
      <c r="GP30" s="748"/>
      <c r="GQ30" s="748"/>
      <c r="GR30" s="57" t="str">
        <f>IF(OR($AV$6="O1",$AV$6="O2",$AV$6="O3"),Sorts!Z101,IF(OR($BB$6="O1",$BB$6="O2"),Sorts!Z163,""))</f>
        <v>X</v>
      </c>
      <c r="GS30" s="57" t="str">
        <f>IF(OR($AV$6="O1",$AV$6="O2",$AV$6="O3"),Sorts!AA101,IF(OR($BB$6="O1",$BB$6="O2"),Sorts!AA163,""))</f>
        <v>/</v>
      </c>
      <c r="GT30" s="58" t="str">
        <f>IF(OR($AV$6="O1",$AV$6="O2",$AV$6="O3"),Sorts!AB101,IF(OR($BB$6="O1",$BB$6="O2"),Sorts!AB163,""))</f>
        <v>/</v>
      </c>
      <c r="GU30" s="60"/>
      <c r="GW30" s="56">
        <v>27</v>
      </c>
      <c r="GX30" s="754"/>
      <c r="GY30" s="754"/>
      <c r="GZ30" s="754"/>
      <c r="HA30" s="754"/>
      <c r="HB30" s="754"/>
      <c r="HC30" s="754"/>
      <c r="HD30" s="754"/>
      <c r="HE30" s="754"/>
      <c r="HF30" s="754"/>
      <c r="HG30" s="754"/>
      <c r="HH30" s="754"/>
      <c r="HI30" s="754"/>
      <c r="HJ30" s="755"/>
      <c r="HK30" s="756"/>
      <c r="HL30" s="747"/>
      <c r="HM30" s="748"/>
      <c r="HN30" s="748"/>
      <c r="HO30" s="748"/>
      <c r="HP30" s="748"/>
      <c r="HQ30" s="748"/>
      <c r="HR30" s="748"/>
      <c r="HS30" s="57"/>
      <c r="HT30" s="57"/>
      <c r="HU30" s="58"/>
      <c r="HV30" s="57"/>
      <c r="HW30" s="757" t="s">
        <v>1204</v>
      </c>
      <c r="HX30" s="747"/>
      <c r="HY30" s="57">
        <v>27</v>
      </c>
      <c r="HZ30" s="758" t="str">
        <f>IF(OR($AV$6="O1",$AV$6="O2",$AV$6="O3"),Sorts!AI101,IF(OR($BB$6="O1",$BB$6="O2"),Sorts!AI163,""))</f>
        <v>Transmutation de Pierre en Chair</v>
      </c>
      <c r="IA30" s="744"/>
      <c r="IB30" s="744"/>
      <c r="IC30" s="744"/>
      <c r="ID30" s="744"/>
      <c r="IE30" s="744"/>
      <c r="IF30" s="744"/>
      <c r="IG30" s="744"/>
      <c r="IH30" s="744"/>
      <c r="II30" s="744"/>
      <c r="IJ30" s="744"/>
      <c r="IK30" s="744"/>
      <c r="IL30" s="744"/>
      <c r="IM30" s="744">
        <v>0</v>
      </c>
      <c r="IN30" s="745"/>
      <c r="IO30" s="746" t="str">
        <f>IF(OR($AV$6="O1",$AV$6="O2",$AV$6="O3"),Sorts!AJ101,IF(OR($BB$6="O1",$BB$6="O2"),Sorts!AJ163,""))</f>
        <v>1''/n</v>
      </c>
      <c r="IP30" s="747"/>
      <c r="IQ30" s="748" t="str">
        <f>IF(OR($AV$6="O1",$AV$6="O2",$AV$6="O3"),Sorts!AK101,IF(OR($BB$6="O1",$BB$6="O2"),Sorts!AK163,""))</f>
        <v>P</v>
      </c>
      <c r="IR30" s="748"/>
      <c r="IS30" s="748"/>
      <c r="IT30" s="57" t="str">
        <f>IF(OR($AV$6="O1",$AV$6="O2",$AV$6="O3"),Sorts!AL101,IF(OR($BB$6="O1",$BB$6="O2"),Sorts!AL163,""))</f>
        <v>X</v>
      </c>
      <c r="IU30" s="57" t="str">
        <f>IF(OR($AV$6="O1",$AV$6="O2",$AV$6="O3"),Sorts!AM101,IF(OR($BB$6="O1",$BB$6="O2"),Sorts!AM163,""))</f>
        <v>X</v>
      </c>
      <c r="IV30" s="58" t="str">
        <f>IF(OR($AV$6="O1",$AV$6="O2",$AV$6="O3"),Sorts!AN101,IF(OR($BB$6="O1",$BB$6="O2"),Sorts!AN163,""))</f>
        <v>X</v>
      </c>
      <c r="IW30" s="60"/>
      <c r="IY30" s="70"/>
      <c r="KX30" s="71"/>
    </row>
    <row r="31" spans="2:310" ht="18" customHeight="1" thickBot="1" x14ac:dyDescent="0.3">
      <c r="B31" s="648"/>
      <c r="C31" s="649"/>
      <c r="D31" s="803"/>
      <c r="E31" s="803"/>
      <c r="F31" s="803"/>
      <c r="G31" s="803"/>
      <c r="H31" s="803"/>
      <c r="I31" s="803"/>
      <c r="J31" s="803"/>
      <c r="K31" s="803"/>
      <c r="L31" s="808"/>
      <c r="M31" s="809"/>
      <c r="N31" s="812"/>
      <c r="O31" s="813"/>
      <c r="P31" s="69"/>
      <c r="R31" s="884" t="s">
        <v>228</v>
      </c>
      <c r="S31" s="620"/>
      <c r="T31" s="620"/>
      <c r="U31" s="621"/>
      <c r="V31" s="634" t="str" cm="1">
        <f t="array" ref="V31">IF(OR(AND(W25="A",OR(X25=1,X25=2)),(AND(W25="B",OR(X25=1,X25=2,X25=3,X25=4,X25=5,X25=6)))),"/",IF($X$25="","/",INDEX(Niveau!$N$43:$S$79,'Joueur 1'!$X$25+1,MATCH('Joueur 1'!$W$25,Niveau!$O$43:$S$43,0)+1)+INDEX(Caractéristiques!$B$186:$M$211,DEX+1,7)+INDEX(Race!$B$42:$K$57,MATCH(RACE,Race!$B$43:$B$57,0)+1,4)+INDEX('Armures-Armes'!$B$3:$N$14,MATCH('Joueur 1'!$D$26,'Armures-Armes'!$B$4:$B$14,0)+1,7)))</f>
        <v>/</v>
      </c>
      <c r="W31" s="641"/>
      <c r="X31" s="622" t="s">
        <v>27</v>
      </c>
      <c r="Y31" s="622"/>
      <c r="Z31" s="622"/>
      <c r="AA31" s="623"/>
      <c r="AB31" s="634" t="str" cm="1">
        <f t="array" ref="AB31">IF(OR(AND(W25="A",OR(X25=1,X25=2)),(AND(W25="B",OR(X25=1,X25=2,X25=3,X25=4,X25=5,X25=6)))),"/",IF($X$25="","/",INDEX(Niveau!$AL$43:$AQ$79,'Joueur 1'!$X$25+1,MATCH('Joueur 1'!$W$25,Niveau!$AM$43:$AQ$43,0)+1)+INDEX(Caractéristiques!$B$186:$M$211,DEX+1,11)+INDEX(Race!$B$42:$K$57,MATCH(RACE,Race!$B$43:$B$57,0)+1,8)+INDEX('Armures-Armes'!$B$3:$N$14,MATCH('Joueur 1'!$D$26,'Armures-Armes'!$B$4:$B$14,0)+1,11)))</f>
        <v>/</v>
      </c>
      <c r="AC31" s="635"/>
      <c r="AF31" s="8" t="s">
        <v>36</v>
      </c>
      <c r="AG31" s="9"/>
      <c r="AH31" s="9"/>
      <c r="AI31" s="9"/>
      <c r="AJ31" s="10"/>
      <c r="AK31" s="902" cm="1">
        <f t="array" ref="AK31">IF(Classe3&lt;&gt;"/",MIN(INDEX(Niveau!$B$276:$P$312,NivC1+1,MATCH(Classe1,Niveau!$C$276:$P$276,0)+1),INDEX(Niveau!$B$276:$P$312,NivC2+1,MATCH(Classe2,Niveau!$C$276:$P$276,0)+1),INDEX(Niveau!$B$276:$P$312,NivC3+1,MATCH(Classe3,Niveau!$C$276:$P$276,0)+1)),IF(Classe2&lt;&gt;"/",MIN(INDEX(Niveau!$B$276:$P$312,NivC1+1,MATCH(Classe1,Niveau!$C$276:$P$276,0)+1),INDEX(Niveau!$B$276:$P$312,NivC2+1,MATCH(Classe2,Niveau!$C$276:$P$276,0)+1)),INDEX(Niveau!$B$276:$P$312,NivC1+1,MATCH(Classe1,Niveau!$C$276:$P$276,0)+1)))+$AO$30+$AN$32</f>
        <v>12</v>
      </c>
      <c r="AL31" s="860"/>
      <c r="AN31" s="815" t="s">
        <v>4</v>
      </c>
      <c r="AO31" s="816"/>
      <c r="AQ31" s="56">
        <v>22</v>
      </c>
      <c r="AR31" s="754"/>
      <c r="AS31" s="754"/>
      <c r="AT31" s="754"/>
      <c r="AU31" s="754"/>
      <c r="AV31" s="754"/>
      <c r="AW31" s="754"/>
      <c r="AX31" s="754"/>
      <c r="AY31" s="754"/>
      <c r="AZ31" s="754"/>
      <c r="BA31" s="754"/>
      <c r="BB31" s="754"/>
      <c r="BC31" s="754"/>
      <c r="BD31" s="755"/>
      <c r="BE31" s="756">
        <v>0</v>
      </c>
      <c r="BF31" s="754"/>
      <c r="BG31" s="748"/>
      <c r="BH31" s="748"/>
      <c r="BI31" s="748"/>
      <c r="BJ31" s="748"/>
      <c r="BK31" s="748"/>
      <c r="BL31" s="748"/>
      <c r="BM31" s="57"/>
      <c r="BN31" s="57"/>
      <c r="BO31" s="369"/>
      <c r="BP31" s="366"/>
      <c r="BQ31" s="757" t="s">
        <v>1204</v>
      </c>
      <c r="BR31" s="747"/>
      <c r="BS31" s="57">
        <v>22</v>
      </c>
      <c r="BT31" s="758" t="str">
        <f>IF(OR($AV$6="O1",$AV$6="O2",$AV$6="O3"),Sorts!E96,IF(OR($BB$6="O1",$BB$6="O2"),Sorts!E158,""))</f>
        <v>Invocation d’un Familier</v>
      </c>
      <c r="BU31" s="744"/>
      <c r="BV31" s="744"/>
      <c r="BW31" s="744"/>
      <c r="BX31" s="744"/>
      <c r="BY31" s="744"/>
      <c r="BZ31" s="744"/>
      <c r="CA31" s="744"/>
      <c r="CB31" s="744"/>
      <c r="CC31" s="744"/>
      <c r="CD31" s="744"/>
      <c r="CE31" s="744"/>
      <c r="CF31" s="744"/>
      <c r="CG31" s="744">
        <v>0</v>
      </c>
      <c r="CH31" s="745"/>
      <c r="CI31" s="746" t="str">
        <f>IF(OR($AV$6="O1",$AV$6="O2",$AV$6="O3"),Sorts!F96,IF(OR($BB$6="O1",$BB$6="O2"),Sorts!F158,""))</f>
        <v>1,6km/n</v>
      </c>
      <c r="CJ31" s="747"/>
      <c r="CK31" s="748" t="str">
        <f>IF(OR($AV$6="O1",$AV$6="O2",$AV$6="O3"),Sorts!G96,IF(OR($BB$6="O1",$BB$6="O2"),Sorts!G158,""))</f>
        <v>S</v>
      </c>
      <c r="CL31" s="748"/>
      <c r="CM31" s="748"/>
      <c r="CN31" s="57" t="str">
        <f>IF(OR($AV$6="O1",$AV$6="O2",$AV$6="O3"),Sorts!H96,IF(OR($BB$6="O1",$BB$6="O2"),Sorts!H158,""))</f>
        <v>X</v>
      </c>
      <c r="CO31" s="57" t="str">
        <f>IF(OR($AV$6="O1",$AV$6="O2",$AV$6="O3"),Sorts!I96,IF(OR($BB$6="O1",$BB$6="O2"),Sorts!I158,""))</f>
        <v>X</v>
      </c>
      <c r="CP31" s="58" t="str">
        <f>IF(OR($AV$6="O1",$AV$6="O2",$AV$6="O3"),Sorts!J96,IF(OR($BB$6="O1",$BB$6="O2"),Sorts!J158,""))</f>
        <v>X</v>
      </c>
      <c r="CQ31" s="60"/>
      <c r="CS31" s="56">
        <v>28</v>
      </c>
      <c r="CT31" s="754"/>
      <c r="CU31" s="754"/>
      <c r="CV31" s="754"/>
      <c r="CW31" s="754"/>
      <c r="CX31" s="754"/>
      <c r="CY31" s="754"/>
      <c r="CZ31" s="754"/>
      <c r="DA31" s="754"/>
      <c r="DB31" s="754"/>
      <c r="DC31" s="754"/>
      <c r="DD31" s="754"/>
      <c r="DE31" s="754"/>
      <c r="DF31" s="755"/>
      <c r="DG31" s="756"/>
      <c r="DH31" s="747"/>
      <c r="DI31" s="748"/>
      <c r="DJ31" s="748"/>
      <c r="DK31" s="748"/>
      <c r="DL31" s="748"/>
      <c r="DM31" s="748"/>
      <c r="DN31" s="748"/>
      <c r="DO31" s="57"/>
      <c r="DP31" s="57"/>
      <c r="DQ31" s="58"/>
      <c r="DR31" s="57"/>
      <c r="DS31" s="757" t="s">
        <v>1204</v>
      </c>
      <c r="DT31" s="747"/>
      <c r="DU31" s="57">
        <v>28</v>
      </c>
      <c r="DV31" s="758" t="str">
        <f>IF(OR($AV$6="O1",$AV$6="O2",$AV$6="O3"),Sorts!K102,IF(OR($BB$6="O1",$BB$6="O2"),Sorts!K164,""))</f>
        <v>Pyrotechnie</v>
      </c>
      <c r="DW31" s="744"/>
      <c r="DX31" s="744"/>
      <c r="DY31" s="744"/>
      <c r="DZ31" s="744"/>
      <c r="EA31" s="744"/>
      <c r="EB31" s="744"/>
      <c r="EC31" s="744"/>
      <c r="ED31" s="744"/>
      <c r="EE31" s="744"/>
      <c r="EF31" s="744"/>
      <c r="EG31" s="744"/>
      <c r="EH31" s="744"/>
      <c r="EI31" s="744">
        <v>0</v>
      </c>
      <c r="EJ31" s="745"/>
      <c r="EK31" s="746" t="str">
        <f>IF(OR($AV$6="O1",$AV$6="O2",$AV$6="O3"),Sorts!L102,IF(OR($BB$6="O1",$BB$6="O2"),Sorts!L164,""))</f>
        <v>12''</v>
      </c>
      <c r="EL31" s="747"/>
      <c r="EM31" s="748" t="str">
        <f>IF(OR($AV$6="O1",$AV$6="O2",$AV$6="O3"),Sorts!M102,IF(OR($BB$6="O1",$BB$6="O2"),Sorts!M164,""))</f>
        <v>S</v>
      </c>
      <c r="EN31" s="748"/>
      <c r="EO31" s="748"/>
      <c r="EP31" s="57" t="str">
        <f>IF(OR($AV$6="O1",$AV$6="O2",$AV$6="O3"),Sorts!N102,IF(OR($BB$6="O1",$BB$6="O2"),Sorts!N164,""))</f>
        <v>X</v>
      </c>
      <c r="EQ31" s="57" t="str">
        <f>IF(OR($AV$6="O1",$AV$6="O2",$AV$6="O3"),Sorts!O102,IF(OR($BB$6="O1",$BB$6="O2"),Sorts!O164,""))</f>
        <v>X</v>
      </c>
      <c r="ER31" s="58" t="str">
        <f>IF(OR($AV$6="O1",$AV$6="O2",$AV$6="O3"),Sorts!P102,IF(OR($BB$6="O1",$BB$6="O2"),Sorts!P164,""))</f>
        <v>/</v>
      </c>
      <c r="ES31" s="60"/>
      <c r="EU31" s="56">
        <v>28</v>
      </c>
      <c r="EV31" s="754"/>
      <c r="EW31" s="754"/>
      <c r="EX31" s="754"/>
      <c r="EY31" s="754"/>
      <c r="EZ31" s="754"/>
      <c r="FA31" s="754"/>
      <c r="FB31" s="754"/>
      <c r="FC31" s="754"/>
      <c r="FD31" s="754"/>
      <c r="FE31" s="754"/>
      <c r="FF31" s="754"/>
      <c r="FG31" s="754"/>
      <c r="FH31" s="755"/>
      <c r="FI31" s="756"/>
      <c r="FJ31" s="747"/>
      <c r="FK31" s="748"/>
      <c r="FL31" s="748"/>
      <c r="FM31" s="748"/>
      <c r="FN31" s="748"/>
      <c r="FO31" s="748"/>
      <c r="FP31" s="748"/>
      <c r="FQ31" s="57"/>
      <c r="FR31" s="57"/>
      <c r="FS31" s="58"/>
      <c r="FT31" s="57"/>
      <c r="FU31" s="757" t="s">
        <v>1204</v>
      </c>
      <c r="FV31" s="747"/>
      <c r="FW31" s="57">
        <v>28</v>
      </c>
      <c r="FX31" s="758" t="str">
        <f>IF(OR($AV$6="O1",$AV$6="O2",$AV$6="O3"),Sorts!W102,IF(OR($BB$6="O1",$BB$6="O2"),Sorts!W164,""))</f>
        <v>Sphère Résiliente d’Otiluke</v>
      </c>
      <c r="FY31" s="744"/>
      <c r="FZ31" s="744"/>
      <c r="GA31" s="744"/>
      <c r="GB31" s="744"/>
      <c r="GC31" s="744"/>
      <c r="GD31" s="744"/>
      <c r="GE31" s="744"/>
      <c r="GF31" s="744"/>
      <c r="GG31" s="744"/>
      <c r="GH31" s="744"/>
      <c r="GI31" s="744"/>
      <c r="GJ31" s="744"/>
      <c r="GK31" s="744">
        <v>0</v>
      </c>
      <c r="GL31" s="745"/>
      <c r="GM31" s="746" t="str">
        <f>IF(OR($AV$6="O1",$AV$6="O2",$AV$6="O3"),Sorts!X102,IF(OR($BB$6="O1",$BB$6="O2"),Sorts!X164,""))</f>
        <v>2''</v>
      </c>
      <c r="GN31" s="747"/>
      <c r="GO31" s="748" t="str">
        <f>IF(OR($AV$6="O1",$AV$6="O2",$AV$6="O3"),Sorts!Y102,IF(OR($BB$6="O1",$BB$6="O2"),Sorts!Y164,""))</f>
        <v>1r/n</v>
      </c>
      <c r="GP31" s="748"/>
      <c r="GQ31" s="748"/>
      <c r="GR31" s="57" t="str">
        <f>IF(OR($AV$6="O1",$AV$6="O2",$AV$6="O3"),Sorts!Z102,IF(OR($BB$6="O1",$BB$6="O2"),Sorts!Z164,""))</f>
        <v>X</v>
      </c>
      <c r="GS31" s="57" t="str">
        <f>IF(OR($AV$6="O1",$AV$6="O2",$AV$6="O3"),Sorts!AA102,IF(OR($BB$6="O1",$BB$6="O2"),Sorts!AA164,""))</f>
        <v>X</v>
      </c>
      <c r="GT31" s="58" t="str">
        <f>IF(OR($AV$6="O1",$AV$6="O2",$AV$6="O3"),Sorts!AB102,IF(OR($BB$6="O1",$BB$6="O2"),Sorts!AB164,""))</f>
        <v>X</v>
      </c>
      <c r="GU31" s="60"/>
      <c r="GW31" s="56">
        <v>28</v>
      </c>
      <c r="GX31" s="754"/>
      <c r="GY31" s="754"/>
      <c r="GZ31" s="754"/>
      <c r="HA31" s="754"/>
      <c r="HB31" s="754"/>
      <c r="HC31" s="754"/>
      <c r="HD31" s="754"/>
      <c r="HE31" s="754"/>
      <c r="HF31" s="754"/>
      <c r="HG31" s="754"/>
      <c r="HH31" s="754"/>
      <c r="HI31" s="754"/>
      <c r="HJ31" s="755"/>
      <c r="HK31" s="756"/>
      <c r="HL31" s="747"/>
      <c r="HM31" s="748"/>
      <c r="HN31" s="748"/>
      <c r="HO31" s="748"/>
      <c r="HP31" s="748"/>
      <c r="HQ31" s="748"/>
      <c r="HR31" s="748"/>
      <c r="HS31" s="57"/>
      <c r="HT31" s="57"/>
      <c r="HU31" s="58"/>
      <c r="HV31" s="57"/>
      <c r="HW31" s="757" t="s">
        <v>1204</v>
      </c>
      <c r="HX31" s="747"/>
      <c r="HY31" s="57">
        <v>28</v>
      </c>
      <c r="HZ31" s="758" t="str">
        <f>IF(OR($AV$6="O1",$AV$6="O2",$AV$6="O3"),Sorts!AI102,IF(OR($BB$6="O1",$BB$6="O2"),Sorts!AI164,""))</f>
        <v>Transvision</v>
      </c>
      <c r="IA31" s="744"/>
      <c r="IB31" s="744"/>
      <c r="IC31" s="744"/>
      <c r="ID31" s="744"/>
      <c r="IE31" s="744"/>
      <c r="IF31" s="744"/>
      <c r="IG31" s="744"/>
      <c r="IH31" s="744"/>
      <c r="II31" s="744"/>
      <c r="IJ31" s="744"/>
      <c r="IK31" s="744"/>
      <c r="IL31" s="744"/>
      <c r="IM31" s="744">
        <v>0</v>
      </c>
      <c r="IN31" s="745"/>
      <c r="IO31" s="746" t="str">
        <f>IF(OR($AV$6="O1",$AV$6="O2",$AV$6="O3"),Sorts!AJ102,IF(OR($BB$6="O1",$BB$6="O2"),Sorts!AJ164,""))</f>
        <v>T</v>
      </c>
      <c r="IP31" s="747"/>
      <c r="IQ31" s="748" t="str">
        <f>IF(OR($AV$6="O1",$AV$6="O2",$AV$6="O3"),Sorts!AK102,IF(OR($BB$6="O1",$BB$6="O2"),Sorts!AK164,""))</f>
        <v>1r/n</v>
      </c>
      <c r="IR31" s="748"/>
      <c r="IS31" s="748"/>
      <c r="IT31" s="57" t="str">
        <f>IF(OR($AV$6="O1",$AV$6="O2",$AV$6="O3"),Sorts!AL102,IF(OR($BB$6="O1",$BB$6="O2"),Sorts!AL164,""))</f>
        <v>X</v>
      </c>
      <c r="IU31" s="57" t="str">
        <f>IF(OR($AV$6="O1",$AV$6="O2",$AV$6="O3"),Sorts!AM102,IF(OR($BB$6="O1",$BB$6="O2"),Sorts!AM164,""))</f>
        <v>X</v>
      </c>
      <c r="IV31" s="58" t="str">
        <f>IF(OR($AV$6="O1",$AV$6="O2",$AV$6="O3"),Sorts!AN102,IF(OR($BB$6="O1",$BB$6="O2"),Sorts!AN164,""))</f>
        <v>X</v>
      </c>
      <c r="IW31" s="60"/>
      <c r="IY31" s="70"/>
      <c r="KX31" s="71"/>
    </row>
    <row r="32" spans="2:310" ht="18" customHeight="1" thickBot="1" x14ac:dyDescent="0.3">
      <c r="B32" s="804" t="s">
        <v>19</v>
      </c>
      <c r="C32" s="805"/>
      <c r="D32" s="803" t="s">
        <v>379</v>
      </c>
      <c r="E32" s="803"/>
      <c r="F32" s="803"/>
      <c r="G32" s="803"/>
      <c r="H32" s="803"/>
      <c r="I32" s="803"/>
      <c r="J32" s="803"/>
      <c r="K32" s="803"/>
      <c r="L32" s="799"/>
      <c r="M32" s="799"/>
      <c r="N32" s="800">
        <v>-1</v>
      </c>
      <c r="O32" s="800"/>
      <c r="P32" s="69"/>
      <c r="R32" s="885"/>
      <c r="S32" s="618"/>
      <c r="T32" s="618"/>
      <c r="U32" s="619"/>
      <c r="V32" s="632"/>
      <c r="W32" s="642"/>
      <c r="X32" s="624"/>
      <c r="Y32" s="624"/>
      <c r="Z32" s="624"/>
      <c r="AA32" s="625"/>
      <c r="AB32" s="632"/>
      <c r="AC32" s="633"/>
      <c r="AF32" s="11"/>
      <c r="AG32" s="12"/>
      <c r="AH32" s="12"/>
      <c r="AI32" s="12"/>
      <c r="AJ32" s="12"/>
      <c r="AK32" s="823"/>
      <c r="AL32" s="824"/>
      <c r="AN32" s="909">
        <f>$U$17</f>
        <v>-3</v>
      </c>
      <c r="AO32" s="910"/>
      <c r="AQ32" s="56">
        <v>23</v>
      </c>
      <c r="AR32" s="754"/>
      <c r="AS32" s="754"/>
      <c r="AT32" s="754"/>
      <c r="AU32" s="754"/>
      <c r="AV32" s="754"/>
      <c r="AW32" s="754"/>
      <c r="AX32" s="754"/>
      <c r="AY32" s="754"/>
      <c r="AZ32" s="754"/>
      <c r="BA32" s="754"/>
      <c r="BB32" s="754"/>
      <c r="BC32" s="754"/>
      <c r="BD32" s="755"/>
      <c r="BE32" s="756">
        <v>0</v>
      </c>
      <c r="BF32" s="754"/>
      <c r="BG32" s="748"/>
      <c r="BH32" s="748"/>
      <c r="BI32" s="748"/>
      <c r="BJ32" s="748"/>
      <c r="BK32" s="748"/>
      <c r="BL32" s="748"/>
      <c r="BM32" s="57"/>
      <c r="BN32" s="57"/>
      <c r="BO32" s="369"/>
      <c r="BP32" s="366"/>
      <c r="BQ32" s="757" t="s">
        <v>1204</v>
      </c>
      <c r="BR32" s="747"/>
      <c r="BS32" s="57">
        <v>23</v>
      </c>
      <c r="BT32" s="758" t="str">
        <f>IF(OR($AV$6="O1",$AV$6="O2",$AV$6="O3"),Sorts!E97,IF(OR($BB$6="O1",$BB$6="O2"),Sorts!E159,""))</f>
        <v>Lecture de la Magie</v>
      </c>
      <c r="BU32" s="744"/>
      <c r="BV32" s="744"/>
      <c r="BW32" s="744"/>
      <c r="BX32" s="744"/>
      <c r="BY32" s="744"/>
      <c r="BZ32" s="744"/>
      <c r="CA32" s="744"/>
      <c r="CB32" s="744"/>
      <c r="CC32" s="744"/>
      <c r="CD32" s="744"/>
      <c r="CE32" s="744"/>
      <c r="CF32" s="744"/>
      <c r="CG32" s="744">
        <v>0</v>
      </c>
      <c r="CH32" s="745"/>
      <c r="CI32" s="746">
        <f>IF(OR($AV$6="O1",$AV$6="O2",$AV$6="O3"),Sorts!F97,IF(OR($BB$6="O1",$BB$6="O2"),Sorts!F159,""))</f>
        <v>0</v>
      </c>
      <c r="CJ32" s="747"/>
      <c r="CK32" s="748" t="str">
        <f>IF(OR($AV$6="O1",$AV$6="O2",$AV$6="O3"),Sorts!G97,IF(OR($BB$6="O1",$BB$6="O2"),Sorts!G159,""))</f>
        <v>2r/n</v>
      </c>
      <c r="CL32" s="748"/>
      <c r="CM32" s="748"/>
      <c r="CN32" s="57" t="str">
        <f>IF(OR($AV$6="O1",$AV$6="O2",$AV$6="O3"),Sorts!H97,IF(OR($BB$6="O1",$BB$6="O2"),Sorts!H159,""))</f>
        <v>X</v>
      </c>
      <c r="CO32" s="57" t="str">
        <f>IF(OR($AV$6="O1",$AV$6="O2",$AV$6="O3"),Sorts!I97,IF(OR($BB$6="O1",$BB$6="O2"),Sorts!I159,""))</f>
        <v>X</v>
      </c>
      <c r="CP32" s="58" t="str">
        <f>IF(OR($AV$6="O1",$AV$6="O2",$AV$6="O3"),Sorts!J97,IF(OR($BB$6="O1",$BB$6="O2"),Sorts!J159,""))</f>
        <v>X</v>
      </c>
      <c r="CQ32" s="25"/>
      <c r="CS32" s="56">
        <v>29</v>
      </c>
      <c r="CT32" s="754"/>
      <c r="CU32" s="754"/>
      <c r="CV32" s="754"/>
      <c r="CW32" s="754"/>
      <c r="CX32" s="754"/>
      <c r="CY32" s="754"/>
      <c r="CZ32" s="754"/>
      <c r="DA32" s="754"/>
      <c r="DB32" s="754"/>
      <c r="DC32" s="754"/>
      <c r="DD32" s="754"/>
      <c r="DE32" s="754"/>
      <c r="DF32" s="755"/>
      <c r="DG32" s="756"/>
      <c r="DH32" s="747"/>
      <c r="DI32" s="748"/>
      <c r="DJ32" s="748"/>
      <c r="DK32" s="748"/>
      <c r="DL32" s="748"/>
      <c r="DM32" s="748"/>
      <c r="DN32" s="748"/>
      <c r="DO32" s="57"/>
      <c r="DP32" s="57"/>
      <c r="DQ32" s="58"/>
      <c r="DR32" s="57"/>
      <c r="DS32" s="757" t="s">
        <v>1204</v>
      </c>
      <c r="DT32" s="747"/>
      <c r="DU32" s="57">
        <v>29</v>
      </c>
      <c r="DV32" s="758" t="str">
        <f>IF(OR($AV$6="O1",$AV$6="O2",$AV$6="O3"),Sorts!K103,IF(OR($BB$6="O1",$BB$6="O2"),Sorts!K165,""))</f>
        <v>Rayon d’Affaiblissement</v>
      </c>
      <c r="DW32" s="744"/>
      <c r="DX32" s="744"/>
      <c r="DY32" s="744"/>
      <c r="DZ32" s="744"/>
      <c r="EA32" s="744"/>
      <c r="EB32" s="744"/>
      <c r="EC32" s="744"/>
      <c r="ED32" s="744"/>
      <c r="EE32" s="744"/>
      <c r="EF32" s="744"/>
      <c r="EG32" s="744"/>
      <c r="EH32" s="744"/>
      <c r="EI32" s="744">
        <v>0</v>
      </c>
      <c r="EJ32" s="745"/>
      <c r="EK32" s="746" t="str">
        <f>IF(OR($AV$6="O1",$AV$6="O2",$AV$6="O3"),Sorts!L103,IF(OR($BB$6="O1",$BB$6="O2"),Sorts!L165,""))</f>
        <v>1''+0,25/n</v>
      </c>
      <c r="EL32" s="747"/>
      <c r="EM32" s="748" t="str">
        <f>IF(OR($AV$6="O1",$AV$6="O2",$AV$6="O3"),Sorts!M103,IF(OR($BB$6="O1",$BB$6="O2"),Sorts!M165,""))</f>
        <v>1r/n</v>
      </c>
      <c r="EN32" s="748"/>
      <c r="EO32" s="748"/>
      <c r="EP32" s="57" t="str">
        <f>IF(OR($AV$6="O1",$AV$6="O2",$AV$6="O3"),Sorts!N103,IF(OR($BB$6="O1",$BB$6="O2"),Sorts!N165,""))</f>
        <v>X</v>
      </c>
      <c r="EQ32" s="57" t="str">
        <f>IF(OR($AV$6="O1",$AV$6="O2",$AV$6="O3"),Sorts!O103,IF(OR($BB$6="O1",$BB$6="O2"),Sorts!O165,""))</f>
        <v>X</v>
      </c>
      <c r="ER32" s="58" t="str">
        <f>IF(OR($AV$6="O1",$AV$6="O2",$AV$6="O3"),Sorts!P103,IF(OR($BB$6="O1",$BB$6="O2"),Sorts!P165,""))</f>
        <v>/</v>
      </c>
      <c r="ES32" s="25"/>
      <c r="EU32" s="56">
        <v>29</v>
      </c>
      <c r="EV32" s="754"/>
      <c r="EW32" s="754"/>
      <c r="EX32" s="754"/>
      <c r="EY32" s="754"/>
      <c r="EZ32" s="754"/>
      <c r="FA32" s="754"/>
      <c r="FB32" s="754"/>
      <c r="FC32" s="754"/>
      <c r="FD32" s="754"/>
      <c r="FE32" s="754"/>
      <c r="FF32" s="754"/>
      <c r="FG32" s="754"/>
      <c r="FH32" s="755"/>
      <c r="FI32" s="756"/>
      <c r="FJ32" s="747"/>
      <c r="FK32" s="748"/>
      <c r="FL32" s="748"/>
      <c r="FM32" s="748"/>
      <c r="FN32" s="748"/>
      <c r="FO32" s="748"/>
      <c r="FP32" s="748"/>
      <c r="FQ32" s="57"/>
      <c r="FR32" s="57"/>
      <c r="FS32" s="58"/>
      <c r="FT32" s="57"/>
      <c r="FU32" s="757" t="s">
        <v>1204</v>
      </c>
      <c r="FV32" s="747"/>
      <c r="FW32" s="57">
        <v>29</v>
      </c>
      <c r="FX32" s="758" t="str">
        <f>IF(OR($AV$6="O1",$AV$6="O2",$AV$6="O3"),Sorts!W103,IF(OR($BB$6="O1",$BB$6="O2"),Sorts!W165,""))</f>
        <v>Tempête de Glace</v>
      </c>
      <c r="FY32" s="744"/>
      <c r="FZ32" s="744"/>
      <c r="GA32" s="744"/>
      <c r="GB32" s="744"/>
      <c r="GC32" s="744"/>
      <c r="GD32" s="744"/>
      <c r="GE32" s="744"/>
      <c r="GF32" s="744"/>
      <c r="GG32" s="744"/>
      <c r="GH32" s="744"/>
      <c r="GI32" s="744"/>
      <c r="GJ32" s="744"/>
      <c r="GK32" s="744">
        <v>0</v>
      </c>
      <c r="GL32" s="745"/>
      <c r="GM32" s="746" t="str">
        <f>IF(OR($AV$6="O1",$AV$6="O2",$AV$6="O3"),Sorts!X103,IF(OR($BB$6="O1",$BB$6="O2"),Sorts!X165,""))</f>
        <v>1''/n</v>
      </c>
      <c r="GN32" s="747"/>
      <c r="GO32" s="748" t="str">
        <f>IF(OR($AV$6="O1",$AV$6="O2",$AV$6="O3"),Sorts!Y103,IF(OR($BB$6="O1",$BB$6="O2"),Sorts!Y165,""))</f>
        <v>1r</v>
      </c>
      <c r="GP32" s="748"/>
      <c r="GQ32" s="748"/>
      <c r="GR32" s="57" t="str">
        <f>IF(OR($AV$6="O1",$AV$6="O2",$AV$6="O3"),Sorts!Z103,IF(OR($BB$6="O1",$BB$6="O2"),Sorts!Z165,""))</f>
        <v>X</v>
      </c>
      <c r="GS32" s="57" t="str">
        <f>IF(OR($AV$6="O1",$AV$6="O2",$AV$6="O3"),Sorts!AA103,IF(OR($BB$6="O1",$BB$6="O2"),Sorts!AA165,""))</f>
        <v>X</v>
      </c>
      <c r="GT32" s="58" t="str">
        <f>IF(OR($AV$6="O1",$AV$6="O2",$AV$6="O3"),Sorts!AB103,IF(OR($BB$6="O1",$BB$6="O2"),Sorts!AB165,""))</f>
        <v>X</v>
      </c>
      <c r="GU32" s="25"/>
      <c r="GW32" s="56">
        <v>29</v>
      </c>
      <c r="GX32" s="754"/>
      <c r="GY32" s="754"/>
      <c r="GZ32" s="754"/>
      <c r="HA32" s="754"/>
      <c r="HB32" s="754"/>
      <c r="HC32" s="754"/>
      <c r="HD32" s="754"/>
      <c r="HE32" s="754"/>
      <c r="HF32" s="754"/>
      <c r="HG32" s="754"/>
      <c r="HH32" s="754"/>
      <c r="HI32" s="754"/>
      <c r="HJ32" s="755"/>
      <c r="HK32" s="756"/>
      <c r="HL32" s="747"/>
      <c r="HM32" s="748"/>
      <c r="HN32" s="748"/>
      <c r="HO32" s="748"/>
      <c r="HP32" s="748"/>
      <c r="HQ32" s="748"/>
      <c r="HR32" s="748"/>
      <c r="HS32" s="57"/>
      <c r="HT32" s="57"/>
      <c r="HU32" s="58"/>
      <c r="HV32" s="57"/>
      <c r="HW32" s="757" t="s">
        <v>1204</v>
      </c>
      <c r="HX32" s="747"/>
      <c r="HY32" s="57">
        <v>29</v>
      </c>
      <c r="HZ32" s="758" t="str">
        <f>IF(OR($AV$6="O1",$AV$6="O2",$AV$6="O3"),Sorts!AI103,IF(OR($BB$6="O1",$BB$6="O2"),Sorts!AI165,""))</f>
        <v>Traquenard</v>
      </c>
      <c r="IA32" s="744"/>
      <c r="IB32" s="744"/>
      <c r="IC32" s="744"/>
      <c r="ID32" s="744"/>
      <c r="IE32" s="744"/>
      <c r="IF32" s="744"/>
      <c r="IG32" s="744"/>
      <c r="IH32" s="744"/>
      <c r="II32" s="744"/>
      <c r="IJ32" s="744"/>
      <c r="IK32" s="744"/>
      <c r="IL32" s="744"/>
      <c r="IM32" s="744">
        <v>0</v>
      </c>
      <c r="IN32" s="745"/>
      <c r="IO32" s="746" t="str">
        <f>IF(OR($AV$6="O1",$AV$6="O2",$AV$6="O3"),Sorts!AJ103,IF(OR($BB$6="O1",$BB$6="O2"),Sorts!AJ165,""))</f>
        <v>1''</v>
      </c>
      <c r="IP32" s="747"/>
      <c r="IQ32" s="748" t="str">
        <f>IF(OR($AV$6="O1",$AV$6="O2",$AV$6="O3"),Sorts!AK103,IF(OR($BB$6="O1",$BB$6="O2"),Sorts!AK165,""))</f>
        <v>S</v>
      </c>
      <c r="IR32" s="748"/>
      <c r="IS32" s="748"/>
      <c r="IT32" s="57" t="str">
        <f>IF(OR($AV$6="O1",$AV$6="O2",$AV$6="O3"),Sorts!AL103,IF(OR($BB$6="O1",$BB$6="O2"),Sorts!AL165,""))</f>
        <v>X</v>
      </c>
      <c r="IU32" s="57" t="str">
        <f>IF(OR($AV$6="O1",$AV$6="O2",$AV$6="O3"),Sorts!AM103,IF(OR($BB$6="O1",$BB$6="O2"),Sorts!AM165,""))</f>
        <v>X</v>
      </c>
      <c r="IV32" s="58" t="str">
        <f>IF(OR($AV$6="O1",$AV$6="O2",$AV$6="O3"),Sorts!AN103,IF(OR($BB$6="O1",$BB$6="O2"),Sorts!AN165,""))</f>
        <v>X</v>
      </c>
      <c r="IW32" s="25"/>
      <c r="IY32" s="70"/>
      <c r="KX32" s="71"/>
    </row>
    <row r="33" spans="2:310" ht="18" customHeight="1" thickBot="1" x14ac:dyDescent="0.3">
      <c r="B33" s="804"/>
      <c r="C33" s="805"/>
      <c r="D33" s="803"/>
      <c r="E33" s="803"/>
      <c r="F33" s="803"/>
      <c r="G33" s="803"/>
      <c r="H33" s="803"/>
      <c r="I33" s="803"/>
      <c r="J33" s="803"/>
      <c r="K33" s="803"/>
      <c r="L33" s="799"/>
      <c r="M33" s="799"/>
      <c r="N33" s="800"/>
      <c r="O33" s="800"/>
      <c r="P33" s="69"/>
      <c r="R33" s="884" t="s">
        <v>229</v>
      </c>
      <c r="S33" s="620"/>
      <c r="T33" s="620"/>
      <c r="U33" s="621"/>
      <c r="V33" s="634" t="str" cm="1">
        <f t="array" ref="V33">IF(OR(AND(W25="A",OR(X25=1,X25=2)),(AND(W25="B",OR(X25=1,X25=2,X25=3,X25=4,X25=5,X25=6)))),"/",IF($X$25="","/",INDEX(Niveau!$T$43:$Y$79,'Joueur 1'!$X$25+1,MATCH('Joueur 1'!$W$25,Niveau!$U$43:$Y$43,0)+1)+INDEX(Caractéristiques!$B$186:$M$211,DEX+1,8)+INDEX(Race!$B$42:$K$57,MATCH(RACE,Race!$B$43:$B$57,0)+1,5)+INDEX('Armures-Armes'!$B$3:$N$14,MATCH('Joueur 1'!$D$26,'Armures-Armes'!$B$4:$B$14,0)+1,8)))</f>
        <v>/</v>
      </c>
      <c r="W33" s="641"/>
      <c r="X33" s="620" t="s">
        <v>1549</v>
      </c>
      <c r="Y33" s="620"/>
      <c r="Z33" s="620"/>
      <c r="AA33" s="621"/>
      <c r="AB33" s="634" t="str" cm="1">
        <f t="array" ref="AB33">IF(OR(AND(W25="A",OR(X25=1,X25=2)),(AND(W25="B",OR(X25=1,X25=2,X25=3,X25=4,X25=5,X25=6)))),"/",IF($X$25="","/",INDEX(Niveau!$AR$43:$AW$79,'Joueur 1'!$X$25+1,MATCH('Joueur 1'!$W$25,Niveau!$AS$43:$AW$43,0)+1)+INDEX(Caractéristiques!$B$186:$M$211,DEX+1,12)+INDEX(Race!$B$42:$K$57,MATCH(RACE,Race!$B$43:$B$57,0)+1,9)+INDEX('Armures-Armes'!$B$3:$N$14,MATCH('Joueur 1'!$D$26,'Armures-Armes'!$B$4:$B$14,0)+1,12)))</f>
        <v>/</v>
      </c>
      <c r="AC33" s="635"/>
      <c r="AF33" s="8" t="s">
        <v>37</v>
      </c>
      <c r="AG33" s="9"/>
      <c r="AH33" s="9"/>
      <c r="AI33" s="9"/>
      <c r="AJ33" s="10"/>
      <c r="AK33" s="859" cm="1">
        <f t="array" ref="AK33">IF(Classe3&lt;&gt;"/",MIN(INDEX(Niveau!$B$315:$P$351,NivC1+1,MATCH(Classe1,Niveau!$C$315:$P$315,0)+1),INDEX(Niveau!$B$315:$P$351,NivC2+1,MATCH(Classe2,Niveau!$C$315:$P$315,0)+1),INDEX(Niveau!$B$315:$P$351,NivC3+1,MATCH(Classe3,Niveau!$C$315:$P$315,0)+1)),IF(Classe2&lt;&gt;"/",MIN(INDEX(Niveau!$B$315:$P$351,NivC1+1,MATCH(Classe1,Niveau!$C$315:$P$315,0)+1),INDEX(Niveau!$B$315:$P$351,NivC2+1,MATCH(Classe2,Niveau!$C$315:$P$315,0)+1)),INDEX(Niveau!$B$315:$P$351,NivC1+1,MATCH(Classe1,Niveau!$C$315:$P$315,0)+1)))+$AN$30</f>
        <v>12</v>
      </c>
      <c r="AL33" s="860"/>
      <c r="AN33" s="815" t="s">
        <v>3</v>
      </c>
      <c r="AO33" s="816"/>
      <c r="AQ33" s="56">
        <v>24</v>
      </c>
      <c r="AR33" s="754"/>
      <c r="AS33" s="754"/>
      <c r="AT33" s="754"/>
      <c r="AU33" s="754"/>
      <c r="AV33" s="754"/>
      <c r="AW33" s="754"/>
      <c r="AX33" s="754"/>
      <c r="AY33" s="754"/>
      <c r="AZ33" s="754"/>
      <c r="BA33" s="754"/>
      <c r="BB33" s="754"/>
      <c r="BC33" s="754"/>
      <c r="BD33" s="755"/>
      <c r="BE33" s="756">
        <v>0</v>
      </c>
      <c r="BF33" s="754"/>
      <c r="BG33" s="748"/>
      <c r="BH33" s="748"/>
      <c r="BI33" s="748"/>
      <c r="BJ33" s="748"/>
      <c r="BK33" s="748"/>
      <c r="BL33" s="748"/>
      <c r="BM33" s="57"/>
      <c r="BN33" s="57"/>
      <c r="BO33" s="369"/>
      <c r="BP33" s="366"/>
      <c r="BQ33" s="757" t="s">
        <v>1204</v>
      </c>
      <c r="BR33" s="747"/>
      <c r="BS33" s="57">
        <v>24</v>
      </c>
      <c r="BT33" s="758" t="str">
        <f>IF(OR($AV$6="O1",$AV$6="O2",$AV$6="O3"),Sorts!E98,IF(OR($BB$6="O1",$BB$6="O2"),Sorts!E160,""))</f>
        <v>Lumière</v>
      </c>
      <c r="BU33" s="744"/>
      <c r="BV33" s="744"/>
      <c r="BW33" s="744"/>
      <c r="BX33" s="744"/>
      <c r="BY33" s="744"/>
      <c r="BZ33" s="744"/>
      <c r="CA33" s="744"/>
      <c r="CB33" s="744"/>
      <c r="CC33" s="744"/>
      <c r="CD33" s="744"/>
      <c r="CE33" s="744"/>
      <c r="CF33" s="744"/>
      <c r="CG33" s="744">
        <v>0</v>
      </c>
      <c r="CH33" s="745"/>
      <c r="CI33" s="746" t="str">
        <f>IF(OR($AV$6="O1",$AV$6="O2",$AV$6="O3"),Sorts!F98,IF(OR($BB$6="O1",$BB$6="O2"),Sorts!F160,""))</f>
        <v>6’’</v>
      </c>
      <c r="CJ33" s="747"/>
      <c r="CK33" s="748" t="str">
        <f>IF(OR($AV$6="O1",$AV$6="O2",$AV$6="O3"),Sorts!G98,IF(OR($BB$6="O1",$BB$6="O2"),Sorts!G160,""))</f>
        <v>1t/n</v>
      </c>
      <c r="CL33" s="748"/>
      <c r="CM33" s="748"/>
      <c r="CN33" s="57" t="str">
        <f>IF(OR($AV$6="O1",$AV$6="O2",$AV$6="O3"),Sorts!H98,IF(OR($BB$6="O1",$BB$6="O2"),Sorts!H160,""))</f>
        <v>X</v>
      </c>
      <c r="CO33" s="57" t="str">
        <f>IF(OR($AV$6="O1",$AV$6="O2",$AV$6="O3"),Sorts!I98,IF(OR($BB$6="O1",$BB$6="O2"),Sorts!I160,""))</f>
        <v>X</v>
      </c>
      <c r="CP33" s="58" t="str">
        <f>IF(OR($AV$6="O1",$AV$6="O2",$AV$6="O3"),Sorts!J98,IF(OR($BB$6="O1",$BB$6="O2"),Sorts!J160,""))</f>
        <v>/</v>
      </c>
      <c r="CQ33" s="60"/>
      <c r="CS33" s="56">
        <v>30</v>
      </c>
      <c r="CT33" s="754"/>
      <c r="CU33" s="754"/>
      <c r="CV33" s="754"/>
      <c r="CW33" s="754"/>
      <c r="CX33" s="754"/>
      <c r="CY33" s="754"/>
      <c r="CZ33" s="754"/>
      <c r="DA33" s="754"/>
      <c r="DB33" s="754"/>
      <c r="DC33" s="754"/>
      <c r="DD33" s="754"/>
      <c r="DE33" s="754"/>
      <c r="DF33" s="755"/>
      <c r="DG33" s="756"/>
      <c r="DH33" s="747"/>
      <c r="DI33" s="748"/>
      <c r="DJ33" s="748"/>
      <c r="DK33" s="748"/>
      <c r="DL33" s="748"/>
      <c r="DM33" s="748"/>
      <c r="DN33" s="748"/>
      <c r="DO33" s="57"/>
      <c r="DP33" s="57"/>
      <c r="DQ33" s="58"/>
      <c r="DR33" s="57"/>
      <c r="DS33" s="757" t="s">
        <v>1204</v>
      </c>
      <c r="DT33" s="747"/>
      <c r="DU33" s="57">
        <v>30</v>
      </c>
      <c r="DV33" s="758" t="str">
        <f>IF(OR($AV$6="O1",$AV$6="O2",$AV$6="O3"),Sorts!K104,IF(OR($BB$6="O1",$BB$6="O2"),Sorts!K166,""))</f>
        <v>Rire Incontrôlable et Hideux de Tasha</v>
      </c>
      <c r="DW33" s="744"/>
      <c r="DX33" s="744"/>
      <c r="DY33" s="744"/>
      <c r="DZ33" s="744"/>
      <c r="EA33" s="744"/>
      <c r="EB33" s="744"/>
      <c r="EC33" s="744"/>
      <c r="ED33" s="744"/>
      <c r="EE33" s="744"/>
      <c r="EF33" s="744"/>
      <c r="EG33" s="744"/>
      <c r="EH33" s="744"/>
      <c r="EI33" s="744">
        <v>0</v>
      </c>
      <c r="EJ33" s="745"/>
      <c r="EK33" s="746" t="str">
        <f>IF(OR($AV$6="O1",$AV$6="O2",$AV$6="O3"),Sorts!L104,IF(OR($BB$6="O1",$BB$6="O2"),Sorts!L166,""))</f>
        <v>5''</v>
      </c>
      <c r="EL33" s="747"/>
      <c r="EM33" s="748" t="str">
        <f>IF(OR($AV$6="O1",$AV$6="O2",$AV$6="O3"),Sorts!M104,IF(OR($BB$6="O1",$BB$6="O2"),Sorts!M166,""))</f>
        <v>1r</v>
      </c>
      <c r="EN33" s="748"/>
      <c r="EO33" s="748"/>
      <c r="EP33" s="57" t="str">
        <f>IF(OR($AV$6="O1",$AV$6="O2",$AV$6="O3"),Sorts!N104,IF(OR($BB$6="O1",$BB$6="O2"),Sorts!N166,""))</f>
        <v>X</v>
      </c>
      <c r="EQ33" s="57" t="str">
        <f>IF(OR($AV$6="O1",$AV$6="O2",$AV$6="O3"),Sorts!O104,IF(OR($BB$6="O1",$BB$6="O2"),Sorts!O166,""))</f>
        <v>X</v>
      </c>
      <c r="ER33" s="58" t="str">
        <f>IF(OR($AV$6="O1",$AV$6="O2",$AV$6="O3"),Sorts!P104,IF(OR($BB$6="O1",$BB$6="O2"),Sorts!P166,""))</f>
        <v>X</v>
      </c>
      <c r="ES33" s="60"/>
      <c r="EU33" s="56">
        <v>30</v>
      </c>
      <c r="EV33" s="754"/>
      <c r="EW33" s="754"/>
      <c r="EX33" s="754"/>
      <c r="EY33" s="754"/>
      <c r="EZ33" s="754"/>
      <c r="FA33" s="754"/>
      <c r="FB33" s="754"/>
      <c r="FC33" s="754"/>
      <c r="FD33" s="754"/>
      <c r="FE33" s="754"/>
      <c r="FF33" s="754"/>
      <c r="FG33" s="754"/>
      <c r="FH33" s="755"/>
      <c r="FI33" s="756"/>
      <c r="FJ33" s="747"/>
      <c r="FK33" s="748"/>
      <c r="FL33" s="748"/>
      <c r="FM33" s="748"/>
      <c r="FN33" s="748"/>
      <c r="FO33" s="748"/>
      <c r="FP33" s="748"/>
      <c r="FQ33" s="57"/>
      <c r="FR33" s="57"/>
      <c r="FS33" s="58"/>
      <c r="FT33" s="57"/>
      <c r="FU33" s="757" t="s">
        <v>1204</v>
      </c>
      <c r="FV33" s="747"/>
      <c r="FW33" s="57">
        <v>30</v>
      </c>
      <c r="FX33" s="758" t="str">
        <f>IF(OR($AV$6="O1",$AV$6="O2",$AV$6="O3"),Sorts!W104,IF(OR($BB$6="O1",$BB$6="O2"),Sorts!W166,""))</f>
        <v>Tentacules Noires d’Evard</v>
      </c>
      <c r="FY33" s="744"/>
      <c r="FZ33" s="744"/>
      <c r="GA33" s="744"/>
      <c r="GB33" s="744"/>
      <c r="GC33" s="744"/>
      <c r="GD33" s="744"/>
      <c r="GE33" s="744"/>
      <c r="GF33" s="744"/>
      <c r="GG33" s="744"/>
      <c r="GH33" s="744"/>
      <c r="GI33" s="744"/>
      <c r="GJ33" s="744"/>
      <c r="GK33" s="744">
        <v>0</v>
      </c>
      <c r="GL33" s="745"/>
      <c r="GM33" s="746" t="str">
        <f>IF(OR($AV$6="O1",$AV$6="O2",$AV$6="O3"),Sorts!X104,IF(OR($BB$6="O1",$BB$6="O2"),Sorts!X166,""))</f>
        <v>3''</v>
      </c>
      <c r="GN33" s="747"/>
      <c r="GO33" s="748" t="str">
        <f>IF(OR($AV$6="O1",$AV$6="O2",$AV$6="O3"),Sorts!Y104,IF(OR($BB$6="O1",$BB$6="O2"),Sorts!Y166,""))</f>
        <v>1r/n</v>
      </c>
      <c r="GP33" s="748"/>
      <c r="GQ33" s="748"/>
      <c r="GR33" s="57" t="str">
        <f>IF(OR($AV$6="O1",$AV$6="O2",$AV$6="O3"),Sorts!Z104,IF(OR($BB$6="O1",$BB$6="O2"),Sorts!Z166,""))</f>
        <v>X</v>
      </c>
      <c r="GS33" s="57" t="str">
        <f>IF(OR($AV$6="O1",$AV$6="O2",$AV$6="O3"),Sorts!AA104,IF(OR($BB$6="O1",$BB$6="O2"),Sorts!AA166,""))</f>
        <v>X</v>
      </c>
      <c r="GT33" s="58" t="str">
        <f>IF(OR($AV$6="O1",$AV$6="O2",$AV$6="O3"),Sorts!AB104,IF(OR($BB$6="O1",$BB$6="O2"),Sorts!AB166,""))</f>
        <v>X</v>
      </c>
      <c r="GU33" s="60"/>
      <c r="GW33" s="56">
        <v>30</v>
      </c>
      <c r="GX33" s="754"/>
      <c r="GY33" s="754"/>
      <c r="GZ33" s="754"/>
      <c r="HA33" s="754"/>
      <c r="HB33" s="754"/>
      <c r="HC33" s="754"/>
      <c r="HD33" s="754"/>
      <c r="HE33" s="754"/>
      <c r="HF33" s="754"/>
      <c r="HG33" s="754"/>
      <c r="HH33" s="754"/>
      <c r="HI33" s="754"/>
      <c r="HJ33" s="755"/>
      <c r="HK33" s="756"/>
      <c r="HL33" s="747"/>
      <c r="HM33" s="748"/>
      <c r="HN33" s="748"/>
      <c r="HO33" s="748"/>
      <c r="HP33" s="748"/>
      <c r="HQ33" s="748"/>
      <c r="HR33" s="748"/>
      <c r="HS33" s="57"/>
      <c r="HT33" s="57"/>
      <c r="HU33" s="58"/>
      <c r="HV33" s="57"/>
      <c r="HW33" s="757" t="s">
        <v>1204</v>
      </c>
      <c r="HX33" s="747"/>
      <c r="HY33" s="57">
        <v>30</v>
      </c>
      <c r="HZ33" s="758" t="str">
        <f>IF(OR($AV$6="O1",$AV$6="O2",$AV$6="O3"),Sorts!AI104,IF(OR($BB$6="O1",$BB$6="O2"),Sorts!AI166,""))</f>
        <v>Vigiles et Sentinelles</v>
      </c>
      <c r="IA33" s="744"/>
      <c r="IB33" s="744"/>
      <c r="IC33" s="744"/>
      <c r="ID33" s="744"/>
      <c r="IE33" s="744"/>
      <c r="IF33" s="744"/>
      <c r="IG33" s="744"/>
      <c r="IH33" s="744"/>
      <c r="II33" s="744"/>
      <c r="IJ33" s="744"/>
      <c r="IK33" s="744"/>
      <c r="IL33" s="744"/>
      <c r="IM33" s="744">
        <v>0</v>
      </c>
      <c r="IN33" s="745"/>
      <c r="IO33" s="746">
        <f>IF($AU$7&lt;&gt;0,IF($D$7="Illusionniste",Sorts!#REF!,Sorts!AJ104),"")</f>
        <v>0</v>
      </c>
      <c r="IP33" s="747"/>
      <c r="IQ33" s="748" t="str">
        <f>IF(OR($AV$6="O1",$AV$6="O2",$AV$6="O3"),Sorts!AK104,IF(OR($BB$6="O1",$BB$6="O2"),Sorts!AK166,""))</f>
        <v>6t/n</v>
      </c>
      <c r="IR33" s="748"/>
      <c r="IS33" s="748"/>
      <c r="IT33" s="57" t="str">
        <f>IF(OR($AV$6="O1",$AV$6="O2",$AV$6="O3"),Sorts!AL104,IF(OR($BB$6="O1",$BB$6="O2"),Sorts!AL166,""))</f>
        <v>X</v>
      </c>
      <c r="IU33" s="57" t="str">
        <f>IF(OR($AV$6="O1",$AV$6="O2",$AV$6="O3"),Sorts!AM104,IF(OR($BB$6="O1",$BB$6="O2"),Sorts!AM166,""))</f>
        <v>X</v>
      </c>
      <c r="IV33" s="58" t="str">
        <f>IF(OR($AV$6="O1",$AV$6="O2",$AV$6="O3"),Sorts!AN104,IF(OR($BB$6="O1",$BB$6="O2"),Sorts!AN166,""))</f>
        <v>X</v>
      </c>
      <c r="IW33" s="60"/>
      <c r="IY33" s="70"/>
      <c r="KX33" s="71"/>
    </row>
    <row r="34" spans="2:310" ht="18" customHeight="1" thickTop="1" thickBot="1" x14ac:dyDescent="0.3">
      <c r="B34" s="648" t="s">
        <v>1550</v>
      </c>
      <c r="C34" s="649"/>
      <c r="D34" s="803" t="s">
        <v>380</v>
      </c>
      <c r="E34" s="803"/>
      <c r="F34" s="803"/>
      <c r="G34" s="803"/>
      <c r="H34" s="803"/>
      <c r="I34" s="803"/>
      <c r="J34" s="803"/>
      <c r="K34" s="803"/>
      <c r="L34" s="799"/>
      <c r="M34" s="799"/>
      <c r="N34" s="800">
        <v>0</v>
      </c>
      <c r="O34" s="800"/>
      <c r="P34" s="69"/>
      <c r="R34" s="886"/>
      <c r="S34" s="626"/>
      <c r="T34" s="626"/>
      <c r="U34" s="627"/>
      <c r="V34" s="636"/>
      <c r="W34" s="643"/>
      <c r="X34" s="626"/>
      <c r="Y34" s="626"/>
      <c r="Z34" s="626"/>
      <c r="AA34" s="627"/>
      <c r="AB34" s="636"/>
      <c r="AC34" s="637"/>
      <c r="AF34" s="76"/>
      <c r="AG34" s="24"/>
      <c r="AH34" s="24"/>
      <c r="AI34" s="24"/>
      <c r="AJ34" s="422"/>
      <c r="AK34" s="882"/>
      <c r="AL34" s="883"/>
      <c r="AM34" s="22"/>
      <c r="AN34" s="837">
        <f>$Q$15</f>
        <v>-3</v>
      </c>
      <c r="AO34" s="838"/>
      <c r="AQ34" s="56">
        <v>25</v>
      </c>
      <c r="AR34" s="754"/>
      <c r="AS34" s="754"/>
      <c r="AT34" s="754"/>
      <c r="AU34" s="754"/>
      <c r="AV34" s="754"/>
      <c r="AW34" s="754"/>
      <c r="AX34" s="754"/>
      <c r="AY34" s="754"/>
      <c r="AZ34" s="754"/>
      <c r="BA34" s="754"/>
      <c r="BB34" s="754"/>
      <c r="BC34" s="754"/>
      <c r="BD34" s="755"/>
      <c r="BE34" s="756">
        <v>0</v>
      </c>
      <c r="BF34" s="754"/>
      <c r="BG34" s="748"/>
      <c r="BH34" s="748"/>
      <c r="BI34" s="748"/>
      <c r="BJ34" s="748"/>
      <c r="BK34" s="748"/>
      <c r="BL34" s="748"/>
      <c r="BM34" s="57"/>
      <c r="BN34" s="57"/>
      <c r="BO34" s="369"/>
      <c r="BP34" s="366"/>
      <c r="BQ34" s="757" t="s">
        <v>1204</v>
      </c>
      <c r="BR34" s="747"/>
      <c r="BS34" s="57">
        <v>25</v>
      </c>
      <c r="BT34" s="758" t="str">
        <f>IF(OR($AV$6="O1",$AV$6="O2",$AV$6="O3"),Sorts!E99,IF(OR($BB$6="O1",$BB$6="O2"),Sorts!E161,""))</f>
        <v>Lumières Dansantes</v>
      </c>
      <c r="BU34" s="744"/>
      <c r="BV34" s="744"/>
      <c r="BW34" s="744"/>
      <c r="BX34" s="744"/>
      <c r="BY34" s="744"/>
      <c r="BZ34" s="744"/>
      <c r="CA34" s="744"/>
      <c r="CB34" s="744"/>
      <c r="CC34" s="744"/>
      <c r="CD34" s="744"/>
      <c r="CE34" s="744"/>
      <c r="CF34" s="744"/>
      <c r="CG34" s="744">
        <v>0</v>
      </c>
      <c r="CH34" s="745"/>
      <c r="CI34" s="746" t="str">
        <f>IF(OR($AV$6="O1",$AV$6="O2",$AV$6="O3"),Sorts!F99,IF(OR($BB$6="O1",$BB$6="O2"),Sorts!F161,""))</f>
        <v>4’’+1’’/n</v>
      </c>
      <c r="CJ34" s="747"/>
      <c r="CK34" s="748" t="str">
        <f>IF(OR($AV$6="O1",$AV$6="O2",$AV$6="O3"),Sorts!G99,IF(OR($BB$6="O1",$BB$6="O2"),Sorts!G161,""))</f>
        <v>2r/n</v>
      </c>
      <c r="CL34" s="748"/>
      <c r="CM34" s="748"/>
      <c r="CN34" s="57" t="str">
        <f>IF(OR($AV$6="O1",$AV$6="O2",$AV$6="O3"),Sorts!H99,IF(OR($BB$6="O1",$BB$6="O2"),Sorts!H161,""))</f>
        <v>X</v>
      </c>
      <c r="CO34" s="57" t="str">
        <f>IF(OR($AV$6="O1",$AV$6="O2",$AV$6="O3"),Sorts!I99,IF(OR($BB$6="O1",$BB$6="O2"),Sorts!I161,""))</f>
        <v>X</v>
      </c>
      <c r="CP34" s="58" t="str">
        <f>IF(OR($AV$6="O1",$AV$6="O2",$AV$6="O3"),Sorts!J99,IF(OR($BB$6="O1",$BB$6="O2"),Sorts!J161,""))</f>
        <v>X</v>
      </c>
      <c r="CQ34" s="60"/>
      <c r="CS34" s="56">
        <v>31</v>
      </c>
      <c r="CT34" s="754"/>
      <c r="CU34" s="754"/>
      <c r="CV34" s="754"/>
      <c r="CW34" s="754"/>
      <c r="CX34" s="754"/>
      <c r="CY34" s="754"/>
      <c r="CZ34" s="754"/>
      <c r="DA34" s="754"/>
      <c r="DB34" s="754"/>
      <c r="DC34" s="754"/>
      <c r="DD34" s="754"/>
      <c r="DE34" s="754"/>
      <c r="DF34" s="755"/>
      <c r="DG34" s="756"/>
      <c r="DH34" s="747"/>
      <c r="DI34" s="748"/>
      <c r="DJ34" s="748"/>
      <c r="DK34" s="748"/>
      <c r="DL34" s="748"/>
      <c r="DM34" s="748"/>
      <c r="DN34" s="748"/>
      <c r="DO34" s="57"/>
      <c r="DP34" s="57"/>
      <c r="DQ34" s="58"/>
      <c r="DR34" s="57"/>
      <c r="DS34" s="757" t="s">
        <v>1204</v>
      </c>
      <c r="DT34" s="747"/>
      <c r="DU34" s="57">
        <v>31</v>
      </c>
      <c r="DV34" s="758" t="str">
        <f>IF(OR($AV$6="O1",$AV$6="O2",$AV$6="O3"),Sorts!K105,IF(OR($BB$6="O1",$BB$6="O2"),Sorts!K167,""))</f>
        <v>Sphère Enflammée</v>
      </c>
      <c r="DW34" s="744"/>
      <c r="DX34" s="744"/>
      <c r="DY34" s="744"/>
      <c r="DZ34" s="744"/>
      <c r="EA34" s="744"/>
      <c r="EB34" s="744"/>
      <c r="EC34" s="744"/>
      <c r="ED34" s="744"/>
      <c r="EE34" s="744"/>
      <c r="EF34" s="744"/>
      <c r="EG34" s="744"/>
      <c r="EH34" s="744"/>
      <c r="EI34" s="744">
        <v>0</v>
      </c>
      <c r="EJ34" s="745"/>
      <c r="EK34" s="746" t="str">
        <f>IF(OR($AV$6="O1",$AV$6="O2",$AV$6="O3"),Sorts!L105,IF(OR($BB$6="O1",$BB$6="O2"),Sorts!L167,""))</f>
        <v>1''</v>
      </c>
      <c r="EL34" s="747"/>
      <c r="EM34" s="748" t="str">
        <f>IF(OR($AV$6="O1",$AV$6="O2",$AV$6="O3"),Sorts!M105,IF(OR($BB$6="O1",$BB$6="O2"),Sorts!M167,""))</f>
        <v>1r/n</v>
      </c>
      <c r="EN34" s="748"/>
      <c r="EO34" s="748"/>
      <c r="EP34" s="57" t="str">
        <f>IF(OR($AV$6="O1",$AV$6="O2",$AV$6="O3"),Sorts!N105,IF(OR($BB$6="O1",$BB$6="O2"),Sorts!N167,""))</f>
        <v>X</v>
      </c>
      <c r="EQ34" s="57" t="str">
        <f>IF(OR($AV$6="O1",$AV$6="O2",$AV$6="O3"),Sorts!O105,IF(OR($BB$6="O1",$BB$6="O2"),Sorts!O167,""))</f>
        <v>X</v>
      </c>
      <c r="ER34" s="58" t="str">
        <f>IF(OR($AV$6="O1",$AV$6="O2",$AV$6="O3"),Sorts!P105,IF(OR($BB$6="O1",$BB$6="O2"),Sorts!P167,""))</f>
        <v>X</v>
      </c>
      <c r="ES34" s="60"/>
      <c r="EU34" s="56">
        <v>31</v>
      </c>
      <c r="EV34" s="754"/>
      <c r="EW34" s="754"/>
      <c r="EX34" s="754"/>
      <c r="EY34" s="754"/>
      <c r="EZ34" s="754"/>
      <c r="FA34" s="754"/>
      <c r="FB34" s="754"/>
      <c r="FC34" s="754"/>
      <c r="FD34" s="754"/>
      <c r="FE34" s="754"/>
      <c r="FF34" s="754"/>
      <c r="FG34" s="754"/>
      <c r="FH34" s="755"/>
      <c r="FI34" s="756"/>
      <c r="FJ34" s="747"/>
      <c r="FK34" s="748"/>
      <c r="FL34" s="748"/>
      <c r="FM34" s="748"/>
      <c r="FN34" s="748"/>
      <c r="FO34" s="748"/>
      <c r="FP34" s="748"/>
      <c r="FQ34" s="57"/>
      <c r="FR34" s="57"/>
      <c r="FS34" s="58"/>
      <c r="FT34" s="57"/>
      <c r="FU34" s="757" t="s">
        <v>1204</v>
      </c>
      <c r="FV34" s="747"/>
      <c r="FW34" s="57">
        <v>31</v>
      </c>
      <c r="FX34" s="758" t="str">
        <f>IF(OR($AV$6="O1",$AV$6="O2",$AV$6="O3"),Sorts!W105,IF(OR($BB$6="O1",$BB$6="O2"),Sorts!W167,""))</f>
        <v>Terrain Hallucinatoire</v>
      </c>
      <c r="FY34" s="744"/>
      <c r="FZ34" s="744"/>
      <c r="GA34" s="744"/>
      <c r="GB34" s="744"/>
      <c r="GC34" s="744"/>
      <c r="GD34" s="744"/>
      <c r="GE34" s="744"/>
      <c r="GF34" s="744"/>
      <c r="GG34" s="744"/>
      <c r="GH34" s="744"/>
      <c r="GI34" s="744"/>
      <c r="GJ34" s="744"/>
      <c r="GK34" s="744">
        <v>0</v>
      </c>
      <c r="GL34" s="745"/>
      <c r="GM34" s="746" t="str">
        <f>IF(OR($AV$6="O1",$AV$6="O2",$AV$6="O3"),Sorts!X105,IF(OR($BB$6="O1",$BB$6="O2"),Sorts!X167,""))</f>
        <v>2''/n</v>
      </c>
      <c r="GN34" s="747"/>
      <c r="GO34" s="748" t="str">
        <f>IF(OR($AV$6="O1",$AV$6="O2",$AV$6="O3"),Sorts!Y105,IF(OR($BB$6="O1",$BB$6="O2"),Sorts!Y167,""))</f>
        <v>S</v>
      </c>
      <c r="GP34" s="748"/>
      <c r="GQ34" s="748"/>
      <c r="GR34" s="57" t="str">
        <f>IF(OR($AV$6="O1",$AV$6="O2",$AV$6="O3"),Sorts!Z105,IF(OR($BB$6="O1",$BB$6="O2"),Sorts!Z167,""))</f>
        <v>X</v>
      </c>
      <c r="GS34" s="57" t="str">
        <f>IF(OR($AV$6="O1",$AV$6="O2",$AV$6="O3"),Sorts!AA105,IF(OR($BB$6="O1",$BB$6="O2"),Sorts!AA167,""))</f>
        <v>X</v>
      </c>
      <c r="GT34" s="58" t="str">
        <f>IF(OR($AV$6="O1",$AV$6="O2",$AV$6="O3"),Sorts!AB105,IF(OR($BB$6="O1",$BB$6="O2"),Sorts!AB167,""))</f>
        <v>X</v>
      </c>
      <c r="GU34" s="60"/>
      <c r="GW34" s="780" t="s">
        <v>1213</v>
      </c>
      <c r="GX34" s="781"/>
      <c r="GY34" s="781"/>
      <c r="GZ34" s="781"/>
      <c r="HA34" s="781"/>
      <c r="HB34" s="781"/>
      <c r="HC34" s="781"/>
      <c r="HD34" s="781"/>
      <c r="HE34" s="781"/>
      <c r="HF34" s="781"/>
      <c r="HG34" s="781"/>
      <c r="HH34" s="781"/>
      <c r="HI34" s="781"/>
      <c r="HJ34" s="781"/>
      <c r="HK34" s="781"/>
      <c r="HL34" s="781"/>
      <c r="HM34" s="781"/>
      <c r="HN34" s="781"/>
      <c r="HO34" s="781"/>
      <c r="HP34" s="781"/>
      <c r="HQ34" s="781"/>
      <c r="HR34" s="781"/>
      <c r="HS34" s="781"/>
      <c r="HT34" s="781"/>
      <c r="HU34" s="781"/>
      <c r="HV34" s="781"/>
      <c r="HW34" s="781"/>
      <c r="HX34" s="781"/>
      <c r="HY34" s="781"/>
      <c r="HZ34" s="781"/>
      <c r="IA34" s="781"/>
      <c r="IB34" s="781"/>
      <c r="IC34" s="781"/>
      <c r="ID34" s="781"/>
      <c r="IE34" s="781"/>
      <c r="IF34" s="781"/>
      <c r="IG34" s="781"/>
      <c r="IH34" s="781"/>
      <c r="II34" s="781"/>
      <c r="IJ34" s="781"/>
      <c r="IK34" s="781"/>
      <c r="IL34" s="781"/>
      <c r="IM34" s="781"/>
      <c r="IN34" s="781"/>
      <c r="IO34" s="781"/>
      <c r="IP34" s="781"/>
      <c r="IQ34" s="781"/>
      <c r="IR34" s="781"/>
      <c r="IS34" s="781"/>
      <c r="IT34" s="781"/>
      <c r="IU34" s="781"/>
      <c r="IV34" s="782"/>
      <c r="IW34" s="60"/>
      <c r="IY34" s="780" t="s">
        <v>1215</v>
      </c>
      <c r="IZ34" s="781"/>
      <c r="JA34" s="781"/>
      <c r="JB34" s="781"/>
      <c r="JC34" s="781"/>
      <c r="JD34" s="781"/>
      <c r="JE34" s="781"/>
      <c r="JF34" s="781"/>
      <c r="JG34" s="781"/>
      <c r="JH34" s="781"/>
      <c r="JI34" s="781"/>
      <c r="JJ34" s="781"/>
      <c r="JK34" s="781"/>
      <c r="JL34" s="781"/>
      <c r="JM34" s="781"/>
      <c r="JN34" s="781"/>
      <c r="JO34" s="781"/>
      <c r="JP34" s="781"/>
      <c r="JQ34" s="781"/>
      <c r="JR34" s="781"/>
      <c r="JS34" s="781"/>
      <c r="JT34" s="781"/>
      <c r="JU34" s="781"/>
      <c r="JV34" s="781"/>
      <c r="JW34" s="781"/>
      <c r="JX34" s="781"/>
      <c r="JY34" s="781"/>
      <c r="JZ34" s="781"/>
      <c r="KA34" s="781"/>
      <c r="KB34" s="781"/>
      <c r="KC34" s="781"/>
      <c r="KD34" s="781"/>
      <c r="KE34" s="781"/>
      <c r="KF34" s="781"/>
      <c r="KG34" s="781"/>
      <c r="KH34" s="781"/>
      <c r="KI34" s="781"/>
      <c r="KJ34" s="781"/>
      <c r="KK34" s="781"/>
      <c r="KL34" s="781"/>
      <c r="KM34" s="781"/>
      <c r="KN34" s="781"/>
      <c r="KO34" s="781"/>
      <c r="KP34" s="781"/>
      <c r="KQ34" s="781"/>
      <c r="KR34" s="781"/>
      <c r="KS34" s="781"/>
      <c r="KT34" s="781"/>
      <c r="KU34" s="781"/>
      <c r="KV34" s="781"/>
      <c r="KW34" s="781"/>
      <c r="KX34" s="782"/>
    </row>
    <row r="35" spans="2:310" ht="18" customHeight="1" thickBot="1" x14ac:dyDescent="0.3">
      <c r="B35" s="648"/>
      <c r="C35" s="649"/>
      <c r="D35" s="803"/>
      <c r="E35" s="803"/>
      <c r="F35" s="803"/>
      <c r="G35" s="803"/>
      <c r="H35" s="803"/>
      <c r="I35" s="803"/>
      <c r="J35" s="803"/>
      <c r="K35" s="803"/>
      <c r="L35" s="799"/>
      <c r="M35" s="799"/>
      <c r="N35" s="800"/>
      <c r="O35" s="800"/>
      <c r="P35" s="69"/>
      <c r="AF35" s="512"/>
      <c r="AG35" s="494" t="s">
        <v>1861</v>
      </c>
      <c r="AQ35" s="56">
        <v>26</v>
      </c>
      <c r="AR35" s="754"/>
      <c r="AS35" s="754"/>
      <c r="AT35" s="754"/>
      <c r="AU35" s="754"/>
      <c r="AV35" s="754"/>
      <c r="AW35" s="754"/>
      <c r="AX35" s="754"/>
      <c r="AY35" s="754"/>
      <c r="AZ35" s="754"/>
      <c r="BA35" s="754"/>
      <c r="BB35" s="754"/>
      <c r="BC35" s="754"/>
      <c r="BD35" s="755"/>
      <c r="BE35" s="756">
        <v>0</v>
      </c>
      <c r="BF35" s="754"/>
      <c r="BG35" s="748"/>
      <c r="BH35" s="748"/>
      <c r="BI35" s="748"/>
      <c r="BJ35" s="748"/>
      <c r="BK35" s="748"/>
      <c r="BL35" s="748"/>
      <c r="BM35" s="57"/>
      <c r="BN35" s="57"/>
      <c r="BO35" s="369"/>
      <c r="BP35" s="366"/>
      <c r="BQ35" s="757" t="s">
        <v>1204</v>
      </c>
      <c r="BR35" s="747"/>
      <c r="BS35" s="57">
        <v>26</v>
      </c>
      <c r="BT35" s="758" t="str">
        <f>IF(OR($AV$6="O1",$AV$6="O2",$AV$6="O3"),Sorts!E100,IF(OR($BB$6="O1",$BB$6="O2"),Sorts!E162,""))</f>
        <v>Mains Brûlantes</v>
      </c>
      <c r="BU35" s="744"/>
      <c r="BV35" s="744"/>
      <c r="BW35" s="744"/>
      <c r="BX35" s="744"/>
      <c r="BY35" s="744"/>
      <c r="BZ35" s="744"/>
      <c r="CA35" s="744"/>
      <c r="CB35" s="744"/>
      <c r="CC35" s="744"/>
      <c r="CD35" s="744"/>
      <c r="CE35" s="744"/>
      <c r="CF35" s="744"/>
      <c r="CG35" s="744">
        <v>0</v>
      </c>
      <c r="CH35" s="745"/>
      <c r="CI35" s="746">
        <f>IF(OR($AV$6="O1",$AV$6="O2",$AV$6="O3"),Sorts!F100,IF(OR($BB$6="O1",$BB$6="O2"),Sorts!F162,""))</f>
        <v>0</v>
      </c>
      <c r="CJ35" s="747"/>
      <c r="CK35" s="748" t="str">
        <f>IF(OR($AV$6="O1",$AV$6="O2",$AV$6="O3"),Sorts!G100,IF(OR($BB$6="O1",$BB$6="O2"),Sorts!G162,""))</f>
        <v>1r</v>
      </c>
      <c r="CL35" s="748"/>
      <c r="CM35" s="748"/>
      <c r="CN35" s="57" t="str">
        <f>IF(OR($AV$6="O1",$AV$6="O2",$AV$6="O3"),Sorts!H100,IF(OR($BB$6="O1",$BB$6="O2"),Sorts!H162,""))</f>
        <v>X</v>
      </c>
      <c r="CO35" s="57" t="str">
        <f>IF(OR($AV$6="O1",$AV$6="O2",$AV$6="O3"),Sorts!I100,IF(OR($BB$6="O1",$BB$6="O2"),Sorts!I162,""))</f>
        <v>X</v>
      </c>
      <c r="CP35" s="58" t="str">
        <f>IF(OR($AV$6="O1",$AV$6="O2",$AV$6="O3"),Sorts!J100,IF(OR($BB$6="O1",$BB$6="O2"),Sorts!J162,""))</f>
        <v>/</v>
      </c>
      <c r="CQ35" s="60"/>
      <c r="CS35" s="56">
        <v>32</v>
      </c>
      <c r="CT35" s="754"/>
      <c r="CU35" s="754"/>
      <c r="CV35" s="754"/>
      <c r="CW35" s="754"/>
      <c r="CX35" s="754"/>
      <c r="CY35" s="754"/>
      <c r="CZ35" s="754"/>
      <c r="DA35" s="754"/>
      <c r="DB35" s="754"/>
      <c r="DC35" s="754"/>
      <c r="DD35" s="754"/>
      <c r="DE35" s="754"/>
      <c r="DF35" s="755"/>
      <c r="DG35" s="756"/>
      <c r="DH35" s="747"/>
      <c r="DI35" s="748"/>
      <c r="DJ35" s="748"/>
      <c r="DK35" s="748"/>
      <c r="DL35" s="748"/>
      <c r="DM35" s="748"/>
      <c r="DN35" s="748"/>
      <c r="DO35" s="57"/>
      <c r="DP35" s="57"/>
      <c r="DQ35" s="58"/>
      <c r="DR35" s="57"/>
      <c r="DS35" s="757" t="s">
        <v>1204</v>
      </c>
      <c r="DT35" s="747"/>
      <c r="DU35" s="57">
        <v>32</v>
      </c>
      <c r="DV35" s="758" t="str">
        <f>IF(OR($AV$6="O1",$AV$6="O2",$AV$6="O3"),Sorts!K106,IF(OR($BB$6="O1",$BB$6="O2"),Sorts!K168,""))</f>
        <v>Ténèbres sur 5 mètres</v>
      </c>
      <c r="DW35" s="744"/>
      <c r="DX35" s="744"/>
      <c r="DY35" s="744"/>
      <c r="DZ35" s="744"/>
      <c r="EA35" s="744"/>
      <c r="EB35" s="744"/>
      <c r="EC35" s="744"/>
      <c r="ED35" s="744"/>
      <c r="EE35" s="744"/>
      <c r="EF35" s="744"/>
      <c r="EG35" s="744"/>
      <c r="EH35" s="744"/>
      <c r="EI35" s="744">
        <v>0</v>
      </c>
      <c r="EJ35" s="745"/>
      <c r="EK35" s="746" t="str">
        <f>IF(OR($AV$6="O1",$AV$6="O2",$AV$6="O3"),Sorts!L106,IF(OR($BB$6="O1",$BB$6="O2"),Sorts!L168,""))</f>
        <v>1''/n</v>
      </c>
      <c r="EL35" s="747"/>
      <c r="EM35" s="748" t="str">
        <f>IF(OR($AV$6="O1",$AV$6="O2",$AV$6="O3"),Sorts!M106,IF(OR($BB$6="O1",$BB$6="O2"),Sorts!M168,""))</f>
        <v>1t+1r/n</v>
      </c>
      <c r="EN35" s="748"/>
      <c r="EO35" s="748"/>
      <c r="EP35" s="57" t="str">
        <f>IF(OR($AV$6="O1",$AV$6="O2",$AV$6="O3"),Sorts!N106,IF(OR($BB$6="O1",$BB$6="O2"),Sorts!N168,""))</f>
        <v>X</v>
      </c>
      <c r="EQ35" s="57" t="str">
        <f>IF(OR($AV$6="O1",$AV$6="O2",$AV$6="O3"),Sorts!O106,IF(OR($BB$6="O1",$BB$6="O2"),Sorts!O168,""))</f>
        <v>/</v>
      </c>
      <c r="ER35" s="58" t="str">
        <f>IF(OR($AV$6="O1",$AV$6="O2",$AV$6="O3"),Sorts!P106,IF(OR($BB$6="O1",$BB$6="O2"),Sorts!P168,""))</f>
        <v>X</v>
      </c>
      <c r="ES35" s="60"/>
      <c r="EU35" s="56">
        <v>32</v>
      </c>
      <c r="EV35" s="754"/>
      <c r="EW35" s="754"/>
      <c r="EX35" s="754"/>
      <c r="EY35" s="754"/>
      <c r="EZ35" s="754"/>
      <c r="FA35" s="754"/>
      <c r="FB35" s="754"/>
      <c r="FC35" s="754"/>
      <c r="FD35" s="754"/>
      <c r="FE35" s="754"/>
      <c r="FF35" s="754"/>
      <c r="FG35" s="754"/>
      <c r="FH35" s="755"/>
      <c r="FI35" s="756"/>
      <c r="FJ35" s="747"/>
      <c r="FK35" s="748"/>
      <c r="FL35" s="748"/>
      <c r="FM35" s="748"/>
      <c r="FN35" s="748"/>
      <c r="FO35" s="748"/>
      <c r="FP35" s="748"/>
      <c r="FQ35" s="57"/>
      <c r="FR35" s="57"/>
      <c r="FS35" s="58"/>
      <c r="FT35" s="57"/>
      <c r="FU35" s="757" t="s">
        <v>1204</v>
      </c>
      <c r="FV35" s="747"/>
      <c r="FW35" s="57">
        <v>32</v>
      </c>
      <c r="FX35" s="758" t="str">
        <f>IF(OR($AV$6="O1",$AV$6="O2",$AV$6="O3"),Sorts!W106,IF(OR($BB$6="O1",$BB$6="O2"),Sorts!W168,""))</f>
        <v>Ultravision</v>
      </c>
      <c r="FY35" s="744"/>
      <c r="FZ35" s="744"/>
      <c r="GA35" s="744"/>
      <c r="GB35" s="744"/>
      <c r="GC35" s="744"/>
      <c r="GD35" s="744"/>
      <c r="GE35" s="744"/>
      <c r="GF35" s="744"/>
      <c r="GG35" s="744"/>
      <c r="GH35" s="744"/>
      <c r="GI35" s="744"/>
      <c r="GJ35" s="744"/>
      <c r="GK35" s="744">
        <v>0</v>
      </c>
      <c r="GL35" s="745"/>
      <c r="GM35" s="746" t="str">
        <f>IF(OR($AV$6="O1",$AV$6="O2",$AV$6="O3"),Sorts!X106,IF(OR($BB$6="O1",$BB$6="O2"),Sorts!X168,""))</f>
        <v>T</v>
      </c>
      <c r="GN35" s="747"/>
      <c r="GO35" s="748" t="str">
        <f>IF(OR($AV$6="O1",$AV$6="O2",$AV$6="O3"),Sorts!Y106,IF(OR($BB$6="O1",$BB$6="O2"),Sorts!Y168,""))</f>
        <v>6t+6/n</v>
      </c>
      <c r="GP35" s="748"/>
      <c r="GQ35" s="748"/>
      <c r="GR35" s="57" t="str">
        <f>IF(OR($AV$6="O1",$AV$6="O2",$AV$6="O3"),Sorts!Z106,IF(OR($BB$6="O1",$BB$6="O2"),Sorts!Z168,""))</f>
        <v>X</v>
      </c>
      <c r="GS35" s="57" t="str">
        <f>IF(OR($AV$6="O1",$AV$6="O2",$AV$6="O3"),Sorts!AA106,IF(OR($BB$6="O1",$BB$6="O2"),Sorts!AA168,""))</f>
        <v>X</v>
      </c>
      <c r="GT35" s="58" t="str">
        <f>IF(OR($AV$6="O1",$AV$6="O2",$AV$6="O3"),Sorts!AB106,IF(OR($BB$6="O1",$BB$6="O2"),Sorts!AB168,""))</f>
        <v>X</v>
      </c>
      <c r="GU35" s="60"/>
      <c r="GW35" s="372" t="s">
        <v>1197</v>
      </c>
      <c r="GX35" s="776" t="s">
        <v>1198</v>
      </c>
      <c r="GY35" s="776"/>
      <c r="GZ35" s="776"/>
      <c r="HA35" s="776"/>
      <c r="HB35" s="776"/>
      <c r="HC35" s="776"/>
      <c r="HD35" s="776"/>
      <c r="HE35" s="776"/>
      <c r="HF35" s="776"/>
      <c r="HG35" s="776"/>
      <c r="HH35" s="776"/>
      <c r="HI35" s="776"/>
      <c r="HJ35" s="776"/>
      <c r="HK35" s="348">
        <f>SUM(HK36:HK82)</f>
        <v>0</v>
      </c>
      <c r="HL35" s="373" t="s">
        <v>388</v>
      </c>
      <c r="HM35" s="777" t="s">
        <v>1199</v>
      </c>
      <c r="HN35" s="777"/>
      <c r="HO35" s="777"/>
      <c r="HP35" s="777" t="s">
        <v>1200</v>
      </c>
      <c r="HQ35" s="777"/>
      <c r="HR35" s="777"/>
      <c r="HS35" s="374" t="s">
        <v>1201</v>
      </c>
      <c r="HT35" s="374" t="s">
        <v>400</v>
      </c>
      <c r="HU35" s="378" t="s">
        <v>388</v>
      </c>
      <c r="HV35" s="374"/>
      <c r="HW35" s="376">
        <f>COUNTIF(HW36:HX60,"C")</f>
        <v>0</v>
      </c>
      <c r="HX35" s="374" t="s">
        <v>1196</v>
      </c>
      <c r="HY35" s="377" t="s">
        <v>1197</v>
      </c>
      <c r="HZ35" s="778" t="s">
        <v>1217</v>
      </c>
      <c r="IA35" s="779"/>
      <c r="IB35" s="779"/>
      <c r="IC35" s="779"/>
      <c r="ID35" s="779"/>
      <c r="IE35" s="779"/>
      <c r="IF35" s="779"/>
      <c r="IG35" s="779"/>
      <c r="IH35" s="779"/>
      <c r="II35" s="779"/>
      <c r="IJ35" s="779"/>
      <c r="IK35" s="779"/>
      <c r="IL35" s="779"/>
      <c r="IM35" s="348">
        <f>SUM(IM36:IM82)</f>
        <v>0</v>
      </c>
      <c r="IN35" s="373" t="s">
        <v>388</v>
      </c>
      <c r="IO35" s="777" t="s">
        <v>1199</v>
      </c>
      <c r="IP35" s="777"/>
      <c r="IQ35" s="374"/>
      <c r="IR35" s="374" t="s">
        <v>1200</v>
      </c>
      <c r="IS35" s="374"/>
      <c r="IT35" s="374" t="s">
        <v>1201</v>
      </c>
      <c r="IU35" s="374" t="s">
        <v>400</v>
      </c>
      <c r="IV35" s="378" t="s">
        <v>388</v>
      </c>
      <c r="IW35" s="60"/>
      <c r="IY35" s="379"/>
      <c r="IZ35" s="801"/>
      <c r="JA35" s="801"/>
      <c r="JB35" s="801"/>
      <c r="JC35" s="801"/>
      <c r="JD35" s="801"/>
      <c r="JE35" s="801"/>
      <c r="JF35" s="801"/>
      <c r="JG35" s="801"/>
      <c r="JH35" s="801"/>
      <c r="JI35" s="801"/>
      <c r="JJ35" s="801"/>
      <c r="JK35" s="801"/>
      <c r="JL35" s="801"/>
      <c r="JM35" s="380"/>
      <c r="JN35" s="381"/>
      <c r="JO35" s="802"/>
      <c r="JP35" s="802"/>
      <c r="JQ35" s="802"/>
      <c r="JR35" s="802"/>
      <c r="JS35" s="802"/>
      <c r="JT35" s="802"/>
      <c r="JU35" s="382"/>
      <c r="JV35" s="382"/>
      <c r="JW35" s="383"/>
      <c r="JX35" s="382"/>
      <c r="JY35" s="376">
        <f>COUNTIF(JY36:JZ51,"C")</f>
        <v>0</v>
      </c>
      <c r="JZ35" s="374" t="s">
        <v>1196</v>
      </c>
      <c r="KA35" s="377" t="s">
        <v>1197</v>
      </c>
      <c r="KB35" s="778" t="s">
        <v>1216</v>
      </c>
      <c r="KC35" s="779"/>
      <c r="KD35" s="779"/>
      <c r="KE35" s="779"/>
      <c r="KF35" s="779"/>
      <c r="KG35" s="779"/>
      <c r="KH35" s="779"/>
      <c r="KI35" s="779"/>
      <c r="KJ35" s="779"/>
      <c r="KK35" s="779"/>
      <c r="KL35" s="779"/>
      <c r="KM35" s="779"/>
      <c r="KN35" s="779"/>
      <c r="KO35" s="348">
        <f>SUM(KO36:KO82)</f>
        <v>0</v>
      </c>
      <c r="KP35" s="373" t="s">
        <v>388</v>
      </c>
      <c r="KQ35" s="777" t="s">
        <v>1199</v>
      </c>
      <c r="KR35" s="777"/>
      <c r="KS35" s="374"/>
      <c r="KT35" s="374" t="s">
        <v>1200</v>
      </c>
      <c r="KU35" s="374"/>
      <c r="KV35" s="374" t="s">
        <v>1201</v>
      </c>
      <c r="KW35" s="374" t="s">
        <v>400</v>
      </c>
      <c r="KX35" s="378" t="s">
        <v>388</v>
      </c>
    </row>
    <row r="36" spans="2:310" ht="18" customHeight="1" thickTop="1" thickBot="1" x14ac:dyDescent="0.3">
      <c r="B36" s="648" t="s">
        <v>21</v>
      </c>
      <c r="C36" s="649"/>
      <c r="D36" s="793" t="s">
        <v>1551</v>
      </c>
      <c r="E36" s="794"/>
      <c r="F36" s="794"/>
      <c r="G36" s="794"/>
      <c r="H36" s="794"/>
      <c r="I36" s="794"/>
      <c r="J36" s="794"/>
      <c r="K36" s="795"/>
      <c r="L36" s="799"/>
      <c r="M36" s="799"/>
      <c r="N36" s="800">
        <v>0</v>
      </c>
      <c r="O36" s="800"/>
      <c r="P36" s="69"/>
      <c r="R36" s="425" t="s">
        <v>1432</v>
      </c>
      <c r="S36" s="67"/>
      <c r="T36" s="67"/>
      <c r="U36" s="608" t="str">
        <f>IF(Classe1="Clerc","OUI","NON")</f>
        <v>NON</v>
      </c>
      <c r="V36" s="608"/>
      <c r="W36" s="423"/>
      <c r="X36" s="21"/>
      <c r="Y36" s="21"/>
      <c r="Z36" s="423"/>
      <c r="AA36" s="21"/>
      <c r="AB36" s="423" t="s">
        <v>1667</v>
      </c>
      <c r="AC36" s="21" t="s">
        <v>1624</v>
      </c>
      <c r="AD36" s="423"/>
      <c r="AE36" s="423" t="s">
        <v>1668</v>
      </c>
      <c r="AF36" s="21" t="s">
        <v>1669</v>
      </c>
      <c r="AG36" s="21"/>
      <c r="AH36" s="21"/>
      <c r="AI36" s="423" t="s">
        <v>1670</v>
      </c>
      <c r="AJ36" s="21" t="s">
        <v>1671</v>
      </c>
      <c r="AK36" s="21"/>
      <c r="AL36" s="21"/>
      <c r="AM36" s="423" t="s">
        <v>1672</v>
      </c>
      <c r="AN36" s="21" t="s">
        <v>1673</v>
      </c>
      <c r="AO36" s="68"/>
      <c r="AQ36" s="56">
        <v>27</v>
      </c>
      <c r="AR36" s="754"/>
      <c r="AS36" s="754"/>
      <c r="AT36" s="754"/>
      <c r="AU36" s="754"/>
      <c r="AV36" s="754"/>
      <c r="AW36" s="754"/>
      <c r="AX36" s="754"/>
      <c r="AY36" s="754"/>
      <c r="AZ36" s="754"/>
      <c r="BA36" s="754"/>
      <c r="BB36" s="754"/>
      <c r="BC36" s="754"/>
      <c r="BD36" s="755"/>
      <c r="BE36" s="756">
        <v>0</v>
      </c>
      <c r="BF36" s="754"/>
      <c r="BG36" s="748"/>
      <c r="BH36" s="748"/>
      <c r="BI36" s="748"/>
      <c r="BJ36" s="748"/>
      <c r="BK36" s="748"/>
      <c r="BL36" s="748"/>
      <c r="BM36" s="57"/>
      <c r="BN36" s="57"/>
      <c r="BO36" s="369"/>
      <c r="BP36" s="366"/>
      <c r="BQ36" s="757" t="s">
        <v>1204</v>
      </c>
      <c r="BR36" s="747"/>
      <c r="BS36" s="57">
        <v>27</v>
      </c>
      <c r="BT36" s="758" t="str">
        <f>IF(OR($AV$6="O1",$AV$6="O2",$AV$6="O3"),Sorts!E101,IF(OR($BB$6="O1",$BB$6="O2"),Sorts!E163,""))</f>
        <v>Marque de Magicien</v>
      </c>
      <c r="BU36" s="744"/>
      <c r="BV36" s="744"/>
      <c r="BW36" s="744"/>
      <c r="BX36" s="744"/>
      <c r="BY36" s="744"/>
      <c r="BZ36" s="744"/>
      <c r="CA36" s="744"/>
      <c r="CB36" s="744"/>
      <c r="CC36" s="744"/>
      <c r="CD36" s="744"/>
      <c r="CE36" s="744"/>
      <c r="CF36" s="744"/>
      <c r="CG36" s="744">
        <v>0</v>
      </c>
      <c r="CH36" s="745"/>
      <c r="CI36" s="746" t="str">
        <f>IF(OR($AV$6="O1",$AV$6="O2",$AV$6="O3"),Sorts!F101,IF(OR($BB$6="O1",$BB$6="O2"),Sorts!F163,""))</f>
        <v>1’’</v>
      </c>
      <c r="CJ36" s="747"/>
      <c r="CK36" s="748" t="str">
        <f>IF(OR($AV$6="O1",$AV$6="O2",$AV$6="O3"),Sorts!G101,IF(OR($BB$6="O1",$BB$6="O2"),Sorts!G163,""))</f>
        <v>P</v>
      </c>
      <c r="CL36" s="748"/>
      <c r="CM36" s="748"/>
      <c r="CN36" s="57" t="str">
        <f>IF(OR($AV$6="O1",$AV$6="O2",$AV$6="O3"),Sorts!H101,IF(OR($BB$6="O1",$BB$6="O2"),Sorts!H163,""))</f>
        <v>X</v>
      </c>
      <c r="CO36" s="57" t="str">
        <f>IF(OR($AV$6="O1",$AV$6="O2",$AV$6="O3"),Sorts!I101,IF(OR($BB$6="O1",$BB$6="O2"),Sorts!I163,""))</f>
        <v>X</v>
      </c>
      <c r="CP36" s="58" t="str">
        <f>IF(OR($AV$6="O1",$AV$6="O2",$AV$6="O3"),Sorts!J101,IF(OR($BB$6="O1",$BB$6="O2"),Sorts!J163,""))</f>
        <v>X</v>
      </c>
      <c r="CQ36" s="60"/>
      <c r="CS36" s="56">
        <v>33</v>
      </c>
      <c r="CT36" s="754"/>
      <c r="CU36" s="754"/>
      <c r="CV36" s="754"/>
      <c r="CW36" s="754"/>
      <c r="CX36" s="754"/>
      <c r="CY36" s="754"/>
      <c r="CZ36" s="754"/>
      <c r="DA36" s="754"/>
      <c r="DB36" s="754"/>
      <c r="DC36" s="754"/>
      <c r="DD36" s="754"/>
      <c r="DE36" s="754"/>
      <c r="DF36" s="755"/>
      <c r="DG36" s="756"/>
      <c r="DH36" s="747"/>
      <c r="DI36" s="748"/>
      <c r="DJ36" s="748"/>
      <c r="DK36" s="748"/>
      <c r="DL36" s="748"/>
      <c r="DM36" s="748"/>
      <c r="DN36" s="748"/>
      <c r="DO36" s="57"/>
      <c r="DP36" s="57"/>
      <c r="DQ36" s="58"/>
      <c r="DR36" s="57"/>
      <c r="DS36" s="757" t="s">
        <v>1204</v>
      </c>
      <c r="DT36" s="747"/>
      <c r="DU36" s="57">
        <v>33</v>
      </c>
      <c r="DV36" s="758" t="str">
        <f>IF(OR($AV$6="O1",$AV$6="O2",$AV$6="O3"),Sorts!K107,IF(OR($BB$6="O1",$BB$6="O2"),Sorts!K169,""))</f>
        <v>Toile d’Araignée</v>
      </c>
      <c r="DW36" s="744"/>
      <c r="DX36" s="744"/>
      <c r="DY36" s="744"/>
      <c r="DZ36" s="744"/>
      <c r="EA36" s="744"/>
      <c r="EB36" s="744"/>
      <c r="EC36" s="744"/>
      <c r="ED36" s="744"/>
      <c r="EE36" s="744"/>
      <c r="EF36" s="744"/>
      <c r="EG36" s="744"/>
      <c r="EH36" s="744"/>
      <c r="EI36" s="744">
        <v>0</v>
      </c>
      <c r="EJ36" s="745"/>
      <c r="EK36" s="746" t="str">
        <f>IF(OR($AV$6="O1",$AV$6="O2",$AV$6="O3"),Sorts!L107,IF(OR($BB$6="O1",$BB$6="O2"),Sorts!L169,""))</f>
        <v>0,5''/n</v>
      </c>
      <c r="EL36" s="747"/>
      <c r="EM36" s="748" t="str">
        <f>IF(OR($AV$6="O1",$AV$6="O2",$AV$6="O3"),Sorts!M107,IF(OR($BB$6="O1",$BB$6="O2"),Sorts!M169,""))</f>
        <v>2t/n</v>
      </c>
      <c r="EN36" s="748"/>
      <c r="EO36" s="748"/>
      <c r="EP36" s="57" t="str">
        <f>IF(OR($AV$6="O1",$AV$6="O2",$AV$6="O3"),Sorts!N107,IF(OR($BB$6="O1",$BB$6="O2"),Sorts!N169,""))</f>
        <v>X</v>
      </c>
      <c r="EQ36" s="57" t="str">
        <f>IF(OR($AV$6="O1",$AV$6="O2",$AV$6="O3"),Sorts!O107,IF(OR($BB$6="O1",$BB$6="O2"),Sorts!O169,""))</f>
        <v>X</v>
      </c>
      <c r="ER36" s="58" t="str">
        <f>IF(OR($AV$6="O1",$AV$6="O2",$AV$6="O3"),Sorts!P107,IF(OR($BB$6="O1",$BB$6="O2"),Sorts!P169,""))</f>
        <v>X</v>
      </c>
      <c r="ES36" s="60"/>
      <c r="EU36" s="780" t="s">
        <v>1211</v>
      </c>
      <c r="EV36" s="781"/>
      <c r="EW36" s="781"/>
      <c r="EX36" s="781"/>
      <c r="EY36" s="781"/>
      <c r="EZ36" s="781"/>
      <c r="FA36" s="781"/>
      <c r="FB36" s="781"/>
      <c r="FC36" s="781"/>
      <c r="FD36" s="781"/>
      <c r="FE36" s="781"/>
      <c r="FF36" s="781"/>
      <c r="FG36" s="781"/>
      <c r="FH36" s="781"/>
      <c r="FI36" s="781"/>
      <c r="FJ36" s="781"/>
      <c r="FK36" s="781"/>
      <c r="FL36" s="781"/>
      <c r="FM36" s="781"/>
      <c r="FN36" s="781"/>
      <c r="FO36" s="781"/>
      <c r="FP36" s="781"/>
      <c r="FQ36" s="781"/>
      <c r="FR36" s="781"/>
      <c r="FS36" s="781"/>
      <c r="FT36" s="781"/>
      <c r="FU36" s="781"/>
      <c r="FV36" s="781"/>
      <c r="FW36" s="781"/>
      <c r="FX36" s="781"/>
      <c r="FY36" s="781"/>
      <c r="FZ36" s="781"/>
      <c r="GA36" s="781"/>
      <c r="GB36" s="781"/>
      <c r="GC36" s="781"/>
      <c r="GD36" s="781"/>
      <c r="GE36" s="781"/>
      <c r="GF36" s="781"/>
      <c r="GG36" s="781"/>
      <c r="GH36" s="781"/>
      <c r="GI36" s="781"/>
      <c r="GJ36" s="781"/>
      <c r="GK36" s="781"/>
      <c r="GL36" s="781"/>
      <c r="GM36" s="781"/>
      <c r="GN36" s="781"/>
      <c r="GO36" s="781"/>
      <c r="GP36" s="781"/>
      <c r="GQ36" s="781"/>
      <c r="GR36" s="781"/>
      <c r="GS36" s="781"/>
      <c r="GT36" s="782"/>
      <c r="GU36" s="60"/>
      <c r="GW36" s="56">
        <v>1</v>
      </c>
      <c r="GX36" s="754" t="str">
        <f>IF($AV$4="O",Sorts!AO4,IF($BB$4="O",Sorts!AO28,""))</f>
        <v/>
      </c>
      <c r="GY36" s="754"/>
      <c r="GZ36" s="754"/>
      <c r="HA36" s="754"/>
      <c r="HB36" s="754"/>
      <c r="HC36" s="754"/>
      <c r="HD36" s="754"/>
      <c r="HE36" s="754"/>
      <c r="HF36" s="754"/>
      <c r="HG36" s="754"/>
      <c r="HH36" s="754"/>
      <c r="HI36" s="754"/>
      <c r="HJ36" s="755"/>
      <c r="HK36" s="756">
        <v>0</v>
      </c>
      <c r="HL36" s="747"/>
      <c r="HM36" s="748" t="str">
        <f>IF($AV$4="O",Sorts!AP4,IF($BB$4="O",Sorts!AP28,""))</f>
        <v/>
      </c>
      <c r="HN36" s="748"/>
      <c r="HO36" s="748"/>
      <c r="HP36" s="748" t="str">
        <f>IF($AV$4="O",Sorts!AQ4,IF($BB$4="O",Sorts!AQ28,""))</f>
        <v/>
      </c>
      <c r="HQ36" s="748"/>
      <c r="HR36" s="748"/>
      <c r="HS36" s="57" t="str">
        <f>IF($AV$4="O",Sorts!AR4,IF($BB$4="O",Sorts!AR28,""))</f>
        <v/>
      </c>
      <c r="HT36" s="57" t="str">
        <f>IF($AV$4="O",Sorts!AS4,IF($BB$4="O",Sorts!AS28,""))</f>
        <v/>
      </c>
      <c r="HU36" s="58" t="str">
        <f>IF($AV$4="O",Sorts!AT4,IF($BB$4="O",Sorts!AT28,""))</f>
        <v/>
      </c>
      <c r="HV36" s="57"/>
      <c r="HW36" s="757" t="s">
        <v>1204</v>
      </c>
      <c r="HX36" s="747"/>
      <c r="HY36" s="57">
        <v>1</v>
      </c>
      <c r="HZ36" s="758" t="str">
        <f>IF(OR($AV$6="O1",$AV$6="O2",$AV$6="O3"),Sorts!AO75,IF(OR($BB$6="O1",$BB$6="O2"),Sorts!AO137,""))</f>
        <v>Bannissement</v>
      </c>
      <c r="IA36" s="744"/>
      <c r="IB36" s="744"/>
      <c r="IC36" s="744"/>
      <c r="ID36" s="744"/>
      <c r="IE36" s="744"/>
      <c r="IF36" s="744"/>
      <c r="IG36" s="744"/>
      <c r="IH36" s="744"/>
      <c r="II36" s="744"/>
      <c r="IJ36" s="744"/>
      <c r="IK36" s="744"/>
      <c r="IL36" s="744"/>
      <c r="IM36" s="744">
        <v>0</v>
      </c>
      <c r="IN36" s="745"/>
      <c r="IO36" s="746" t="str">
        <f>IF(OR($AV$6="O1",$AV$6="O2",$AV$6="O3"),Sorts!AP75,IF(OR($BB$6="O1",$BB$6="O2"),Sorts!AP137,""))</f>
        <v>2''</v>
      </c>
      <c r="IP36" s="747"/>
      <c r="IQ36" s="748" t="str">
        <f>IF(OR($AV$6="O1",$AV$6="O2",$AV$6="O3"),Sorts!AQ75,IF(OR($BB$6="O1",$BB$6="O2"),Sorts!AQ137,""))</f>
        <v>P</v>
      </c>
      <c r="IR36" s="748"/>
      <c r="IS36" s="748"/>
      <c r="IT36" s="57" t="str">
        <f>IF(OR($AV$6="O1",$AV$6="O2",$AV$6="O3"),Sorts!AR75,IF(OR($BB$6="O1",$BB$6="O2"),Sorts!AR137,""))</f>
        <v>X</v>
      </c>
      <c r="IU36" s="57" t="str">
        <f>IF(OR($AV$6="O1",$AV$6="O2",$AV$6="O3"),Sorts!AS75,IF(OR($BB$6="O1",$BB$6="O2"),Sorts!AS137,""))</f>
        <v>X</v>
      </c>
      <c r="IV36" s="58" t="str">
        <f>IF(OR($AV$6="O1",$AV$6="O2",$AV$6="O3"),Sorts!AT75,IF(OR($BB$6="O1",$BB$6="O2"),Sorts!AT137,""))</f>
        <v>X</v>
      </c>
      <c r="IW36" s="60"/>
      <c r="IY36" s="384"/>
      <c r="IZ36" s="762"/>
      <c r="JA36" s="762"/>
      <c r="JB36" s="762"/>
      <c r="JC36" s="762"/>
      <c r="JD36" s="762"/>
      <c r="JE36" s="762"/>
      <c r="JF36" s="762"/>
      <c r="JG36" s="762"/>
      <c r="JH36" s="762"/>
      <c r="JI36" s="762"/>
      <c r="JJ36" s="762"/>
      <c r="JK36" s="762"/>
      <c r="JL36" s="763"/>
      <c r="JM36" s="759"/>
      <c r="JN36" s="760"/>
      <c r="JO36" s="761"/>
      <c r="JP36" s="761"/>
      <c r="JQ36" s="761"/>
      <c r="JR36" s="761"/>
      <c r="JS36" s="761"/>
      <c r="JT36" s="761"/>
      <c r="JU36" s="385"/>
      <c r="JV36" s="385"/>
      <c r="JW36" s="386"/>
      <c r="JX36" s="385"/>
      <c r="JY36" s="757" t="s">
        <v>1204</v>
      </c>
      <c r="JZ36" s="747"/>
      <c r="KA36" s="57">
        <v>1</v>
      </c>
      <c r="KB36" s="758" t="str">
        <f>IF(OR($AV$6="O1",$AV$6="O2",$AV$6="O3"),Sorts!BA75,IF(OR($BB$6="O1",$BB$6="O2"),Sorts!BA137,""))</f>
        <v>Absorption d’Énergie</v>
      </c>
      <c r="KC36" s="744"/>
      <c r="KD36" s="744"/>
      <c r="KE36" s="744"/>
      <c r="KF36" s="744"/>
      <c r="KG36" s="744"/>
      <c r="KH36" s="744"/>
      <c r="KI36" s="744"/>
      <c r="KJ36" s="744"/>
      <c r="KK36" s="744"/>
      <c r="KL36" s="744"/>
      <c r="KM36" s="744"/>
      <c r="KN36" s="744"/>
      <c r="KO36" s="744">
        <v>0</v>
      </c>
      <c r="KP36" s="745"/>
      <c r="KQ36" s="746" t="str">
        <f>IF(OR($AV$6="O1",$AV$6="O2",$AV$6="O3"),Sorts!BB75,IF(OR($BB$6="O1",$BB$6="O2"),Sorts!BB137,""))</f>
        <v>T</v>
      </c>
      <c r="KR36" s="747"/>
      <c r="KS36" s="748" t="str">
        <f>IF(OR($AV$6="O1",$AV$6="O2",$AV$6="O3"),Sorts!BC75,IF(OR($BB$6="O1",$BB$6="O2"),Sorts!BC137,""))</f>
        <v>P</v>
      </c>
      <c r="KT36" s="748"/>
      <c r="KU36" s="748"/>
      <c r="KV36" s="57" t="str">
        <f>IF(OR($AV$6="O1",$AV$6="O2",$AV$6="O3"),Sorts!BD75,IF(OR($BB$6="O1",$BB$6="O2"),Sorts!BD137,""))</f>
        <v>X</v>
      </c>
      <c r="KW36" s="57" t="str">
        <f>IF(OR($AV$6="O1",$AV$6="O2",$AV$6="O3"),Sorts!BE75,IF(OR($BB$6="O1",$BB$6="O2"),Sorts!BE137,""))</f>
        <v>X</v>
      </c>
      <c r="KX36" s="58" t="str">
        <f>IF(OR($AV$6="O1",$AV$6="O2",$AV$6="O3"),Sorts!BF75,IF(OR($BB$6="O1",$BB$6="O2"),Sorts!BF137,""))</f>
        <v>X</v>
      </c>
    </row>
    <row r="37" spans="2:310" ht="18" customHeight="1" thickBot="1" x14ac:dyDescent="0.3">
      <c r="B37" s="648"/>
      <c r="C37" s="649"/>
      <c r="D37" s="796"/>
      <c r="E37" s="797"/>
      <c r="F37" s="797"/>
      <c r="G37" s="797"/>
      <c r="H37" s="797"/>
      <c r="I37" s="797"/>
      <c r="J37" s="797"/>
      <c r="K37" s="798"/>
      <c r="L37" s="799"/>
      <c r="M37" s="799"/>
      <c r="N37" s="800"/>
      <c r="O37" s="800"/>
      <c r="P37" s="69"/>
      <c r="R37" s="4"/>
      <c r="S37" s="66"/>
      <c r="T37" s="66"/>
      <c r="U37" s="66"/>
      <c r="V37" s="66"/>
      <c r="W37" s="66"/>
      <c r="X37" s="66"/>
      <c r="Y37" s="66"/>
      <c r="Z37" s="66"/>
      <c r="AA37" s="66"/>
      <c r="AJ37" s="7" t="s">
        <v>1220</v>
      </c>
      <c r="AN37" s="610" t="str" cm="1">
        <f t="array" ref="AN37">IF($U$36="non","/",INDEX(Niveau!$B$893:$Q$906,MATCH('Joueur 1'!$AJ$37,Niveau!$B$893:$B$906,0),NivC1+1))</f>
        <v>/</v>
      </c>
      <c r="AO37" s="792"/>
      <c r="AQ37" s="56">
        <v>28</v>
      </c>
      <c r="AR37" s="754"/>
      <c r="AS37" s="754"/>
      <c r="AT37" s="754"/>
      <c r="AU37" s="754"/>
      <c r="AV37" s="754"/>
      <c r="AW37" s="754"/>
      <c r="AX37" s="754"/>
      <c r="AY37" s="754"/>
      <c r="AZ37" s="754"/>
      <c r="BA37" s="754"/>
      <c r="BB37" s="754"/>
      <c r="BC37" s="754"/>
      <c r="BD37" s="755"/>
      <c r="BE37" s="756">
        <v>0</v>
      </c>
      <c r="BF37" s="754"/>
      <c r="BG37" s="748"/>
      <c r="BH37" s="748"/>
      <c r="BI37" s="748"/>
      <c r="BJ37" s="748"/>
      <c r="BK37" s="748"/>
      <c r="BL37" s="748"/>
      <c r="BM37" s="57"/>
      <c r="BN37" s="57"/>
      <c r="BO37" s="369"/>
      <c r="BP37" s="366"/>
      <c r="BQ37" s="757" t="s">
        <v>1204</v>
      </c>
      <c r="BR37" s="747"/>
      <c r="BS37" s="57">
        <v>28</v>
      </c>
      <c r="BT37" s="758" t="str">
        <f>IF(OR($AV$6="O1",$AV$6="O2",$AV$6="O3"),Sorts!E102,IF(OR($BB$6="O1",$BB$6="O2"),Sorts!E164,""))</f>
        <v>Message</v>
      </c>
      <c r="BU37" s="744"/>
      <c r="BV37" s="744"/>
      <c r="BW37" s="744"/>
      <c r="BX37" s="744"/>
      <c r="BY37" s="744"/>
      <c r="BZ37" s="744"/>
      <c r="CA37" s="744"/>
      <c r="CB37" s="744"/>
      <c r="CC37" s="744"/>
      <c r="CD37" s="744"/>
      <c r="CE37" s="744"/>
      <c r="CF37" s="744"/>
      <c r="CG37" s="744">
        <v>0</v>
      </c>
      <c r="CH37" s="745"/>
      <c r="CI37" s="746" t="str">
        <f>IF(OR($AV$6="O1",$AV$6="O2",$AV$6="O3"),Sorts!F102,IF(OR($BB$6="O1",$BB$6="O2"),Sorts!F164,""))</f>
        <v>6’’+1’’/n</v>
      </c>
      <c r="CJ37" s="747"/>
      <c r="CK37" s="748" t="str">
        <f>IF(OR($AV$6="O1",$AV$6="O2",$AV$6="O3"),Sorts!G102,IF(OR($BB$6="O1",$BB$6="O2"),Sorts!G164,""))</f>
        <v>5s+1s/n</v>
      </c>
      <c r="CL37" s="748"/>
      <c r="CM37" s="748"/>
      <c r="CN37" s="57" t="str">
        <f>IF(OR($AV$6="O1",$AV$6="O2",$AV$6="O3"),Sorts!H102,IF(OR($BB$6="O1",$BB$6="O2"),Sorts!H164,""))</f>
        <v>X</v>
      </c>
      <c r="CO37" s="57" t="str">
        <f>IF(OR($AV$6="O1",$AV$6="O2",$AV$6="O3"),Sorts!I102,IF(OR($BB$6="O1",$BB$6="O2"),Sorts!I164,""))</f>
        <v>X</v>
      </c>
      <c r="CP37" s="58" t="str">
        <f>IF(OR($AV$6="O1",$AV$6="O2",$AV$6="O3"),Sorts!J102,IF(OR($BB$6="O1",$BB$6="O2"),Sorts!J164,""))</f>
        <v>X</v>
      </c>
      <c r="CQ37" s="60"/>
      <c r="CS37" s="56">
        <v>34</v>
      </c>
      <c r="CT37" s="754"/>
      <c r="CU37" s="754"/>
      <c r="CV37" s="754"/>
      <c r="CW37" s="754"/>
      <c r="CX37" s="754"/>
      <c r="CY37" s="754"/>
      <c r="CZ37" s="754"/>
      <c r="DA37" s="754"/>
      <c r="DB37" s="754"/>
      <c r="DC37" s="754"/>
      <c r="DD37" s="754"/>
      <c r="DE37" s="754"/>
      <c r="DF37" s="755"/>
      <c r="DG37" s="756"/>
      <c r="DH37" s="747"/>
      <c r="DI37" s="748"/>
      <c r="DJ37" s="748"/>
      <c r="DK37" s="748"/>
      <c r="DL37" s="748"/>
      <c r="DM37" s="748"/>
      <c r="DN37" s="748"/>
      <c r="DO37" s="57"/>
      <c r="DP37" s="57"/>
      <c r="DQ37" s="58"/>
      <c r="DR37" s="57"/>
      <c r="DS37" s="757" t="s">
        <v>1204</v>
      </c>
      <c r="DT37" s="747"/>
      <c r="DU37" s="57">
        <v>34</v>
      </c>
      <c r="DV37" s="758" t="str">
        <f>IF(OR($AV$6="O1",$AV$6="O2",$AV$6="O3"),Sorts!K108,IF(OR($BB$6="O1",$BB$6="O2"),Sorts!K170,""))</f>
        <v>Verrou Magique</v>
      </c>
      <c r="DW37" s="744"/>
      <c r="DX37" s="744"/>
      <c r="DY37" s="744"/>
      <c r="DZ37" s="744"/>
      <c r="EA37" s="744"/>
      <c r="EB37" s="744"/>
      <c r="EC37" s="744"/>
      <c r="ED37" s="744"/>
      <c r="EE37" s="744"/>
      <c r="EF37" s="744"/>
      <c r="EG37" s="744"/>
      <c r="EH37" s="744"/>
      <c r="EI37" s="744">
        <v>0</v>
      </c>
      <c r="EJ37" s="745"/>
      <c r="EK37" s="746" t="str">
        <f>IF(OR($AV$6="O1",$AV$6="O2",$AV$6="O3"),Sorts!L108,IF(OR($BB$6="O1",$BB$6="O2"),Sorts!L170,""))</f>
        <v>T</v>
      </c>
      <c r="EL37" s="747"/>
      <c r="EM37" s="748" t="str">
        <f>IF(OR($AV$6="O1",$AV$6="O2",$AV$6="O3"),Sorts!M108,IF(OR($BB$6="O1",$BB$6="O2"),Sorts!M170,""))</f>
        <v>P</v>
      </c>
      <c r="EN37" s="748"/>
      <c r="EO37" s="748"/>
      <c r="EP37" s="57" t="str">
        <f>IF(OR($AV$6="O1",$AV$6="O2",$AV$6="O3"),Sorts!N108,IF(OR($BB$6="O1",$BB$6="O2"),Sorts!N170,""))</f>
        <v>X</v>
      </c>
      <c r="EQ37" s="57" t="str">
        <f>IF(OR($AV$6="O1",$AV$6="O2",$AV$6="O3"),Sorts!O108,IF(OR($BB$6="O1",$BB$6="O2"),Sorts!O170,""))</f>
        <v>X</v>
      </c>
      <c r="ER37" s="58" t="str">
        <f>IF(OR($AV$6="O1",$AV$6="O2",$AV$6="O3"),Sorts!P108,IF(OR($BB$6="O1",$BB$6="O2"),Sorts!P170,""))</f>
        <v>/</v>
      </c>
      <c r="ES37" s="60"/>
      <c r="EU37" s="372" t="s">
        <v>1197</v>
      </c>
      <c r="EV37" s="776" t="s">
        <v>1198</v>
      </c>
      <c r="EW37" s="776"/>
      <c r="EX37" s="776"/>
      <c r="EY37" s="776"/>
      <c r="EZ37" s="776"/>
      <c r="FA37" s="776"/>
      <c r="FB37" s="776"/>
      <c r="FC37" s="776"/>
      <c r="FD37" s="776"/>
      <c r="FE37" s="776"/>
      <c r="FF37" s="776"/>
      <c r="FG37" s="776"/>
      <c r="FH37" s="776"/>
      <c r="FI37" s="348">
        <f>SUM(FI38:FI82)</f>
        <v>0</v>
      </c>
      <c r="FJ37" s="373" t="s">
        <v>388</v>
      </c>
      <c r="FK37" s="777" t="s">
        <v>1199</v>
      </c>
      <c r="FL37" s="777"/>
      <c r="FM37" s="777"/>
      <c r="FN37" s="777" t="s">
        <v>1200</v>
      </c>
      <c r="FO37" s="777"/>
      <c r="FP37" s="777"/>
      <c r="FQ37" s="374" t="s">
        <v>1201</v>
      </c>
      <c r="FR37" s="374" t="s">
        <v>400</v>
      </c>
      <c r="FS37" s="378" t="s">
        <v>388</v>
      </c>
      <c r="FT37" s="374"/>
      <c r="FU37" s="376">
        <f>COUNTIF(FU38:FV68,"C")</f>
        <v>0</v>
      </c>
      <c r="FV37" s="374" t="s">
        <v>1196</v>
      </c>
      <c r="FW37" s="377" t="s">
        <v>1197</v>
      </c>
      <c r="FX37" s="778" t="s">
        <v>1217</v>
      </c>
      <c r="FY37" s="779"/>
      <c r="FZ37" s="779"/>
      <c r="GA37" s="779"/>
      <c r="GB37" s="779"/>
      <c r="GC37" s="779"/>
      <c r="GD37" s="779"/>
      <c r="GE37" s="779"/>
      <c r="GF37" s="779"/>
      <c r="GG37" s="779"/>
      <c r="GH37" s="779"/>
      <c r="GI37" s="779"/>
      <c r="GJ37" s="779"/>
      <c r="GK37" s="348">
        <f>SUM(GK38:GK82)</f>
        <v>0</v>
      </c>
      <c r="GL37" s="373" t="s">
        <v>388</v>
      </c>
      <c r="GM37" s="777" t="s">
        <v>1199</v>
      </c>
      <c r="GN37" s="777"/>
      <c r="GO37" s="374"/>
      <c r="GP37" s="374" t="s">
        <v>1200</v>
      </c>
      <c r="GQ37" s="374"/>
      <c r="GR37" s="374" t="s">
        <v>1201</v>
      </c>
      <c r="GS37" s="374" t="s">
        <v>400</v>
      </c>
      <c r="GT37" s="378" t="s">
        <v>388</v>
      </c>
      <c r="GU37" s="60"/>
      <c r="GW37" s="56">
        <v>2</v>
      </c>
      <c r="GX37" s="754" t="str">
        <f>IF($AV$4="O",Sorts!AO5,IF($BB$4="O",Sorts!AO29,""))</f>
        <v/>
      </c>
      <c r="GY37" s="754"/>
      <c r="GZ37" s="754"/>
      <c r="HA37" s="754"/>
      <c r="HB37" s="754"/>
      <c r="HC37" s="754"/>
      <c r="HD37" s="754"/>
      <c r="HE37" s="754"/>
      <c r="HF37" s="754"/>
      <c r="HG37" s="754"/>
      <c r="HH37" s="754"/>
      <c r="HI37" s="754"/>
      <c r="HJ37" s="755"/>
      <c r="HK37" s="756">
        <v>0</v>
      </c>
      <c r="HL37" s="747"/>
      <c r="HM37" s="748" t="str">
        <f>IF($AV$4="O",Sorts!AP5,IF($BB$4="O",Sorts!AP29,""))</f>
        <v/>
      </c>
      <c r="HN37" s="748"/>
      <c r="HO37" s="748"/>
      <c r="HP37" s="748" t="str">
        <f>IF($AV$4="O",Sorts!AQ5,IF($BB$4="O",Sorts!AQ29,""))</f>
        <v/>
      </c>
      <c r="HQ37" s="748"/>
      <c r="HR37" s="748"/>
      <c r="HS37" s="57" t="str">
        <f>IF($AV$4="O",Sorts!AR5,IF($BB$4="O",Sorts!AR29,""))</f>
        <v/>
      </c>
      <c r="HT37" s="57" t="str">
        <f>IF($AV$4="O",Sorts!AS5,IF($BB$4="O",Sorts!AS29,""))</f>
        <v/>
      </c>
      <c r="HU37" s="58" t="str">
        <f>IF($AV$4="O",Sorts!AT5,IF($BB$4="O",Sorts!AT29,""))</f>
        <v/>
      </c>
      <c r="HV37" s="57"/>
      <c r="HW37" s="757" t="s">
        <v>1204</v>
      </c>
      <c r="HX37" s="747"/>
      <c r="HY37" s="57">
        <v>2</v>
      </c>
      <c r="HZ37" s="758" t="str">
        <f>IF(OR($AV$6="O1",$AV$6="O2",$AV$6="O3"),Sorts!AO76,IF(OR($BB$6="O1",$BB$6="O2"),Sorts!AO138,""))</f>
        <v>Boule de Feu à Retardement</v>
      </c>
      <c r="IA37" s="744"/>
      <c r="IB37" s="744"/>
      <c r="IC37" s="744"/>
      <c r="ID37" s="744"/>
      <c r="IE37" s="744"/>
      <c r="IF37" s="744"/>
      <c r="IG37" s="744"/>
      <c r="IH37" s="744"/>
      <c r="II37" s="744"/>
      <c r="IJ37" s="744"/>
      <c r="IK37" s="744"/>
      <c r="IL37" s="744"/>
      <c r="IM37" s="744">
        <v>0</v>
      </c>
      <c r="IN37" s="745"/>
      <c r="IO37" s="746" t="str">
        <f>IF(OR($AV$6="O1",$AV$6="O2",$AV$6="O3"),Sorts!AP76,IF(OR($BB$6="O1",$BB$6="O2"),Sorts!AP138,""))</f>
        <v>10''+1/n</v>
      </c>
      <c r="IP37" s="747"/>
      <c r="IQ37" s="748" t="str">
        <f>IF(OR($AV$6="O1",$AV$6="O2",$AV$6="O3"),Sorts!AQ76,IF(OR($BB$6="O1",$BB$6="O2"),Sorts!AQ138,""))</f>
        <v>S</v>
      </c>
      <c r="IR37" s="748"/>
      <c r="IS37" s="748"/>
      <c r="IT37" s="57" t="str">
        <f>IF(OR($AV$6="O1",$AV$6="O2",$AV$6="O3"),Sorts!AR76,IF(OR($BB$6="O1",$BB$6="O2"),Sorts!AR138,""))</f>
        <v>X</v>
      </c>
      <c r="IU37" s="57" t="str">
        <f>IF(OR($AV$6="O1",$AV$6="O2",$AV$6="O3"),Sorts!AS76,IF(OR($BB$6="O1",$BB$6="O2"),Sorts!AS138,""))</f>
        <v>X</v>
      </c>
      <c r="IV37" s="58" t="str">
        <f>IF(OR($AV$6="O1",$AV$6="O2",$AV$6="O3"),Sorts!AT76,IF(OR($BB$6="O1",$BB$6="O2"),Sorts!AT138,""))</f>
        <v>X</v>
      </c>
      <c r="IW37" s="60"/>
      <c r="IY37" s="384"/>
      <c r="IZ37" s="762"/>
      <c r="JA37" s="762"/>
      <c r="JB37" s="762"/>
      <c r="JC37" s="762"/>
      <c r="JD37" s="762"/>
      <c r="JE37" s="762"/>
      <c r="JF37" s="762"/>
      <c r="JG37" s="762"/>
      <c r="JH37" s="762"/>
      <c r="JI37" s="762"/>
      <c r="JJ37" s="762"/>
      <c r="JK37" s="762"/>
      <c r="JL37" s="763"/>
      <c r="JM37" s="759"/>
      <c r="JN37" s="760"/>
      <c r="JO37" s="761"/>
      <c r="JP37" s="761"/>
      <c r="JQ37" s="761"/>
      <c r="JR37" s="761"/>
      <c r="JS37" s="761"/>
      <c r="JT37" s="761"/>
      <c r="JU37" s="385"/>
      <c r="JV37" s="385"/>
      <c r="JW37" s="386"/>
      <c r="JX37" s="385"/>
      <c r="JY37" s="757" t="s">
        <v>1204</v>
      </c>
      <c r="JZ37" s="747"/>
      <c r="KA37" s="57">
        <v>2</v>
      </c>
      <c r="KB37" s="758" t="str">
        <f>IF(OR($AV$6="O1",$AV$6="O2",$AV$6="O3"),Sorts!BA76,IF(OR($BB$6="O1",$BB$6="O2"),Sorts!BA138,""))</f>
        <v>Arrêt du Temps</v>
      </c>
      <c r="KC37" s="744"/>
      <c r="KD37" s="744"/>
      <c r="KE37" s="744"/>
      <c r="KF37" s="744"/>
      <c r="KG37" s="744"/>
      <c r="KH37" s="744"/>
      <c r="KI37" s="744"/>
      <c r="KJ37" s="744"/>
      <c r="KK37" s="744"/>
      <c r="KL37" s="744"/>
      <c r="KM37" s="744"/>
      <c r="KN37" s="744"/>
      <c r="KO37" s="744">
        <v>0</v>
      </c>
      <c r="KP37" s="745"/>
      <c r="KQ37" s="746">
        <f>IF(OR($AV$6="O1",$AV$6="O2",$AV$6="O3"),Sorts!BB76,IF(OR($BB$6="O1",$BB$6="O2"),Sorts!BB138,""))</f>
        <v>0</v>
      </c>
      <c r="KR37" s="747"/>
      <c r="KS37" s="748" t="str">
        <f>IF(OR($AV$6="O1",$AV$6="O2",$AV$6="O3"),Sorts!BC76,IF(OR($BB$6="O1",$BB$6="O2"),Sorts!BC138,""))</f>
        <v>0,5s/n+1d8s</v>
      </c>
      <c r="KT37" s="748"/>
      <c r="KU37" s="748"/>
      <c r="KV37" s="57" t="str">
        <f>IF(OR($AV$6="O1",$AV$6="O2",$AV$6="O3"),Sorts!BD76,IF(OR($BB$6="O1",$BB$6="O2"),Sorts!BD138,""))</f>
        <v>X</v>
      </c>
      <c r="KW37" s="57" t="str">
        <f>IF(OR($AV$6="O1",$AV$6="O2",$AV$6="O3"),Sorts!BE76,IF(OR($BB$6="O1",$BB$6="O2"),Sorts!BE138,""))</f>
        <v>/</v>
      </c>
      <c r="KX37" s="58" t="str">
        <f>IF(OR($AV$6="O1",$AV$6="O2",$AV$6="O3"),Sorts!BF76,IF(OR($BB$6="O1",$BB$6="O2"),Sorts!BF138,""))</f>
        <v>/</v>
      </c>
    </row>
    <row r="38" spans="2:310" ht="18" customHeight="1" thickBot="1" x14ac:dyDescent="0.3">
      <c r="B38" s="4"/>
      <c r="I38" s="227" t="s">
        <v>1431</v>
      </c>
      <c r="J38" s="227"/>
      <c r="K38" s="145"/>
      <c r="M38" s="74" t="s">
        <v>237</v>
      </c>
      <c r="N38" s="73"/>
      <c r="O38" s="73"/>
      <c r="P38" s="69"/>
      <c r="R38" s="4" t="s">
        <v>1223</v>
      </c>
      <c r="U38" s="610" t="str" cm="1">
        <f t="array" ref="U38">IF($U$36="non","/",INDEX(Niveau!$B$893:$Q$906,MATCH($R$38,Niveau!$B$893:$B$906,0),NivC1+1))</f>
        <v>/</v>
      </c>
      <c r="V38" s="610"/>
      <c r="X38" s="7" t="s">
        <v>1226</v>
      </c>
      <c r="AA38" s="610" t="str" cm="1">
        <f t="array" ref="AA38">IF($U$36="non","/",INDEX(Niveau!$B$893:$Q$906,MATCH('Joueur 1'!$X$38,Niveau!$B$893:$B$906,0),NivC1+1))</f>
        <v>/</v>
      </c>
      <c r="AB38" s="610"/>
      <c r="AD38" s="7" t="s">
        <v>1607</v>
      </c>
      <c r="AH38" s="610" t="str" cm="1">
        <f t="array" ref="AH38">IF($U$36="non","/",INDEX(Niveau!$B$893:$Q$906,MATCH('Joueur 1'!$AD$38,Niveau!$B$893:$B$906,0),NivC1+1))</f>
        <v>/</v>
      </c>
      <c r="AI38" s="610"/>
      <c r="AJ38" s="7" t="s">
        <v>1230</v>
      </c>
      <c r="AN38" s="610" t="str" cm="1">
        <f t="array" ref="AN38">IF($U$36="non","/",INDEX(Niveau!$B$893:$Q$906,MATCH('Joueur 1'!$AJ$38,Niveau!$B$893:$B$906,0),NivC1+1))</f>
        <v>/</v>
      </c>
      <c r="AO38" s="792"/>
      <c r="AQ38" s="56">
        <v>29</v>
      </c>
      <c r="AR38" s="754"/>
      <c r="AS38" s="754"/>
      <c r="AT38" s="754"/>
      <c r="AU38" s="754"/>
      <c r="AV38" s="754"/>
      <c r="AW38" s="754"/>
      <c r="AX38" s="754"/>
      <c r="AY38" s="754"/>
      <c r="AZ38" s="754"/>
      <c r="BA38" s="754"/>
      <c r="BB38" s="754"/>
      <c r="BC38" s="754"/>
      <c r="BD38" s="755"/>
      <c r="BE38" s="756">
        <v>0</v>
      </c>
      <c r="BF38" s="754"/>
      <c r="BG38" s="748"/>
      <c r="BH38" s="748"/>
      <c r="BI38" s="748"/>
      <c r="BJ38" s="748"/>
      <c r="BK38" s="748"/>
      <c r="BL38" s="748"/>
      <c r="BM38" s="57"/>
      <c r="BN38" s="57"/>
      <c r="BO38" s="369"/>
      <c r="BP38" s="366"/>
      <c r="BQ38" s="757" t="s">
        <v>1204</v>
      </c>
      <c r="BR38" s="747"/>
      <c r="BS38" s="57">
        <v>29</v>
      </c>
      <c r="BT38" s="758" t="str">
        <f>IF(OR($AV$6="O1",$AV$6="O2",$AV$6="O3"),Sorts!E103,IF(OR($BB$6="O1",$BB$6="O2"),Sorts!E165,""))</f>
        <v>Monture</v>
      </c>
      <c r="BU38" s="744"/>
      <c r="BV38" s="744"/>
      <c r="BW38" s="744"/>
      <c r="BX38" s="744"/>
      <c r="BY38" s="744"/>
      <c r="BZ38" s="744"/>
      <c r="CA38" s="744"/>
      <c r="CB38" s="744"/>
      <c r="CC38" s="744"/>
      <c r="CD38" s="744"/>
      <c r="CE38" s="744"/>
      <c r="CF38" s="744"/>
      <c r="CG38" s="744">
        <v>0</v>
      </c>
      <c r="CH38" s="745"/>
      <c r="CI38" s="746" t="str">
        <f>IF(OR($AV$6="O1",$AV$6="O2",$AV$6="O3"),Sorts!F103,IF(OR($BB$6="O1",$BB$6="O2"),Sorts!F165,""))</f>
        <v>1’’</v>
      </c>
      <c r="CJ38" s="747"/>
      <c r="CK38" s="748" t="str">
        <f>IF(OR($AV$6="O1",$AV$6="O2",$AV$6="O3"),Sorts!G103,IF(OR($BB$6="O1",$BB$6="O2"),Sorts!G165,""))</f>
        <v>12t+6t/n</v>
      </c>
      <c r="CL38" s="748"/>
      <c r="CM38" s="748"/>
      <c r="CN38" s="57" t="str">
        <f>IF(OR($AV$6="O1",$AV$6="O2",$AV$6="O3"),Sorts!H103,IF(OR($BB$6="O1",$BB$6="O2"),Sorts!H165,""))</f>
        <v>X</v>
      </c>
      <c r="CO38" s="57" t="str">
        <f>IF(OR($AV$6="O1",$AV$6="O2",$AV$6="O3"),Sorts!I103,IF(OR($BB$6="O1",$BB$6="O2"),Sorts!I165,""))</f>
        <v>X</v>
      </c>
      <c r="CP38" s="58" t="str">
        <f>IF(OR($AV$6="O1",$AV$6="O2",$AV$6="O3"),Sorts!J103,IF(OR($BB$6="O1",$BB$6="O2"),Sorts!J165,""))</f>
        <v>X</v>
      </c>
      <c r="CQ38" s="60"/>
      <c r="CS38" s="56">
        <v>35</v>
      </c>
      <c r="CT38" s="754"/>
      <c r="CU38" s="754"/>
      <c r="CV38" s="754"/>
      <c r="CW38" s="754"/>
      <c r="CX38" s="754"/>
      <c r="CY38" s="754"/>
      <c r="CZ38" s="754"/>
      <c r="DA38" s="754"/>
      <c r="DB38" s="754"/>
      <c r="DC38" s="754"/>
      <c r="DD38" s="754"/>
      <c r="DE38" s="754"/>
      <c r="DF38" s="755"/>
      <c r="DG38" s="756"/>
      <c r="DH38" s="747"/>
      <c r="DI38" s="748"/>
      <c r="DJ38" s="748"/>
      <c r="DK38" s="748"/>
      <c r="DL38" s="748"/>
      <c r="DM38" s="748"/>
      <c r="DN38" s="748"/>
      <c r="DO38" s="57"/>
      <c r="DP38" s="57"/>
      <c r="DQ38" s="58"/>
      <c r="DR38" s="57"/>
      <c r="DS38" s="757" t="s">
        <v>1204</v>
      </c>
      <c r="DT38" s="747"/>
      <c r="DU38" s="57">
        <v>35</v>
      </c>
      <c r="DV38" s="758" t="str">
        <f>IF(OR($AV$6="O1",$AV$6="O2",$AV$6="O3"),Sorts!K109,IF(OR($BB$6="O1",$BB$6="O2"),Sorts!K171,""))</f>
        <v>Vocalisation</v>
      </c>
      <c r="DW38" s="744"/>
      <c r="DX38" s="744"/>
      <c r="DY38" s="744"/>
      <c r="DZ38" s="744"/>
      <c r="EA38" s="744"/>
      <c r="EB38" s="744"/>
      <c r="EC38" s="744"/>
      <c r="ED38" s="744"/>
      <c r="EE38" s="744"/>
      <c r="EF38" s="744"/>
      <c r="EG38" s="744"/>
      <c r="EH38" s="744"/>
      <c r="EI38" s="744">
        <v>0</v>
      </c>
      <c r="EJ38" s="745"/>
      <c r="EK38" s="746" t="str">
        <f>IF(OR($AV$6="O1",$AV$6="O2",$AV$6="O3"),Sorts!L109,IF(OR($BB$6="O1",$BB$6="O2"),Sorts!L171,""))</f>
        <v>T</v>
      </c>
      <c r="EL38" s="747"/>
      <c r="EM38" s="748" t="str">
        <f>IF(OR($AV$6="O1",$AV$6="O2",$AV$6="O3"),Sorts!M109,IF(OR($BB$6="O1",$BB$6="O2"),Sorts!M171,""))</f>
        <v>5r</v>
      </c>
      <c r="EN38" s="748"/>
      <c r="EO38" s="748"/>
      <c r="EP38" s="57" t="str">
        <f>IF(OR($AV$6="O1",$AV$6="O2",$AV$6="O3"),Sorts!N109,IF(OR($BB$6="O1",$BB$6="O2"),Sorts!N171,""))</f>
        <v>/</v>
      </c>
      <c r="EQ38" s="57" t="str">
        <f>IF(OR($AV$6="O1",$AV$6="O2",$AV$6="O3"),Sorts!O109,IF(OR($BB$6="O1",$BB$6="O2"),Sorts!O171,""))</f>
        <v>X</v>
      </c>
      <c r="ER38" s="58" t="str">
        <f>IF(OR($AV$6="O1",$AV$6="O2",$AV$6="O3"),Sorts!P109,IF(OR($BB$6="O1",$BB$6="O2"),Sorts!P171,""))</f>
        <v>X</v>
      </c>
      <c r="ES38" s="60"/>
      <c r="EU38" s="56">
        <v>1</v>
      </c>
      <c r="EV38" s="754" t="str">
        <f>IF($AV$4="O",Sorts!AC4,IF($BB$4="O",Sorts!AC28,""))</f>
        <v/>
      </c>
      <c r="EW38" s="754"/>
      <c r="EX38" s="754"/>
      <c r="EY38" s="754"/>
      <c r="EZ38" s="754"/>
      <c r="FA38" s="754"/>
      <c r="FB38" s="754"/>
      <c r="FC38" s="754"/>
      <c r="FD38" s="754"/>
      <c r="FE38" s="754"/>
      <c r="FF38" s="754"/>
      <c r="FG38" s="754"/>
      <c r="FH38" s="755"/>
      <c r="FI38" s="756">
        <v>0</v>
      </c>
      <c r="FJ38" s="747"/>
      <c r="FK38" s="748" t="str">
        <f>IF($AV$4="O",Sorts!AD4,IF($BB$4="O",Sorts!AD28,""))</f>
        <v/>
      </c>
      <c r="FL38" s="748"/>
      <c r="FM38" s="748"/>
      <c r="FN38" s="748" t="str">
        <f>IF($AV$4="O",Sorts!AE4,IF($BB$4="O",Sorts!AE28,""))</f>
        <v/>
      </c>
      <c r="FO38" s="748"/>
      <c r="FP38" s="748"/>
      <c r="FQ38" s="57" t="str">
        <f>IF($AV$4="O",Sorts!AF4,IF($BB$4="O",Sorts!AF28,""))</f>
        <v/>
      </c>
      <c r="FR38" s="57" t="str">
        <f>IF($AV$4="O",Sorts!AG4,IF($BB$4="O",Sorts!AG28,""))</f>
        <v/>
      </c>
      <c r="FS38" s="58" t="str">
        <f>IF($AV$4="O",Sorts!AH4,IF($BB$4="O",Sorts!AH28,""))</f>
        <v/>
      </c>
      <c r="FT38" s="57"/>
      <c r="FU38" s="757" t="s">
        <v>1204</v>
      </c>
      <c r="FV38" s="747"/>
      <c r="FW38" s="57">
        <v>1</v>
      </c>
      <c r="FX38" s="758" t="str">
        <f>IF(OR($AV$6="O1",$AV$6="O2",$AV$6="O3"),Sorts!AC75,IF(OR($BB$6="O1",$BB$6="O2"),Sorts!AC137,""))</f>
        <v>Chien Fidèle de Mordenkainen</v>
      </c>
      <c r="FY38" s="744"/>
      <c r="FZ38" s="744"/>
      <c r="GA38" s="744"/>
      <c r="GB38" s="744"/>
      <c r="GC38" s="744"/>
      <c r="GD38" s="744"/>
      <c r="GE38" s="744"/>
      <c r="GF38" s="744"/>
      <c r="GG38" s="744"/>
      <c r="GH38" s="744"/>
      <c r="GI38" s="744"/>
      <c r="GJ38" s="744"/>
      <c r="GK38" s="744">
        <v>0</v>
      </c>
      <c r="GL38" s="745"/>
      <c r="GM38" s="746" t="str">
        <f>IF(OR($AV$6="O1",$AV$6="O2",$AV$6="O3"),Sorts!AD75,IF(OR($BB$6="O1",$BB$6="O2"),Sorts!AD137,""))</f>
        <v>1''</v>
      </c>
      <c r="GN38" s="747"/>
      <c r="GO38" s="748" t="str">
        <f>IF(OR($AV$6="O1",$AV$6="O2",$AV$6="O3"),Sorts!AE75,IF(OR($BB$6="O1",$BB$6="O2"),Sorts!AE137,""))</f>
        <v>2r/n</v>
      </c>
      <c r="GP38" s="748"/>
      <c r="GQ38" s="748"/>
      <c r="GR38" s="57" t="str">
        <f>IF(OR($AV$6="O1",$AV$6="O2",$AV$6="O3"),Sorts!AF75,IF(OR($BB$6="O1",$BB$6="O2"),Sorts!AF137,""))</f>
        <v>X</v>
      </c>
      <c r="GS38" s="57" t="str">
        <f>IF(OR($AV$6="O1",$AV$6="O2",$AV$6="O3"),Sorts!AG75,IF(OR($BB$6="O1",$BB$6="O2"),Sorts!AG137,""))</f>
        <v>X</v>
      </c>
      <c r="GT38" s="58" t="str">
        <f>IF(OR($AV$6="O1",$AV$6="O2",$AV$6="O3"),Sorts!AH75,IF(OR($BB$6="O1",$BB$6="O2"),Sorts!AH137,""))</f>
        <v>X</v>
      </c>
      <c r="GU38" s="60"/>
      <c r="GW38" s="56">
        <v>3</v>
      </c>
      <c r="GX38" s="754" t="str">
        <f>IF($AV$4="O",Sorts!AO6,IF($BB$4="O",Sorts!AO30,""))</f>
        <v/>
      </c>
      <c r="GY38" s="754"/>
      <c r="GZ38" s="754"/>
      <c r="HA38" s="754"/>
      <c r="HB38" s="754"/>
      <c r="HC38" s="754"/>
      <c r="HD38" s="754"/>
      <c r="HE38" s="754"/>
      <c r="HF38" s="754"/>
      <c r="HG38" s="754"/>
      <c r="HH38" s="754"/>
      <c r="HI38" s="754"/>
      <c r="HJ38" s="755"/>
      <c r="HK38" s="756">
        <v>0</v>
      </c>
      <c r="HL38" s="747"/>
      <c r="HM38" s="748" t="str">
        <f>IF($AV$4="O",Sorts!AP6,IF($BB$4="O",Sorts!AP30,""))</f>
        <v/>
      </c>
      <c r="HN38" s="748"/>
      <c r="HO38" s="748"/>
      <c r="HP38" s="748" t="str">
        <f>IF($AV$4="O",Sorts!AQ6,IF($BB$4="O",Sorts!AQ30,""))</f>
        <v/>
      </c>
      <c r="HQ38" s="748"/>
      <c r="HR38" s="748"/>
      <c r="HS38" s="57" t="str">
        <f>IF($AV$4="O",Sorts!AR6,IF($BB$4="O",Sorts!AR30,""))</f>
        <v/>
      </c>
      <c r="HT38" s="57" t="str">
        <f>IF($AV$4="O",Sorts!AS6,IF($BB$4="O",Sorts!AS30,""))</f>
        <v/>
      </c>
      <c r="HU38" s="58" t="str">
        <f>IF($AV$4="O",Sorts!AT6,IF($BB$4="O",Sorts!AT30,""))</f>
        <v/>
      </c>
      <c r="HV38" s="57"/>
      <c r="HW38" s="757" t="s">
        <v>1204</v>
      </c>
      <c r="HX38" s="747"/>
      <c r="HY38" s="57">
        <v>3</v>
      </c>
      <c r="HZ38" s="758" t="str">
        <f>IF(OR($AV$6="O1",$AV$6="O2",$AV$6="O3"),Sorts!AO77,IF(OR($BB$6="O1",$BB$6="O2"),Sorts!AO139,""))</f>
        <v>Cacodémon</v>
      </c>
      <c r="IA38" s="744"/>
      <c r="IB38" s="744"/>
      <c r="IC38" s="744"/>
      <c r="ID38" s="744"/>
      <c r="IE38" s="744"/>
      <c r="IF38" s="744"/>
      <c r="IG38" s="744"/>
      <c r="IH38" s="744"/>
      <c r="II38" s="744"/>
      <c r="IJ38" s="744"/>
      <c r="IK38" s="744"/>
      <c r="IL38" s="744"/>
      <c r="IM38" s="744">
        <v>0</v>
      </c>
      <c r="IN38" s="745"/>
      <c r="IO38" s="746" t="str">
        <f>IF(OR($AV$6="O1",$AV$6="O2",$AV$6="O3"),Sorts!AP77,IF(OR($BB$6="O1",$BB$6="O2"),Sorts!AP139,""))</f>
        <v>1''</v>
      </c>
      <c r="IP38" s="747"/>
      <c r="IQ38" s="748" t="str">
        <f>IF(OR($AV$6="O1",$AV$6="O2",$AV$6="O3"),Sorts!AQ77,IF(OR($BB$6="O1",$BB$6="O2"),Sorts!AQ139,""))</f>
        <v>S</v>
      </c>
      <c r="IR38" s="748"/>
      <c r="IS38" s="748"/>
      <c r="IT38" s="57" t="str">
        <f>IF(OR($AV$6="O1",$AV$6="O2",$AV$6="O3"),Sorts!AR77,IF(OR($BB$6="O1",$BB$6="O2"),Sorts!AR139,""))</f>
        <v>X</v>
      </c>
      <c r="IU38" s="57" t="str">
        <f>IF(OR($AV$6="O1",$AV$6="O2",$AV$6="O3"),Sorts!AS77,IF(OR($BB$6="O1",$BB$6="O2"),Sorts!AS139,""))</f>
        <v>X</v>
      </c>
      <c r="IV38" s="58" t="str">
        <f>IF(OR($AV$6="O1",$AV$6="O2",$AV$6="O3"),Sorts!AT77,IF(OR($BB$6="O1",$BB$6="O2"),Sorts!AT139,""))</f>
        <v>X</v>
      </c>
      <c r="IW38" s="60"/>
      <c r="IY38" s="384"/>
      <c r="IZ38" s="762"/>
      <c r="JA38" s="762"/>
      <c r="JB38" s="762"/>
      <c r="JC38" s="762"/>
      <c r="JD38" s="762"/>
      <c r="JE38" s="762"/>
      <c r="JF38" s="762"/>
      <c r="JG38" s="762"/>
      <c r="JH38" s="762"/>
      <c r="JI38" s="762"/>
      <c r="JJ38" s="762"/>
      <c r="JK38" s="762"/>
      <c r="JL38" s="763"/>
      <c r="JM38" s="759"/>
      <c r="JN38" s="760"/>
      <c r="JO38" s="761"/>
      <c r="JP38" s="761"/>
      <c r="JQ38" s="761"/>
      <c r="JR38" s="761"/>
      <c r="JS38" s="761"/>
      <c r="JT38" s="761"/>
      <c r="JU38" s="385"/>
      <c r="JV38" s="385"/>
      <c r="JW38" s="386"/>
      <c r="JX38" s="385"/>
      <c r="JY38" s="757" t="s">
        <v>1204</v>
      </c>
      <c r="JZ38" s="747"/>
      <c r="KA38" s="57">
        <v>3</v>
      </c>
      <c r="KB38" s="758" t="str">
        <f>IF(OR($AV$6="O1",$AV$6="O2",$AV$6="O3"),Sorts!BA77,IF(OR($BB$6="O1",$BB$6="O2"),Sorts!BA139,""))</f>
        <v>Asile</v>
      </c>
      <c r="KC38" s="744"/>
      <c r="KD38" s="744"/>
      <c r="KE38" s="744"/>
      <c r="KF38" s="744"/>
      <c r="KG38" s="744"/>
      <c r="KH38" s="744"/>
      <c r="KI38" s="744"/>
      <c r="KJ38" s="744"/>
      <c r="KK38" s="744"/>
      <c r="KL38" s="744"/>
      <c r="KM38" s="744"/>
      <c r="KN38" s="744"/>
      <c r="KO38" s="744">
        <v>0</v>
      </c>
      <c r="KP38" s="745"/>
      <c r="KQ38" s="746" t="str">
        <f>IF(OR($AV$6="O1",$AV$6="O2",$AV$6="O3"),Sorts!BB77,IF(OR($BB$6="O1",$BB$6="O2"),Sorts!BB139,""))</f>
        <v>T</v>
      </c>
      <c r="KR38" s="747"/>
      <c r="KS38" s="748" t="str">
        <f>IF(OR($AV$6="O1",$AV$6="O2",$AV$6="O3"),Sorts!BC77,IF(OR($BB$6="O1",$BB$6="O2"),Sorts!BC139,""))</f>
        <v>S</v>
      </c>
      <c r="KT38" s="748"/>
      <c r="KU38" s="748"/>
      <c r="KV38" s="57" t="str">
        <f>IF(OR($AV$6="O1",$AV$6="O2",$AV$6="O3"),Sorts!BD77,IF(OR($BB$6="O1",$BB$6="O2"),Sorts!BD139,""))</f>
        <v>X</v>
      </c>
      <c r="KW38" s="57" t="str">
        <f>IF(OR($AV$6="O1",$AV$6="O2",$AV$6="O3"),Sorts!BE77,IF(OR($BB$6="O1",$BB$6="O2"),Sorts!BE139,""))</f>
        <v>X</v>
      </c>
      <c r="KX38" s="58" t="str">
        <f>IF(OR($AV$6="O1",$AV$6="O2",$AV$6="O3"),Sorts!BF77,IF(OR($BB$6="O1",$BB$6="O2"),Sorts!BF139,""))</f>
        <v>X</v>
      </c>
    </row>
    <row r="39" spans="2:310" ht="18" customHeight="1" thickBot="1" x14ac:dyDescent="0.3">
      <c r="B39" s="673" t="s">
        <v>22</v>
      </c>
      <c r="C39" s="660"/>
      <c r="D39" s="786">
        <f>+$U$17</f>
        <v>-3</v>
      </c>
      <c r="E39" s="787"/>
      <c r="G39" s="17"/>
      <c r="H39" s="18"/>
      <c r="I39" s="786">
        <f>IF(N26&lt;0,(MIN(L26+N26,L30)),(MIN(L26+N26,L30))+N32)+N34+N36</f>
        <v>2</v>
      </c>
      <c r="J39" s="787"/>
      <c r="K39" s="75"/>
      <c r="M39" s="786">
        <f>IF(N26&lt;0,(MIN(L26+N26,L30)),(MIN(L26+N26,L30))+N32)+L28+N28+N34+N36+D39</f>
        <v>-3</v>
      </c>
      <c r="N39" s="790"/>
      <c r="O39" s="787"/>
      <c r="P39" s="69"/>
      <c r="R39" s="4" t="s">
        <v>1224</v>
      </c>
      <c r="U39" s="610" t="str" cm="1">
        <f t="array" ref="U39">IF($U$36="non","/",INDEX(Niveau!$B$893:$Q$906,MATCH('Joueur 1'!$R$39,Niveau!$B$893:$B$906,0),NivC1+1))</f>
        <v>/</v>
      </c>
      <c r="V39" s="610"/>
      <c r="X39" s="7" t="s">
        <v>1227</v>
      </c>
      <c r="AA39" s="610" t="str" cm="1">
        <f t="array" ref="AA39">IF($U$36="non","/",INDEX(Niveau!$B$893:$Q$906,MATCH('Joueur 1'!$X$39,Niveau!$B$893:$B$906,0),NivC1+1))</f>
        <v>/</v>
      </c>
      <c r="AB39" s="610"/>
      <c r="AD39" s="7" t="s">
        <v>1219</v>
      </c>
      <c r="AH39" s="610" t="str" cm="1">
        <f t="array" ref="AH39">IF($U$36="non","/",INDEX(Niveau!$B$893:$Q$906,MATCH('Joueur 1'!$AD$39,Niveau!$B$893:$B$906,0),NivC1+1))</f>
        <v>/</v>
      </c>
      <c r="AI39" s="610"/>
      <c r="AJ39" s="7" t="s">
        <v>1231</v>
      </c>
      <c r="AN39" s="610" t="str" cm="1">
        <f t="array" ref="AN39">IF($U$36="non","/",INDEX(Niveau!$B$893:$Q$906,MATCH('Joueur 1'!$AJ$39,Niveau!$B$893:$B$906,0),NivC1+1))</f>
        <v>/</v>
      </c>
      <c r="AO39" s="792"/>
      <c r="AQ39" s="56">
        <v>30</v>
      </c>
      <c r="AR39" s="754"/>
      <c r="AS39" s="754"/>
      <c r="AT39" s="754"/>
      <c r="AU39" s="754"/>
      <c r="AV39" s="754"/>
      <c r="AW39" s="754"/>
      <c r="AX39" s="754"/>
      <c r="AY39" s="754"/>
      <c r="AZ39" s="754"/>
      <c r="BA39" s="754"/>
      <c r="BB39" s="754"/>
      <c r="BC39" s="754"/>
      <c r="BD39" s="755"/>
      <c r="BE39" s="756">
        <v>0</v>
      </c>
      <c r="BF39" s="754"/>
      <c r="BG39" s="748"/>
      <c r="BH39" s="748"/>
      <c r="BI39" s="748"/>
      <c r="BJ39" s="748"/>
      <c r="BK39" s="748"/>
      <c r="BL39" s="748"/>
      <c r="BM39" s="57"/>
      <c r="BN39" s="57"/>
      <c r="BO39" s="369"/>
      <c r="BP39" s="366"/>
      <c r="BQ39" s="757" t="s">
        <v>1204</v>
      </c>
      <c r="BR39" s="747"/>
      <c r="BS39" s="57">
        <v>30</v>
      </c>
      <c r="BT39" s="758" t="str">
        <f>IF(OR($AV$6="O1",$AV$6="O2",$AV$6="O3"),Sorts!E104,IF(OR($BB$6="O1",$BB$6="O2"),Sorts!E166,""))</f>
        <v>Moquerie</v>
      </c>
      <c r="BU39" s="744"/>
      <c r="BV39" s="744"/>
      <c r="BW39" s="744"/>
      <c r="BX39" s="744"/>
      <c r="BY39" s="744"/>
      <c r="BZ39" s="744"/>
      <c r="CA39" s="744"/>
      <c r="CB39" s="744"/>
      <c r="CC39" s="744"/>
      <c r="CD39" s="744"/>
      <c r="CE39" s="744"/>
      <c r="CF39" s="744"/>
      <c r="CG39" s="744">
        <v>0</v>
      </c>
      <c r="CH39" s="745"/>
      <c r="CI39" s="746" t="str">
        <f>IF(OR($AV$6="O1",$AV$6="O2",$AV$6="O3"),Sorts!F104,IF(OR($BB$6="O1",$BB$6="O2"),Sorts!F166,""))</f>
        <v>3’’</v>
      </c>
      <c r="CJ39" s="747"/>
      <c r="CK39" s="748" t="str">
        <f>IF(OR($AV$6="O1",$AV$6="O2",$AV$6="O3"),Sorts!G104,IF(OR($BB$6="O1",$BB$6="O2"),Sorts!G166,""))</f>
        <v>Inst</v>
      </c>
      <c r="CL39" s="748"/>
      <c r="CM39" s="748"/>
      <c r="CN39" s="57" t="str">
        <f>IF(OR($AV$6="O1",$AV$6="O2",$AV$6="O3"),Sorts!H104,IF(OR($BB$6="O1",$BB$6="O2"),Sorts!H166,""))</f>
        <v>X</v>
      </c>
      <c r="CO39" s="57" t="str">
        <f>IF(OR($AV$6="O1",$AV$6="O2",$AV$6="O3"),Sorts!I104,IF(OR($BB$6="O1",$BB$6="O2"),Sorts!I166,""))</f>
        <v>X</v>
      </c>
      <c r="CP39" s="58" t="str">
        <f>IF(OR($AV$6="O1",$AV$6="O2",$AV$6="O3"),Sorts!J104,IF(OR($BB$6="O1",$BB$6="O2"),Sorts!J166,""))</f>
        <v>/</v>
      </c>
      <c r="CQ39" s="60"/>
      <c r="CS39" s="56">
        <v>36</v>
      </c>
      <c r="CT39" s="754"/>
      <c r="CU39" s="754"/>
      <c r="CV39" s="754"/>
      <c r="CW39" s="754"/>
      <c r="CX39" s="754"/>
      <c r="CY39" s="754"/>
      <c r="CZ39" s="754"/>
      <c r="DA39" s="754"/>
      <c r="DB39" s="754"/>
      <c r="DC39" s="754"/>
      <c r="DD39" s="754"/>
      <c r="DE39" s="754"/>
      <c r="DF39" s="755"/>
      <c r="DG39" s="756"/>
      <c r="DH39" s="747"/>
      <c r="DI39" s="748"/>
      <c r="DJ39" s="748"/>
      <c r="DK39" s="748"/>
      <c r="DL39" s="748"/>
      <c r="DM39" s="748"/>
      <c r="DN39" s="748"/>
      <c r="DO39" s="57"/>
      <c r="DP39" s="57"/>
      <c r="DQ39" s="58"/>
      <c r="DR39" s="57"/>
      <c r="DS39" s="757" t="s">
        <v>1204</v>
      </c>
      <c r="DT39" s="747"/>
      <c r="DU39" s="57">
        <v>36</v>
      </c>
      <c r="DV39" s="758" t="str">
        <f>IF(OR($AV$6="O1",$AV$6="O2",$AV$6="O3"),Sorts!K110,IF(OR($BB$6="O1",$BB$6="O2"),Sorts!K172,""))</f>
        <v>Zéphyr</v>
      </c>
      <c r="DW39" s="744"/>
      <c r="DX39" s="744"/>
      <c r="DY39" s="744"/>
      <c r="DZ39" s="744"/>
      <c r="EA39" s="744"/>
      <c r="EB39" s="744"/>
      <c r="EC39" s="744"/>
      <c r="ED39" s="744"/>
      <c r="EE39" s="744"/>
      <c r="EF39" s="744"/>
      <c r="EG39" s="744"/>
      <c r="EH39" s="744"/>
      <c r="EI39" s="744">
        <v>0</v>
      </c>
      <c r="EJ39" s="745"/>
      <c r="EK39" s="746">
        <f>IF(OR($AV$6="O1",$AV$6="O2",$AV$6="O3"),Sorts!L110,IF(OR($BB$6="O1",$BB$6="O2"),Sorts!L172,""))</f>
        <v>0</v>
      </c>
      <c r="EL39" s="747"/>
      <c r="EM39" s="748" t="str">
        <f>IF(OR($AV$6="O1",$AV$6="O2",$AV$6="O3"),Sorts!M110,IF(OR($BB$6="O1",$BB$6="O2"),Sorts!M172,""))</f>
        <v>1s</v>
      </c>
      <c r="EN39" s="748"/>
      <c r="EO39" s="748"/>
      <c r="EP39" s="57" t="str">
        <f>IF(OR($AV$6="O1",$AV$6="O2",$AV$6="O3"),Sorts!N110,IF(OR($BB$6="O1",$BB$6="O2"),Sorts!N172,""))</f>
        <v>X</v>
      </c>
      <c r="EQ39" s="57" t="str">
        <f>IF(OR($AV$6="O1",$AV$6="O2",$AV$6="O3"),Sorts!O110,IF(OR($BB$6="O1",$BB$6="O2"),Sorts!O172,""))</f>
        <v>X</v>
      </c>
      <c r="ER39" s="58" t="str">
        <f>IF(OR($AV$6="O1",$AV$6="O2",$AV$6="O3"),Sorts!P110,IF(OR($BB$6="O1",$BB$6="O2"),Sorts!P172,""))</f>
        <v>X</v>
      </c>
      <c r="ES39" s="60"/>
      <c r="EU39" s="56">
        <v>2</v>
      </c>
      <c r="EV39" s="754" t="str">
        <f>IF($AV$4="O",Sorts!AC5,IF($BB$4="O",Sorts!AC29,""))</f>
        <v/>
      </c>
      <c r="EW39" s="754"/>
      <c r="EX39" s="754"/>
      <c r="EY39" s="754"/>
      <c r="EZ39" s="754"/>
      <c r="FA39" s="754"/>
      <c r="FB39" s="754"/>
      <c r="FC39" s="754"/>
      <c r="FD39" s="754"/>
      <c r="FE39" s="754"/>
      <c r="FF39" s="754"/>
      <c r="FG39" s="754"/>
      <c r="FH39" s="755"/>
      <c r="FI39" s="756">
        <v>0</v>
      </c>
      <c r="FJ39" s="747"/>
      <c r="FK39" s="748" t="str">
        <f>IF($AV$4="O",Sorts!AD5,IF($BB$4="O",Sorts!AD29,""))</f>
        <v/>
      </c>
      <c r="FL39" s="748"/>
      <c r="FM39" s="748"/>
      <c r="FN39" s="748" t="str">
        <f>IF($AV$4="O",Sorts!AE5,IF($BB$4="O",Sorts!AE29,""))</f>
        <v/>
      </c>
      <c r="FO39" s="748"/>
      <c r="FP39" s="748"/>
      <c r="FQ39" s="57" t="str">
        <f>IF($AV$4="O",Sorts!AF5,IF($BB$4="O",Sorts!AF29,""))</f>
        <v/>
      </c>
      <c r="FR39" s="57" t="str">
        <f>IF($AV$4="O",Sorts!AG5,IF($BB$4="O",Sorts!AG29,""))</f>
        <v/>
      </c>
      <c r="FS39" s="58" t="str">
        <f>IF($AV$4="O",Sorts!AH5,IF($BB$4="O",Sorts!AH29,""))</f>
        <v/>
      </c>
      <c r="FT39" s="57"/>
      <c r="FU39" s="757" t="s">
        <v>1204</v>
      </c>
      <c r="FV39" s="747"/>
      <c r="FW39" s="57">
        <v>2</v>
      </c>
      <c r="FX39" s="758" t="str">
        <f>IF(OR($AV$6="O1",$AV$6="O2",$AV$6="O3"),Sorts!AC76,IF(OR($BB$6="O1",$BB$6="O2"),Sorts!AC138,""))</f>
        <v>Coffre Secret de Léomund</v>
      </c>
      <c r="FY39" s="744"/>
      <c r="FZ39" s="744"/>
      <c r="GA39" s="744"/>
      <c r="GB39" s="744"/>
      <c r="GC39" s="744"/>
      <c r="GD39" s="744"/>
      <c r="GE39" s="744"/>
      <c r="GF39" s="744"/>
      <c r="GG39" s="744"/>
      <c r="GH39" s="744"/>
      <c r="GI39" s="744"/>
      <c r="GJ39" s="744"/>
      <c r="GK39" s="744">
        <v>0</v>
      </c>
      <c r="GL39" s="745"/>
      <c r="GM39" s="746" t="str">
        <f>IF(OR($AV$6="O1",$AV$6="O2",$AV$6="O3"),Sorts!AD76,IF(OR($BB$6="O1",$BB$6="O2"),Sorts!AD138,""))</f>
        <v>S</v>
      </c>
      <c r="GN39" s="747"/>
      <c r="GO39" s="748" t="str">
        <f>IF(OR($AV$6="O1",$AV$6="O2",$AV$6="O3"),Sorts!AE76,IF(OR($BB$6="O1",$BB$6="O2"),Sorts!AE138,""))</f>
        <v>60j</v>
      </c>
      <c r="GP39" s="748"/>
      <c r="GQ39" s="748"/>
      <c r="GR39" s="57" t="str">
        <f>IF(OR($AV$6="O1",$AV$6="O2",$AV$6="O3"),Sorts!AF76,IF(OR($BB$6="O1",$BB$6="O2"),Sorts!AF138,""))</f>
        <v>X</v>
      </c>
      <c r="GS39" s="57" t="str">
        <f>IF(OR($AV$6="O1",$AV$6="O2",$AV$6="O3"),Sorts!AG76,IF(OR($BB$6="O1",$BB$6="O2"),Sorts!AG138,""))</f>
        <v>X</v>
      </c>
      <c r="GT39" s="58" t="str">
        <f>IF(OR($AV$6="O1",$AV$6="O2",$AV$6="O3"),Sorts!AH76,IF(OR($BB$6="O1",$BB$6="O2"),Sorts!AH138,""))</f>
        <v>X</v>
      </c>
      <c r="GU39" s="60"/>
      <c r="GW39" s="56">
        <v>4</v>
      </c>
      <c r="GX39" s="754" t="str">
        <f>IF($AV$4="O",Sorts!AO7,IF($BB$4="O",Sorts!AO31,""))</f>
        <v/>
      </c>
      <c r="GY39" s="754"/>
      <c r="GZ39" s="754"/>
      <c r="HA39" s="754"/>
      <c r="HB39" s="754"/>
      <c r="HC39" s="754"/>
      <c r="HD39" s="754"/>
      <c r="HE39" s="754"/>
      <c r="HF39" s="754"/>
      <c r="HG39" s="754"/>
      <c r="HH39" s="754"/>
      <c r="HI39" s="754"/>
      <c r="HJ39" s="755"/>
      <c r="HK39" s="756">
        <v>0</v>
      </c>
      <c r="HL39" s="747"/>
      <c r="HM39" s="748" t="str">
        <f>IF($AV$4="O",Sorts!AP7,IF($BB$4="O",Sorts!AP31,""))</f>
        <v/>
      </c>
      <c r="HN39" s="748"/>
      <c r="HO39" s="748"/>
      <c r="HP39" s="748" t="str">
        <f>IF($AV$4="O",Sorts!AQ7,IF($BB$4="O",Sorts!AQ31,""))</f>
        <v/>
      </c>
      <c r="HQ39" s="748"/>
      <c r="HR39" s="748"/>
      <c r="HS39" s="57" t="str">
        <f>IF($AV$4="O",Sorts!AR7,IF($BB$4="O",Sorts!AR31,""))</f>
        <v/>
      </c>
      <c r="HT39" s="57" t="str">
        <f>IF($AV$4="O",Sorts!AS7,IF($BB$4="O",Sorts!AS31,""))</f>
        <v/>
      </c>
      <c r="HU39" s="58" t="str">
        <f>IF($AV$4="O",Sorts!AT7,IF($BB$4="O",Sorts!AT31,""))</f>
        <v/>
      </c>
      <c r="HV39" s="57"/>
      <c r="HW39" s="757" t="s">
        <v>1204</v>
      </c>
      <c r="HX39" s="747"/>
      <c r="HY39" s="57">
        <v>4</v>
      </c>
      <c r="HZ39" s="758" t="str">
        <f>IF(OR($AV$6="O1",$AV$6="O2",$AV$6="O3"),Sorts!AO78,IF(OR($BB$6="O1",$BB$6="O2"),Sorts!AO140,""))</f>
        <v>Cage de Force</v>
      </c>
      <c r="IA39" s="744"/>
      <c r="IB39" s="744"/>
      <c r="IC39" s="744"/>
      <c r="ID39" s="744"/>
      <c r="IE39" s="744"/>
      <c r="IF39" s="744"/>
      <c r="IG39" s="744"/>
      <c r="IH39" s="744"/>
      <c r="II39" s="744"/>
      <c r="IJ39" s="744"/>
      <c r="IK39" s="744"/>
      <c r="IL39" s="744"/>
      <c r="IM39" s="744">
        <v>0</v>
      </c>
      <c r="IN39" s="745"/>
      <c r="IO39" s="746" t="str">
        <f>IF(OR($AV$6="O1",$AV$6="O2",$AV$6="O3"),Sorts!AP78,IF(OR($BB$6="O1",$BB$6="O2"),Sorts!AP140,""))</f>
        <v>1''/2n</v>
      </c>
      <c r="IP39" s="747"/>
      <c r="IQ39" s="748" t="str">
        <f>IF(OR($AV$6="O1",$AV$6="O2",$AV$6="O3"),Sorts!AQ78,IF(OR($BB$6="O1",$BB$6="O2"),Sorts!AQ140,""))</f>
        <v>6t+1/n</v>
      </c>
      <c r="IR39" s="748"/>
      <c r="IS39" s="748"/>
      <c r="IT39" s="57" t="str">
        <f>IF(OR($AV$6="O1",$AV$6="O2",$AV$6="O3"),Sorts!AR78,IF(OR($BB$6="O1",$BB$6="O2"),Sorts!AR140,""))</f>
        <v>X</v>
      </c>
      <c r="IU39" s="57" t="str">
        <f>IF(OR($AV$6="O1",$AV$6="O2",$AV$6="O3"),Sorts!AS78,IF(OR($BB$6="O1",$BB$6="O2"),Sorts!AS140,""))</f>
        <v>X</v>
      </c>
      <c r="IV39" s="58" t="str">
        <f>IF(OR($AV$6="O1",$AV$6="O2",$AV$6="O3"),Sorts!AT78,IF(OR($BB$6="O1",$BB$6="O2"),Sorts!AT140,""))</f>
        <v>/</v>
      </c>
      <c r="IW39" s="60"/>
      <c r="IY39" s="384"/>
      <c r="IZ39" s="762"/>
      <c r="JA39" s="762"/>
      <c r="JB39" s="762"/>
      <c r="JC39" s="762"/>
      <c r="JD39" s="762"/>
      <c r="JE39" s="762"/>
      <c r="JF39" s="762"/>
      <c r="JG39" s="762"/>
      <c r="JH39" s="762"/>
      <c r="JI39" s="762"/>
      <c r="JJ39" s="762"/>
      <c r="JK39" s="762"/>
      <c r="JL39" s="763"/>
      <c r="JM39" s="759"/>
      <c r="JN39" s="760"/>
      <c r="JO39" s="761"/>
      <c r="JP39" s="761"/>
      <c r="JQ39" s="761"/>
      <c r="JR39" s="761"/>
      <c r="JS39" s="761"/>
      <c r="JT39" s="761"/>
      <c r="JU39" s="385"/>
      <c r="JV39" s="385"/>
      <c r="JW39" s="386"/>
      <c r="JX39" s="385"/>
      <c r="JY39" s="757" t="s">
        <v>1204</v>
      </c>
      <c r="JZ39" s="747"/>
      <c r="KA39" s="57">
        <v>4</v>
      </c>
      <c r="KB39" s="758" t="str">
        <f>IF(OR($AV$6="O1",$AV$6="O2",$AV$6="O3"),Sorts!BA78,IF(OR($BB$6="O1",$BB$6="O2"),Sorts!BA140,""))</f>
        <v>Disjonction de Mordenkainen</v>
      </c>
      <c r="KC39" s="744"/>
      <c r="KD39" s="744"/>
      <c r="KE39" s="744"/>
      <c r="KF39" s="744"/>
      <c r="KG39" s="744"/>
      <c r="KH39" s="744"/>
      <c r="KI39" s="744"/>
      <c r="KJ39" s="744"/>
      <c r="KK39" s="744"/>
      <c r="KL39" s="744"/>
      <c r="KM39" s="744"/>
      <c r="KN39" s="744"/>
      <c r="KO39" s="744">
        <v>0</v>
      </c>
      <c r="KP39" s="745"/>
      <c r="KQ39" s="746">
        <f>IF(OR($AV$6="O1",$AV$6="O2",$AV$6="O3"),Sorts!BB78,IF(OR($BB$6="O1",$BB$6="O2"),Sorts!BB140,""))</f>
        <v>0</v>
      </c>
      <c r="KR39" s="747"/>
      <c r="KS39" s="748" t="str">
        <f>IF(OR($AV$6="O1",$AV$6="O2",$AV$6="O3"),Sorts!BC78,IF(OR($BB$6="O1",$BB$6="O2"),Sorts!BC140,""))</f>
        <v>P</v>
      </c>
      <c r="KT39" s="748"/>
      <c r="KU39" s="748"/>
      <c r="KV39" s="57" t="str">
        <f>IF(OR($AV$6="O1",$AV$6="O2",$AV$6="O3"),Sorts!BD78,IF(OR($BB$6="O1",$BB$6="O2"),Sorts!BD140,""))</f>
        <v>X</v>
      </c>
      <c r="KW39" s="57" t="str">
        <f>IF(OR($AV$6="O1",$AV$6="O2",$AV$6="O3"),Sorts!BE78,IF(OR($BB$6="O1",$BB$6="O2"),Sorts!BE140,""))</f>
        <v>/</v>
      </c>
      <c r="KX39" s="58" t="str">
        <f>IF(OR($AV$6="O1",$AV$6="O2",$AV$6="O3"),Sorts!BF78,IF(OR($BB$6="O1",$BB$6="O2"),Sorts!BF140,""))</f>
        <v>/</v>
      </c>
    </row>
    <row r="40" spans="2:310" ht="18" customHeight="1" thickTop="1" thickBot="1" x14ac:dyDescent="0.3">
      <c r="B40" s="784"/>
      <c r="C40" s="785"/>
      <c r="D40" s="788"/>
      <c r="E40" s="789"/>
      <c r="F40" s="24"/>
      <c r="G40" s="19"/>
      <c r="H40" s="20"/>
      <c r="I40" s="788"/>
      <c r="J40" s="789"/>
      <c r="K40" s="24"/>
      <c r="L40" s="24"/>
      <c r="M40" s="788"/>
      <c r="N40" s="791"/>
      <c r="O40" s="789"/>
      <c r="P40" s="72"/>
      <c r="R40" s="76" t="s">
        <v>1225</v>
      </c>
      <c r="S40" s="24"/>
      <c r="T40" s="24"/>
      <c r="U40" s="609" t="str" cm="1">
        <f t="array" ref="U40">IF($U$36="non","/",INDEX(Niveau!$B$893:$Q$906,MATCH('Joueur 1'!$R$40,Niveau!$B$893:$B$906,0),NivC1+1))</f>
        <v>/</v>
      </c>
      <c r="V40" s="609"/>
      <c r="W40" s="24"/>
      <c r="X40" s="24" t="s">
        <v>1228</v>
      </c>
      <c r="Y40" s="24"/>
      <c r="Z40" s="24"/>
      <c r="AA40" s="609" t="str" cm="1">
        <f t="array" ref="AA40">IF($U$36="non","/",INDEX(Niveau!$B$893:$Q$906,MATCH('Joueur 1'!$X$40,Niveau!$B$893:$B$906,0),NivC1+1))</f>
        <v>/</v>
      </c>
      <c r="AB40" s="609"/>
      <c r="AC40" s="24"/>
      <c r="AD40" s="24" t="s">
        <v>1229</v>
      </c>
      <c r="AE40" s="24"/>
      <c r="AF40" s="24"/>
      <c r="AG40" s="24"/>
      <c r="AH40" s="609" t="str" cm="1">
        <f t="array" ref="AH40">IF($U$36="non","/",INDEX(Niveau!$B$893:$Q$906,MATCH('Joueur 1'!$AD$40,Niveau!$B$893:$B$906,0),NivC1+1))</f>
        <v>/</v>
      </c>
      <c r="AI40" s="609"/>
      <c r="AJ40" s="24" t="s">
        <v>1622</v>
      </c>
      <c r="AK40" s="24"/>
      <c r="AL40" s="24"/>
      <c r="AM40" s="24"/>
      <c r="AN40" s="609" t="str" cm="1">
        <f t="array" ref="AN40">IF($U$36="non","/",INDEX(Niveau!$B$893:$Q$906,MATCH('Joueur 1'!$AJ$40,Niveau!$B$893:$B$906,0),NivC1+1))</f>
        <v>/</v>
      </c>
      <c r="AO40" s="783"/>
      <c r="AQ40" s="56">
        <v>31</v>
      </c>
      <c r="AR40" s="754"/>
      <c r="AS40" s="754"/>
      <c r="AT40" s="754"/>
      <c r="AU40" s="754"/>
      <c r="AV40" s="754"/>
      <c r="AW40" s="754"/>
      <c r="AX40" s="754"/>
      <c r="AY40" s="754"/>
      <c r="AZ40" s="754"/>
      <c r="BA40" s="754"/>
      <c r="BB40" s="754"/>
      <c r="BC40" s="754"/>
      <c r="BD40" s="755"/>
      <c r="BE40" s="756">
        <v>0</v>
      </c>
      <c r="BF40" s="754"/>
      <c r="BG40" s="748"/>
      <c r="BH40" s="748"/>
      <c r="BI40" s="748"/>
      <c r="BJ40" s="748"/>
      <c r="BK40" s="748"/>
      <c r="BL40" s="748"/>
      <c r="BM40" s="57"/>
      <c r="BN40" s="57"/>
      <c r="BO40" s="369"/>
      <c r="BP40" s="366"/>
      <c r="BQ40" s="757" t="s">
        <v>1204</v>
      </c>
      <c r="BR40" s="747"/>
      <c r="BS40" s="57">
        <v>31</v>
      </c>
      <c r="BT40" s="758" t="str">
        <f>IF(OR($AV$6="O1",$AV$6="O2",$AV$6="O3"),Sorts!E105,IF(OR($BB$6="O1",$BB$6="O2"),Sorts!E167,""))</f>
        <v>Pluie</v>
      </c>
      <c r="BU40" s="744"/>
      <c r="BV40" s="744"/>
      <c r="BW40" s="744"/>
      <c r="BX40" s="744"/>
      <c r="BY40" s="744"/>
      <c r="BZ40" s="744"/>
      <c r="CA40" s="744"/>
      <c r="CB40" s="744"/>
      <c r="CC40" s="744"/>
      <c r="CD40" s="744"/>
      <c r="CE40" s="744"/>
      <c r="CF40" s="744"/>
      <c r="CG40" s="744">
        <v>0</v>
      </c>
      <c r="CH40" s="745"/>
      <c r="CI40" s="746" t="str">
        <f>IF(OR($AV$6="O1",$AV$6="O2",$AV$6="O3"),Sorts!F105,IF(OR($BB$6="O1",$BB$6="O2"),Sorts!F167,""))</f>
        <v>1’’/n</v>
      </c>
      <c r="CJ40" s="747"/>
      <c r="CK40" s="748" t="str">
        <f>IF(OR($AV$6="O1",$AV$6="O2",$AV$6="O3"),Sorts!G105,IF(OR($BB$6="O1",$BB$6="O2"),Sorts!G167,""))</f>
        <v>1s/n</v>
      </c>
      <c r="CL40" s="748"/>
      <c r="CM40" s="748"/>
      <c r="CN40" s="57" t="str">
        <f>IF(OR($AV$6="O1",$AV$6="O2",$AV$6="O3"),Sorts!H105,IF(OR($BB$6="O1",$BB$6="O2"),Sorts!H167,""))</f>
        <v>X</v>
      </c>
      <c r="CO40" s="57" t="str">
        <f>IF(OR($AV$6="O1",$AV$6="O2",$AV$6="O3"),Sorts!I105,IF(OR($BB$6="O1",$BB$6="O2"),Sorts!I167,""))</f>
        <v>X</v>
      </c>
      <c r="CP40" s="58" t="str">
        <f>IF(OR($AV$6="O1",$AV$6="O2",$AV$6="O3"),Sorts!J105,IF(OR($BB$6="O1",$BB$6="O2"),Sorts!J167,""))</f>
        <v>X</v>
      </c>
      <c r="CQ40" s="60"/>
      <c r="CS40" s="780" t="s">
        <v>1209</v>
      </c>
      <c r="CT40" s="781"/>
      <c r="CU40" s="781"/>
      <c r="CV40" s="781"/>
      <c r="CW40" s="781"/>
      <c r="CX40" s="781"/>
      <c r="CY40" s="781"/>
      <c r="CZ40" s="781"/>
      <c r="DA40" s="781"/>
      <c r="DB40" s="781"/>
      <c r="DC40" s="781"/>
      <c r="DD40" s="781"/>
      <c r="DE40" s="781"/>
      <c r="DF40" s="781"/>
      <c r="DG40" s="781"/>
      <c r="DH40" s="781"/>
      <c r="DI40" s="781"/>
      <c r="DJ40" s="781"/>
      <c r="DK40" s="781"/>
      <c r="DL40" s="781"/>
      <c r="DM40" s="781"/>
      <c r="DN40" s="781"/>
      <c r="DO40" s="781"/>
      <c r="DP40" s="781"/>
      <c r="DQ40" s="781"/>
      <c r="DR40" s="781"/>
      <c r="DS40" s="781"/>
      <c r="DT40" s="781"/>
      <c r="DU40" s="781"/>
      <c r="DV40" s="781"/>
      <c r="DW40" s="781"/>
      <c r="DX40" s="781"/>
      <c r="DY40" s="781"/>
      <c r="DZ40" s="781"/>
      <c r="EA40" s="781"/>
      <c r="EB40" s="781"/>
      <c r="EC40" s="781"/>
      <c r="ED40" s="781"/>
      <c r="EE40" s="781"/>
      <c r="EF40" s="781"/>
      <c r="EG40" s="781"/>
      <c r="EH40" s="781"/>
      <c r="EI40" s="781"/>
      <c r="EJ40" s="781"/>
      <c r="EK40" s="781"/>
      <c r="EL40" s="781"/>
      <c r="EM40" s="781"/>
      <c r="EN40" s="781"/>
      <c r="EO40" s="781"/>
      <c r="EP40" s="781"/>
      <c r="EQ40" s="781"/>
      <c r="ER40" s="782"/>
      <c r="ES40" s="60"/>
      <c r="EU40" s="56">
        <v>3</v>
      </c>
      <c r="EV40" s="754" t="str">
        <f>IF($AV$4="O",Sorts!AC6,IF($BB$4="O",Sorts!AC30,""))</f>
        <v/>
      </c>
      <c r="EW40" s="754"/>
      <c r="EX40" s="754"/>
      <c r="EY40" s="754"/>
      <c r="EZ40" s="754"/>
      <c r="FA40" s="754"/>
      <c r="FB40" s="754"/>
      <c r="FC40" s="754"/>
      <c r="FD40" s="754"/>
      <c r="FE40" s="754"/>
      <c r="FF40" s="754"/>
      <c r="FG40" s="754"/>
      <c r="FH40" s="755"/>
      <c r="FI40" s="756">
        <v>0</v>
      </c>
      <c r="FJ40" s="747"/>
      <c r="FK40" s="748" t="str">
        <f>IF($AV$4="O",Sorts!AD6,IF($BB$4="O",Sorts!AD30,""))</f>
        <v/>
      </c>
      <c r="FL40" s="748"/>
      <c r="FM40" s="748"/>
      <c r="FN40" s="748" t="str">
        <f>IF($AV$4="O",Sorts!AE6,IF($BB$4="O",Sorts!AE30,""))</f>
        <v/>
      </c>
      <c r="FO40" s="748"/>
      <c r="FP40" s="748"/>
      <c r="FQ40" s="57" t="str">
        <f>IF($AV$4="O",Sorts!AF6,IF($BB$4="O",Sorts!AF30,""))</f>
        <v/>
      </c>
      <c r="FR40" s="57" t="str">
        <f>IF($AV$4="O",Sorts!AG6,IF($BB$4="O",Sorts!AG30,""))</f>
        <v/>
      </c>
      <c r="FS40" s="58" t="str">
        <f>IF($AV$4="O",Sorts!AH6,IF($BB$4="O",Sorts!AH30,""))</f>
        <v/>
      </c>
      <c r="FT40" s="57"/>
      <c r="FU40" s="757" t="s">
        <v>1204</v>
      </c>
      <c r="FV40" s="747"/>
      <c r="FW40" s="57">
        <v>3</v>
      </c>
      <c r="FX40" s="758" t="str">
        <f>IF(OR($AV$6="O1",$AV$6="O2",$AV$6="O3"),Sorts!AC77,IF(OR($BB$6="O1",$BB$6="O2"),Sorts!AC139,""))</f>
        <v>Cône de Froid</v>
      </c>
      <c r="FY40" s="744"/>
      <c r="FZ40" s="744"/>
      <c r="GA40" s="744"/>
      <c r="GB40" s="744"/>
      <c r="GC40" s="744"/>
      <c r="GD40" s="744"/>
      <c r="GE40" s="744"/>
      <c r="GF40" s="744"/>
      <c r="GG40" s="744"/>
      <c r="GH40" s="744"/>
      <c r="GI40" s="744"/>
      <c r="GJ40" s="744"/>
      <c r="GK40" s="744">
        <v>0</v>
      </c>
      <c r="GL40" s="745"/>
      <c r="GM40" s="746">
        <f>IF(OR($AV$6="O1",$AV$6="O2",$AV$6="O3"),Sorts!AD77,IF(OR($BB$6="O1",$BB$6="O2"),Sorts!AD139,""))</f>
        <v>0</v>
      </c>
      <c r="GN40" s="747"/>
      <c r="GO40" s="748" t="str">
        <f>IF(OR($AV$6="O1",$AV$6="O2",$AV$6="O3"),Sorts!AE77,IF(OR($BB$6="O1",$BB$6="O2"),Sorts!AE139,""))</f>
        <v>I</v>
      </c>
      <c r="GP40" s="748"/>
      <c r="GQ40" s="748"/>
      <c r="GR40" s="57" t="str">
        <f>IF(OR($AV$6="O1",$AV$6="O2",$AV$6="O3"),Sorts!AF77,IF(OR($BB$6="O1",$BB$6="O2"),Sorts!AF139,""))</f>
        <v>X</v>
      </c>
      <c r="GS40" s="57" t="str">
        <f>IF(OR($AV$6="O1",$AV$6="O2",$AV$6="O3"),Sorts!AG77,IF(OR($BB$6="O1",$BB$6="O2"),Sorts!AG139,""))</f>
        <v>X</v>
      </c>
      <c r="GT40" s="58" t="str">
        <f>IF(OR($AV$6="O1",$AV$6="O2",$AV$6="O3"),Sorts!AH77,IF(OR($BB$6="O1",$BB$6="O2"),Sorts!AH139,""))</f>
        <v>X</v>
      </c>
      <c r="GU40" s="60"/>
      <c r="GW40" s="56">
        <v>5</v>
      </c>
      <c r="GX40" s="754" t="str">
        <f>IF($AV$4="O",Sorts!AO8,IF($BB$4="O",Sorts!AO32,""))</f>
        <v/>
      </c>
      <c r="GY40" s="754"/>
      <c r="GZ40" s="754"/>
      <c r="HA40" s="754"/>
      <c r="HB40" s="754"/>
      <c r="HC40" s="754"/>
      <c r="HD40" s="754"/>
      <c r="HE40" s="754"/>
      <c r="HF40" s="754"/>
      <c r="HG40" s="754"/>
      <c r="HH40" s="754"/>
      <c r="HI40" s="754"/>
      <c r="HJ40" s="755"/>
      <c r="HK40" s="756">
        <v>0</v>
      </c>
      <c r="HL40" s="747"/>
      <c r="HM40" s="748" t="str">
        <f>IF($AV$4="O",Sorts!AP8,IF($BB$4="O",Sorts!AP32,""))</f>
        <v/>
      </c>
      <c r="HN40" s="748"/>
      <c r="HO40" s="748"/>
      <c r="HP40" s="748" t="str">
        <f>IF($AV$4="O",Sorts!AQ8,IF($BB$4="O",Sorts!AQ32,""))</f>
        <v/>
      </c>
      <c r="HQ40" s="748"/>
      <c r="HR40" s="748"/>
      <c r="HS40" s="57" t="str">
        <f>IF($AV$4="O",Sorts!AR8,IF($BB$4="O",Sorts!AR32,""))</f>
        <v/>
      </c>
      <c r="HT40" s="57" t="str">
        <f>IF($AV$4="O",Sorts!AS8,IF($BB$4="O",Sorts!AS32,""))</f>
        <v/>
      </c>
      <c r="HU40" s="58" t="str">
        <f>IF($AV$4="O",Sorts!AT8,IF($BB$4="O",Sorts!AT32,""))</f>
        <v/>
      </c>
      <c r="HV40" s="57"/>
      <c r="HW40" s="757" t="s">
        <v>1204</v>
      </c>
      <c r="HX40" s="747"/>
      <c r="HY40" s="57">
        <v>5</v>
      </c>
      <c r="HZ40" s="758" t="str">
        <f>IF(OR($AV$6="O1",$AV$6="O2",$AV$6="O3"),Sorts!AO79,IF(OR($BB$6="O1",$BB$6="O2"),Sorts!AO141,""))</f>
        <v>Charme-Plantes</v>
      </c>
      <c r="IA40" s="744"/>
      <c r="IB40" s="744"/>
      <c r="IC40" s="744"/>
      <c r="ID40" s="744"/>
      <c r="IE40" s="744"/>
      <c r="IF40" s="744"/>
      <c r="IG40" s="744"/>
      <c r="IH40" s="744"/>
      <c r="II40" s="744"/>
      <c r="IJ40" s="744"/>
      <c r="IK40" s="744"/>
      <c r="IL40" s="744"/>
      <c r="IM40" s="744">
        <v>0</v>
      </c>
      <c r="IN40" s="745"/>
      <c r="IO40" s="746" t="str">
        <f>IF(OR($AV$6="O1",$AV$6="O2",$AV$6="O3"),Sorts!AP79,IF(OR($BB$6="O1",$BB$6="O2"),Sorts!AP141,""))</f>
        <v>3''</v>
      </c>
      <c r="IP40" s="747"/>
      <c r="IQ40" s="748" t="str">
        <f>IF(OR($AV$6="O1",$AV$6="O2",$AV$6="O3"),Sorts!AQ79,IF(OR($BB$6="O1",$BB$6="O2"),Sorts!AQ141,""))</f>
        <v>P</v>
      </c>
      <c r="IR40" s="748"/>
      <c r="IS40" s="748"/>
      <c r="IT40" s="57" t="str">
        <f>IF(OR($AV$6="O1",$AV$6="O2",$AV$6="O3"),Sorts!AR79,IF(OR($BB$6="O1",$BB$6="O2"),Sorts!AR141,""))</f>
        <v>X</v>
      </c>
      <c r="IU40" s="57" t="str">
        <f>IF(OR($AV$6="O1",$AV$6="O2",$AV$6="O3"),Sorts!AS79,IF(OR($BB$6="O1",$BB$6="O2"),Sorts!AS141,""))</f>
        <v>X</v>
      </c>
      <c r="IV40" s="58" t="str">
        <f>IF(OR($AV$6="O1",$AV$6="O2",$AV$6="O3"),Sorts!AT79,IF(OR($BB$6="O1",$BB$6="O2"),Sorts!AT141,""))</f>
        <v>X</v>
      </c>
      <c r="IW40" s="60"/>
      <c r="IY40" s="384"/>
      <c r="IZ40" s="762"/>
      <c r="JA40" s="762"/>
      <c r="JB40" s="762"/>
      <c r="JC40" s="762"/>
      <c r="JD40" s="762"/>
      <c r="JE40" s="762"/>
      <c r="JF40" s="762"/>
      <c r="JG40" s="762"/>
      <c r="JH40" s="762"/>
      <c r="JI40" s="762"/>
      <c r="JJ40" s="762"/>
      <c r="JK40" s="762"/>
      <c r="JL40" s="763"/>
      <c r="JM40" s="759"/>
      <c r="JN40" s="760"/>
      <c r="JO40" s="761"/>
      <c r="JP40" s="761"/>
      <c r="JQ40" s="761"/>
      <c r="JR40" s="761"/>
      <c r="JS40" s="761"/>
      <c r="JT40" s="761"/>
      <c r="JU40" s="385"/>
      <c r="JV40" s="385"/>
      <c r="JW40" s="386"/>
      <c r="JX40" s="385"/>
      <c r="JY40" s="757" t="s">
        <v>1204</v>
      </c>
      <c r="JZ40" s="747"/>
      <c r="KA40" s="57">
        <v>5</v>
      </c>
      <c r="KB40" s="758" t="str">
        <f>IF(OR($AV$6="O1",$AV$6="O2",$AV$6="O3"),Sorts!BA79,IF(OR($BB$6="O1",$BB$6="O2"),Sorts!BA141,""))</f>
        <v>Emprisonnement</v>
      </c>
      <c r="KC40" s="744"/>
      <c r="KD40" s="744"/>
      <c r="KE40" s="744"/>
      <c r="KF40" s="744"/>
      <c r="KG40" s="744"/>
      <c r="KH40" s="744"/>
      <c r="KI40" s="744"/>
      <c r="KJ40" s="744"/>
      <c r="KK40" s="744"/>
      <c r="KL40" s="744"/>
      <c r="KM40" s="744"/>
      <c r="KN40" s="744"/>
      <c r="KO40" s="744">
        <v>0</v>
      </c>
      <c r="KP40" s="745"/>
      <c r="KQ40" s="746" t="str">
        <f>IF(OR($AV$6="O1",$AV$6="O2",$AV$6="O3"),Sorts!BB79,IF(OR($BB$6="O1",$BB$6="O2"),Sorts!BB141,""))</f>
        <v>T</v>
      </c>
      <c r="KR40" s="747"/>
      <c r="KS40" s="748" t="str">
        <f>IF(OR($AV$6="O1",$AV$6="O2",$AV$6="O3"),Sorts!BC79,IF(OR($BB$6="O1",$BB$6="O2"),Sorts!BC141,""))</f>
        <v>P</v>
      </c>
      <c r="KT40" s="748"/>
      <c r="KU40" s="748"/>
      <c r="KV40" s="57" t="str">
        <f>IF(OR($AV$6="O1",$AV$6="O2",$AV$6="O3"),Sorts!BD79,IF(OR($BB$6="O1",$BB$6="O2"),Sorts!BD141,""))</f>
        <v>X</v>
      </c>
      <c r="KW40" s="57" t="str">
        <f>IF(OR($AV$6="O1",$AV$6="O2",$AV$6="O3"),Sorts!BE79,IF(OR($BB$6="O1",$BB$6="O2"),Sorts!BE141,""))</f>
        <v>X</v>
      </c>
      <c r="KX40" s="58" t="str">
        <f>IF(OR($AV$6="O1",$AV$6="O2",$AV$6="O3"),Sorts!BF79,IF(OR($BB$6="O1",$BB$6="O2"),Sorts!BF141,""))</f>
        <v>/</v>
      </c>
    </row>
    <row r="41" spans="2:310" ht="18" customHeight="1" thickTop="1" thickBot="1" x14ac:dyDescent="0.3">
      <c r="AQ41" s="56">
        <v>32</v>
      </c>
      <c r="AR41" s="754"/>
      <c r="AS41" s="754"/>
      <c r="AT41" s="754"/>
      <c r="AU41" s="754"/>
      <c r="AV41" s="754"/>
      <c r="AW41" s="754"/>
      <c r="AX41" s="754"/>
      <c r="AY41" s="754"/>
      <c r="AZ41" s="754"/>
      <c r="BA41" s="754"/>
      <c r="BB41" s="754"/>
      <c r="BC41" s="754"/>
      <c r="BD41" s="755"/>
      <c r="BE41" s="756">
        <v>0</v>
      </c>
      <c r="BF41" s="754"/>
      <c r="BG41" s="748"/>
      <c r="BH41" s="748"/>
      <c r="BI41" s="748"/>
      <c r="BJ41" s="748"/>
      <c r="BK41" s="748"/>
      <c r="BL41" s="748"/>
      <c r="BM41" s="57"/>
      <c r="BN41" s="57"/>
      <c r="BO41" s="369"/>
      <c r="BP41" s="366"/>
      <c r="BQ41" s="757" t="s">
        <v>1204</v>
      </c>
      <c r="BR41" s="747"/>
      <c r="BS41" s="57">
        <v>32</v>
      </c>
      <c r="BT41" s="758" t="str">
        <f>IF(OR($AV$6="O1",$AV$6="O2",$AV$6="O3"),Sorts!E106,IF(OR($BB$6="O1",$BB$6="O2"),Sorts!E168,""))</f>
        <v>Poigne Électrique</v>
      </c>
      <c r="BU41" s="744"/>
      <c r="BV41" s="744"/>
      <c r="BW41" s="744"/>
      <c r="BX41" s="744"/>
      <c r="BY41" s="744"/>
      <c r="BZ41" s="744"/>
      <c r="CA41" s="744"/>
      <c r="CB41" s="744"/>
      <c r="CC41" s="744"/>
      <c r="CD41" s="744"/>
      <c r="CE41" s="744"/>
      <c r="CF41" s="744"/>
      <c r="CG41" s="744">
        <v>0</v>
      </c>
      <c r="CH41" s="745"/>
      <c r="CI41" s="746" t="str">
        <f>IF(OR($AV$6="O1",$AV$6="O2",$AV$6="O3"),Sorts!F106,IF(OR($BB$6="O1",$BB$6="O2"),Sorts!F168,""))</f>
        <v>T</v>
      </c>
      <c r="CJ41" s="747"/>
      <c r="CK41" s="748" t="str">
        <f>IF(OR($AV$6="O1",$AV$6="O2",$AV$6="O3"),Sorts!G106,IF(OR($BB$6="O1",$BB$6="O2"),Sorts!G168,""))</f>
        <v>T</v>
      </c>
      <c r="CL41" s="748"/>
      <c r="CM41" s="748"/>
      <c r="CN41" s="57" t="str">
        <f>IF(OR($AV$6="O1",$AV$6="O2",$AV$6="O3"),Sorts!H106,IF(OR($BB$6="O1",$BB$6="O2"),Sorts!H168,""))</f>
        <v>X</v>
      </c>
      <c r="CO41" s="57" t="str">
        <f>IF(OR($AV$6="O1",$AV$6="O2",$AV$6="O3"),Sorts!I106,IF(OR($BB$6="O1",$BB$6="O2"),Sorts!I168,""))</f>
        <v>X</v>
      </c>
      <c r="CP41" s="58" t="str">
        <f>IF(OR($AV$6="O1",$AV$6="O2",$AV$6="O3"),Sorts!J106,IF(OR($BB$6="O1",$BB$6="O2"),Sorts!J168,""))</f>
        <v>/</v>
      </c>
      <c r="CQ41" s="60"/>
      <c r="CS41" s="372" t="s">
        <v>1197</v>
      </c>
      <c r="CT41" s="776" t="s">
        <v>1198</v>
      </c>
      <c r="CU41" s="776"/>
      <c r="CV41" s="776"/>
      <c r="CW41" s="776"/>
      <c r="CX41" s="776"/>
      <c r="CY41" s="776"/>
      <c r="CZ41" s="776"/>
      <c r="DA41" s="776"/>
      <c r="DB41" s="776"/>
      <c r="DC41" s="776"/>
      <c r="DD41" s="776"/>
      <c r="DE41" s="776"/>
      <c r="DF41" s="776"/>
      <c r="DG41" s="348">
        <f>SUM(DG42:DG82)</f>
        <v>0</v>
      </c>
      <c r="DH41" s="373" t="s">
        <v>388</v>
      </c>
      <c r="DI41" s="777" t="s">
        <v>1199</v>
      </c>
      <c r="DJ41" s="777"/>
      <c r="DK41" s="777"/>
      <c r="DL41" s="777" t="s">
        <v>1200</v>
      </c>
      <c r="DM41" s="777"/>
      <c r="DN41" s="777"/>
      <c r="DO41" s="374" t="s">
        <v>1201</v>
      </c>
      <c r="DP41" s="374" t="s">
        <v>400</v>
      </c>
      <c r="DQ41" s="378" t="s">
        <v>388</v>
      </c>
      <c r="DR41" s="374"/>
      <c r="DS41" s="376">
        <f>COUNTIF(DS42:DT74,"C")</f>
        <v>0</v>
      </c>
      <c r="DT41" s="374" t="s">
        <v>1196</v>
      </c>
      <c r="DU41" s="377" t="s">
        <v>1197</v>
      </c>
      <c r="DV41" s="778" t="s">
        <v>1217</v>
      </c>
      <c r="DW41" s="779"/>
      <c r="DX41" s="779"/>
      <c r="DY41" s="779"/>
      <c r="DZ41" s="779"/>
      <c r="EA41" s="779"/>
      <c r="EB41" s="779"/>
      <c r="EC41" s="779"/>
      <c r="ED41" s="779"/>
      <c r="EE41" s="779"/>
      <c r="EF41" s="779"/>
      <c r="EG41" s="779"/>
      <c r="EH41" s="779"/>
      <c r="EI41" s="348">
        <f>SUM(EI42:EI82)</f>
        <v>0</v>
      </c>
      <c r="EJ41" s="373" t="s">
        <v>388</v>
      </c>
      <c r="EK41" s="777" t="s">
        <v>1199</v>
      </c>
      <c r="EL41" s="777"/>
      <c r="EM41" s="374"/>
      <c r="EN41" s="374" t="s">
        <v>1200</v>
      </c>
      <c r="EO41" s="374"/>
      <c r="EP41" s="374" t="s">
        <v>1201</v>
      </c>
      <c r="EQ41" s="374" t="s">
        <v>400</v>
      </c>
      <c r="ER41" s="378" t="s">
        <v>388</v>
      </c>
      <c r="ES41" s="60"/>
      <c r="EU41" s="56">
        <v>4</v>
      </c>
      <c r="EV41" s="754" t="str">
        <f>IF($AV$4="O",Sorts!AC7,IF($BB$4="O",Sorts!AC31,""))</f>
        <v/>
      </c>
      <c r="EW41" s="754"/>
      <c r="EX41" s="754"/>
      <c r="EY41" s="754"/>
      <c r="EZ41" s="754"/>
      <c r="FA41" s="754"/>
      <c r="FB41" s="754"/>
      <c r="FC41" s="754"/>
      <c r="FD41" s="754"/>
      <c r="FE41" s="754"/>
      <c r="FF41" s="754"/>
      <c r="FG41" s="754"/>
      <c r="FH41" s="755"/>
      <c r="FI41" s="756">
        <v>0</v>
      </c>
      <c r="FJ41" s="747"/>
      <c r="FK41" s="748" t="str">
        <f>IF($AV$4="O",Sorts!AD7,IF($BB$4="O",Sorts!AD31,""))</f>
        <v/>
      </c>
      <c r="FL41" s="748"/>
      <c r="FM41" s="748"/>
      <c r="FN41" s="748" t="str">
        <f>IF($AV$4="O",Sorts!AE7,IF($BB$4="O",Sorts!AE31,""))</f>
        <v/>
      </c>
      <c r="FO41" s="748"/>
      <c r="FP41" s="748"/>
      <c r="FQ41" s="57" t="str">
        <f>IF($AV$4="O",Sorts!AF7,IF($BB$4="O",Sorts!AF31,""))</f>
        <v/>
      </c>
      <c r="FR41" s="57" t="str">
        <f>IF($AV$4="O",Sorts!AG7,IF($BB$4="O",Sorts!AG31,""))</f>
        <v/>
      </c>
      <c r="FS41" s="58" t="str">
        <f>IF($AV$4="O",Sorts!AH7,IF($BB$4="O",Sorts!AH31,""))</f>
        <v/>
      </c>
      <c r="FT41" s="57"/>
      <c r="FU41" s="757" t="s">
        <v>1204</v>
      </c>
      <c r="FV41" s="747"/>
      <c r="FW41" s="57">
        <v>4</v>
      </c>
      <c r="FX41" s="758" t="str">
        <f>IF(OR($AV$6="O1",$AV$6="O2",$AV$6="O3"),Sorts!AC78,IF(OR($BB$6="O1",$BB$6="O2"),Sorts!AC140,""))</f>
        <v>Contact d’Autres Plans</v>
      </c>
      <c r="FY41" s="744"/>
      <c r="FZ41" s="744"/>
      <c r="GA41" s="744"/>
      <c r="GB41" s="744"/>
      <c r="GC41" s="744"/>
      <c r="GD41" s="744"/>
      <c r="GE41" s="744"/>
      <c r="GF41" s="744"/>
      <c r="GG41" s="744"/>
      <c r="GH41" s="744"/>
      <c r="GI41" s="744"/>
      <c r="GJ41" s="744"/>
      <c r="GK41" s="744">
        <v>0</v>
      </c>
      <c r="GL41" s="745"/>
      <c r="GM41" s="746">
        <f>IF(OR($AV$6="O1",$AV$6="O2",$AV$6="O3"),Sorts!AD78,IF(OR($BB$6="O1",$BB$6="O2"),Sorts!AD140,""))</f>
        <v>0</v>
      </c>
      <c r="GN41" s="747"/>
      <c r="GO41" s="748" t="str">
        <f>IF(OR($AV$6="O1",$AV$6="O2",$AV$6="O3"),Sorts!AE78,IF(OR($BB$6="O1",$BB$6="O2"),Sorts!AE140,""))</f>
        <v>S</v>
      </c>
      <c r="GP41" s="748"/>
      <c r="GQ41" s="748"/>
      <c r="GR41" s="57" t="str">
        <f>IF(OR($AV$6="O1",$AV$6="O2",$AV$6="O3"),Sorts!AF78,IF(OR($BB$6="O1",$BB$6="O2"),Sorts!AF140,""))</f>
        <v>X</v>
      </c>
      <c r="GS41" s="57" t="str">
        <f>IF(OR($AV$6="O1",$AV$6="O2",$AV$6="O3"),Sorts!AG78,IF(OR($BB$6="O1",$BB$6="O2"),Sorts!AG140,""))</f>
        <v>/</v>
      </c>
      <c r="GT41" s="58" t="str">
        <f>IF(OR($AV$6="O1",$AV$6="O2",$AV$6="O3"),Sorts!AH78,IF(OR($BB$6="O1",$BB$6="O2"),Sorts!AH140,""))</f>
        <v>/</v>
      </c>
      <c r="GU41" s="60"/>
      <c r="GW41" s="56">
        <v>6</v>
      </c>
      <c r="GX41" s="754" t="str">
        <f>IF($AV$4="O",Sorts!AO9,IF($BB$4="O",Sorts!AO33,""))</f>
        <v/>
      </c>
      <c r="GY41" s="754"/>
      <c r="GZ41" s="754"/>
      <c r="HA41" s="754"/>
      <c r="HB41" s="754"/>
      <c r="HC41" s="754"/>
      <c r="HD41" s="754"/>
      <c r="HE41" s="754"/>
      <c r="HF41" s="754"/>
      <c r="HG41" s="754"/>
      <c r="HH41" s="754"/>
      <c r="HI41" s="754"/>
      <c r="HJ41" s="755"/>
      <c r="HK41" s="756">
        <v>0</v>
      </c>
      <c r="HL41" s="747"/>
      <c r="HM41" s="748" t="str">
        <f>IF($AV$4="O",Sorts!AP9,IF($BB$4="O",Sorts!AP33,""))</f>
        <v/>
      </c>
      <c r="HN41" s="748"/>
      <c r="HO41" s="748"/>
      <c r="HP41" s="748" t="str">
        <f>IF($AV$4="O",Sorts!AQ9,IF($BB$4="O",Sorts!AQ33,""))</f>
        <v/>
      </c>
      <c r="HQ41" s="748"/>
      <c r="HR41" s="748"/>
      <c r="HS41" s="57" t="str">
        <f>IF($AV$4="O",Sorts!AR9,IF($BB$4="O",Sorts!AR33,""))</f>
        <v/>
      </c>
      <c r="HT41" s="57" t="str">
        <f>IF($AV$4="O",Sorts!AS9,IF($BB$4="O",Sorts!AS33,""))</f>
        <v/>
      </c>
      <c r="HU41" s="58" t="str">
        <f>IF($AV$4="O",Sorts!AT9,IF($BB$4="O",Sorts!AT33,""))</f>
        <v/>
      </c>
      <c r="HV41" s="57"/>
      <c r="HW41" s="757" t="s">
        <v>1204</v>
      </c>
      <c r="HX41" s="747"/>
      <c r="HY41" s="57">
        <v>6</v>
      </c>
      <c r="HZ41" s="758" t="str">
        <f>IF(OR($AV$6="O1",$AV$6="O2",$AV$6="O3"),Sorts!AO80,IF(OR($BB$6="O1",$BB$6="O2"),Sorts!AO142,""))</f>
        <v>Disparition</v>
      </c>
      <c r="IA41" s="744"/>
      <c r="IB41" s="744"/>
      <c r="IC41" s="744"/>
      <c r="ID41" s="744"/>
      <c r="IE41" s="744"/>
      <c r="IF41" s="744"/>
      <c r="IG41" s="744"/>
      <c r="IH41" s="744"/>
      <c r="II41" s="744"/>
      <c r="IJ41" s="744"/>
      <c r="IK41" s="744"/>
      <c r="IL41" s="744"/>
      <c r="IM41" s="744">
        <v>0</v>
      </c>
      <c r="IN41" s="745"/>
      <c r="IO41" s="746" t="str">
        <f>IF(OR($AV$6="O1",$AV$6="O2",$AV$6="O3"),Sorts!AP80,IF(OR($BB$6="O1",$BB$6="O2"),Sorts!AP142,""))</f>
        <v>T</v>
      </c>
      <c r="IP41" s="747"/>
      <c r="IQ41" s="748" t="str">
        <f>IF(OR($AV$6="O1",$AV$6="O2",$AV$6="O3"),Sorts!AQ80,IF(OR($BB$6="O1",$BB$6="O2"),Sorts!AQ142,""))</f>
        <v>S</v>
      </c>
      <c r="IR41" s="748"/>
      <c r="IS41" s="748"/>
      <c r="IT41" s="57" t="str">
        <f>IF(OR($AV$6="O1",$AV$6="O2",$AV$6="O3"),Sorts!AR80,IF(OR($BB$6="O1",$BB$6="O2"),Sorts!AR142,""))</f>
        <v>X</v>
      </c>
      <c r="IU41" s="57" t="str">
        <f>IF(OR($AV$6="O1",$AV$6="O2",$AV$6="O3"),Sorts!AS80,IF(OR($BB$6="O1",$BB$6="O2"),Sorts!AS142,""))</f>
        <v>/</v>
      </c>
      <c r="IV41" s="58" t="str">
        <f>IF(OR($AV$6="O1",$AV$6="O2",$AV$6="O3"),Sorts!AT80,IF(OR($BB$6="O1",$BB$6="O2"),Sorts!AT142,""))</f>
        <v>/</v>
      </c>
      <c r="IW41" s="60"/>
      <c r="IY41" s="384"/>
      <c r="IZ41" s="762"/>
      <c r="JA41" s="762"/>
      <c r="JB41" s="762"/>
      <c r="JC41" s="762"/>
      <c r="JD41" s="762"/>
      <c r="JE41" s="762"/>
      <c r="JF41" s="762"/>
      <c r="JG41" s="762"/>
      <c r="JH41" s="762"/>
      <c r="JI41" s="762"/>
      <c r="JJ41" s="762"/>
      <c r="JK41" s="762"/>
      <c r="JL41" s="763"/>
      <c r="JM41" s="759"/>
      <c r="JN41" s="760"/>
      <c r="JO41" s="761"/>
      <c r="JP41" s="761"/>
      <c r="JQ41" s="761"/>
      <c r="JR41" s="761"/>
      <c r="JS41" s="761"/>
      <c r="JT41" s="761"/>
      <c r="JU41" s="385"/>
      <c r="JV41" s="385"/>
      <c r="JW41" s="386"/>
      <c r="JX41" s="385"/>
      <c r="JY41" s="757" t="s">
        <v>1204</v>
      </c>
      <c r="JZ41" s="747"/>
      <c r="KA41" s="57">
        <v>6</v>
      </c>
      <c r="KB41" s="758" t="str">
        <f>IF(OR($AV$6="O1",$AV$6="O2",$AV$6="O3"),Sorts!BA80,IF(OR($BB$6="O1",$BB$6="O2"),Sorts!BA142,""))</f>
        <v>Fragilité de Cristal</v>
      </c>
      <c r="KC41" s="744"/>
      <c r="KD41" s="744"/>
      <c r="KE41" s="744"/>
      <c r="KF41" s="744"/>
      <c r="KG41" s="744"/>
      <c r="KH41" s="744"/>
      <c r="KI41" s="744"/>
      <c r="KJ41" s="744"/>
      <c r="KK41" s="744"/>
      <c r="KL41" s="744"/>
      <c r="KM41" s="744"/>
      <c r="KN41" s="744"/>
      <c r="KO41" s="744">
        <v>0</v>
      </c>
      <c r="KP41" s="745"/>
      <c r="KQ41" s="746" t="str">
        <f>IF(OR($AV$6="O1",$AV$6="O2",$AV$6="O3"),Sorts!BB80,IF(OR($BB$6="O1",$BB$6="O2"),Sorts!BB142,""))</f>
        <v>T</v>
      </c>
      <c r="KR41" s="747"/>
      <c r="KS41" s="748" t="str">
        <f>IF(OR($AV$6="O1",$AV$6="O2",$AV$6="O3"),Sorts!BC80,IF(OR($BB$6="O1",$BB$6="O2"),Sorts!BC142,""))</f>
        <v>P</v>
      </c>
      <c r="KT41" s="748"/>
      <c r="KU41" s="748"/>
      <c r="KV41" s="57" t="str">
        <f>IF(OR($AV$6="O1",$AV$6="O2",$AV$6="O3"),Sorts!BD80,IF(OR($BB$6="O1",$BB$6="O2"),Sorts!BD142,""))</f>
        <v>X</v>
      </c>
      <c r="KW41" s="57" t="str">
        <f>IF(OR($AV$6="O1",$AV$6="O2",$AV$6="O3"),Sorts!BE80,IF(OR($BB$6="O1",$BB$6="O2"),Sorts!BE142,""))</f>
        <v>X</v>
      </c>
      <c r="KX41" s="58" t="str">
        <f>IF(OR($AV$6="O1",$AV$6="O2",$AV$6="O3"),Sorts!BF80,IF(OR($BB$6="O1",$BB$6="O2"),Sorts!BF142,""))</f>
        <v>/</v>
      </c>
    </row>
    <row r="42" spans="2:310" ht="18" customHeight="1" thickTop="1" thickBot="1" x14ac:dyDescent="0.3">
      <c r="B42" s="432" t="s">
        <v>39</v>
      </c>
      <c r="C42" s="49"/>
      <c r="D42" s="49"/>
      <c r="E42" s="49"/>
      <c r="F42" s="49"/>
      <c r="G42" s="49"/>
      <c r="H42" s="49"/>
      <c r="I42" s="49"/>
      <c r="J42" s="49"/>
      <c r="K42" s="49"/>
      <c r="L42" s="49"/>
      <c r="M42" s="49"/>
      <c r="N42" s="49"/>
      <c r="O42" s="49"/>
      <c r="P42" s="49"/>
      <c r="Q42" s="49"/>
      <c r="R42" s="49"/>
      <c r="S42" s="49"/>
      <c r="T42" s="49"/>
      <c r="U42" s="49"/>
      <c r="V42" s="49"/>
      <c r="W42" s="49"/>
      <c r="X42" s="49"/>
      <c r="Y42" s="49"/>
      <c r="Z42" s="49"/>
      <c r="AA42" s="49"/>
      <c r="AB42" s="49"/>
      <c r="AC42" s="49"/>
      <c r="AD42" s="49"/>
      <c r="AE42" s="49"/>
      <c r="AF42" s="21"/>
      <c r="AG42" s="21"/>
      <c r="AH42" s="21"/>
      <c r="AI42" s="21"/>
      <c r="AJ42" s="21"/>
      <c r="AK42" s="21"/>
      <c r="AL42" s="21"/>
      <c r="AM42" s="21"/>
      <c r="AN42" s="21"/>
      <c r="AO42" s="68"/>
      <c r="AQ42" s="56">
        <v>33</v>
      </c>
      <c r="AR42" s="754"/>
      <c r="AS42" s="754"/>
      <c r="AT42" s="754"/>
      <c r="AU42" s="754"/>
      <c r="AV42" s="754"/>
      <c r="AW42" s="754"/>
      <c r="AX42" s="754"/>
      <c r="AY42" s="754"/>
      <c r="AZ42" s="754"/>
      <c r="BA42" s="754"/>
      <c r="BB42" s="754"/>
      <c r="BC42" s="754"/>
      <c r="BD42" s="755"/>
      <c r="BE42" s="756">
        <v>0</v>
      </c>
      <c r="BF42" s="754"/>
      <c r="BG42" s="748"/>
      <c r="BH42" s="748"/>
      <c r="BI42" s="748"/>
      <c r="BJ42" s="748"/>
      <c r="BK42" s="748"/>
      <c r="BL42" s="748"/>
      <c r="BM42" s="57"/>
      <c r="BN42" s="57"/>
      <c r="BO42" s="369"/>
      <c r="BP42" s="366"/>
      <c r="BQ42" s="757" t="s">
        <v>1204</v>
      </c>
      <c r="BR42" s="747"/>
      <c r="BS42" s="57">
        <v>33</v>
      </c>
      <c r="BT42" s="758" t="str">
        <f>IF(OR($AV$6="O1",$AV$6="O2",$AV$6="O3"),Sorts!E107,IF(OR($BB$6="O1",$BB$6="O2"),Sorts!E169,""))</f>
        <v>Poussée</v>
      </c>
      <c r="BU42" s="744"/>
      <c r="BV42" s="744"/>
      <c r="BW42" s="744"/>
      <c r="BX42" s="744"/>
      <c r="BY42" s="744"/>
      <c r="BZ42" s="744"/>
      <c r="CA42" s="744"/>
      <c r="CB42" s="744"/>
      <c r="CC42" s="744"/>
      <c r="CD42" s="744"/>
      <c r="CE42" s="744"/>
      <c r="CF42" s="744"/>
      <c r="CG42" s="744">
        <v>0</v>
      </c>
      <c r="CH42" s="745"/>
      <c r="CI42" s="746" t="str">
        <f>IF(OR($AV$6="O1",$AV$6="O2",$AV$6="O3"),Sorts!F107,IF(OR($BB$6="O1",$BB$6="O2"),Sorts!F169,""))</f>
        <v>1’’+1/4’’/n</v>
      </c>
      <c r="CJ42" s="747"/>
      <c r="CK42" s="748" t="str">
        <f>IF(OR($AV$6="O1",$AV$6="O2",$AV$6="O3"),Sorts!G107,IF(OR($BB$6="O1",$BB$6="O2"),Sorts!G169,""))</f>
        <v>Inst</v>
      </c>
      <c r="CL42" s="748"/>
      <c r="CM42" s="748"/>
      <c r="CN42" s="57" t="str">
        <f>IF(OR($AV$6="O1",$AV$6="O2",$AV$6="O3"),Sorts!H107,IF(OR($BB$6="O1",$BB$6="O2"),Sorts!H169,""))</f>
        <v>X</v>
      </c>
      <c r="CO42" s="57" t="str">
        <f>IF(OR($AV$6="O1",$AV$6="O2",$AV$6="O3"),Sorts!I107,IF(OR($BB$6="O1",$BB$6="O2"),Sorts!I169,""))</f>
        <v>X</v>
      </c>
      <c r="CP42" s="58" t="str">
        <f>IF(OR($AV$6="O1",$AV$6="O2",$AV$6="O3"),Sorts!J107,IF(OR($BB$6="O1",$BB$6="O2"),Sorts!J169,""))</f>
        <v>X</v>
      </c>
      <c r="CQ42" s="60"/>
      <c r="CS42" s="56">
        <v>1</v>
      </c>
      <c r="CT42" s="754" t="str">
        <f>IF($AV$4="O",Sorts!Q4,IF($BB$4="O",Sorts!Q28,""))</f>
        <v/>
      </c>
      <c r="CU42" s="754"/>
      <c r="CV42" s="754"/>
      <c r="CW42" s="754"/>
      <c r="CX42" s="754"/>
      <c r="CY42" s="754"/>
      <c r="CZ42" s="754"/>
      <c r="DA42" s="754"/>
      <c r="DB42" s="754"/>
      <c r="DC42" s="754"/>
      <c r="DD42" s="754"/>
      <c r="DE42" s="754"/>
      <c r="DF42" s="755"/>
      <c r="DG42" s="756">
        <v>0</v>
      </c>
      <c r="DH42" s="747"/>
      <c r="DI42" s="748" t="str">
        <f>IF($AV$4="O",Sorts!R4,IF($BB$4="O",Sorts!R28,""))</f>
        <v/>
      </c>
      <c r="DJ42" s="748"/>
      <c r="DK42" s="748"/>
      <c r="DL42" s="748" t="str">
        <f>IF($AV$4="O",Sorts!S4,IF($BB$4="O",Sorts!S28,""))</f>
        <v/>
      </c>
      <c r="DM42" s="748"/>
      <c r="DN42" s="748"/>
      <c r="DO42" s="57" t="str">
        <f>IF($AV$4="O",Sorts!T4,IF($BB$4="O",Sorts!T28,""))</f>
        <v/>
      </c>
      <c r="DP42" s="57" t="str">
        <f>IF($AV$4="O",Sorts!U4,IF($BB$4="O",Sorts!U28,""))</f>
        <v/>
      </c>
      <c r="DQ42" s="58" t="str">
        <f>IF($AV$4="O",Sorts!V4,IF($BB$4="O",Sorts!V28,""))</f>
        <v/>
      </c>
      <c r="DR42" s="57"/>
      <c r="DS42" s="757" t="s">
        <v>1204</v>
      </c>
      <c r="DT42" s="747"/>
      <c r="DU42" s="57">
        <v>1</v>
      </c>
      <c r="DV42" s="758" t="str">
        <f>IF(OR($AV$6="O1",$AV$6="O2",$AV$6="O3"),Sorts!Q75,IF(OR($BB$6="O1",$BB$6="O2"),Sorts!Q137,""))</f>
        <v>Boule de Feu</v>
      </c>
      <c r="DW42" s="744"/>
      <c r="DX42" s="744"/>
      <c r="DY42" s="744"/>
      <c r="DZ42" s="744"/>
      <c r="EA42" s="744"/>
      <c r="EB42" s="744"/>
      <c r="EC42" s="744"/>
      <c r="ED42" s="744"/>
      <c r="EE42" s="744"/>
      <c r="EF42" s="744"/>
      <c r="EG42" s="744"/>
      <c r="EH42" s="744"/>
      <c r="EI42" s="744">
        <v>0</v>
      </c>
      <c r="EJ42" s="745"/>
      <c r="EK42" s="746" t="str">
        <f>IF(OR($AV$6="O1",$AV$6="O2",$AV$6="O3"),Sorts!R75,IF(OR($BB$6="O1",$BB$6="O2"),Sorts!R137,""))</f>
        <v>10''+1/n</v>
      </c>
      <c r="EL42" s="747"/>
      <c r="EM42" s="748" t="str">
        <f>IF(OR($AV$6="O1",$AV$6="O2",$AV$6="O3"),Sorts!S75,IF(OR($BB$6="O1",$BB$6="O2"),Sorts!S137,""))</f>
        <v>I</v>
      </c>
      <c r="EN42" s="748"/>
      <c r="EO42" s="748"/>
      <c r="EP42" s="57" t="str">
        <f>IF(OR($AV$6="O1",$AV$6="O2",$AV$6="O3"),Sorts!T75,IF(OR($BB$6="O1",$BB$6="O2"),Sorts!T137,""))</f>
        <v>X</v>
      </c>
      <c r="EQ42" s="57" t="str">
        <f>IF(OR($AV$6="O1",$AV$6="O2",$AV$6="O3"),Sorts!U75,IF(OR($BB$6="O1",$BB$6="O2"),Sorts!U137,""))</f>
        <v>X</v>
      </c>
      <c r="ER42" s="58" t="str">
        <f>IF(OR($AV$6="O1",$AV$6="O2",$AV$6="O3"),Sorts!V75,IF(OR($BB$6="O1",$BB$6="O2"),Sorts!V137,""))</f>
        <v>X</v>
      </c>
      <c r="ES42" s="60"/>
      <c r="EU42" s="56">
        <v>5</v>
      </c>
      <c r="EV42" s="754" t="str">
        <f>IF($AV$4="O",Sorts!AC8,IF($BB$4="O",Sorts!AC32,""))</f>
        <v/>
      </c>
      <c r="EW42" s="754"/>
      <c r="EX42" s="754"/>
      <c r="EY42" s="754"/>
      <c r="EZ42" s="754"/>
      <c r="FA42" s="754"/>
      <c r="FB42" s="754"/>
      <c r="FC42" s="754"/>
      <c r="FD42" s="754"/>
      <c r="FE42" s="754"/>
      <c r="FF42" s="754"/>
      <c r="FG42" s="754"/>
      <c r="FH42" s="755"/>
      <c r="FI42" s="756">
        <v>0</v>
      </c>
      <c r="FJ42" s="747"/>
      <c r="FK42" s="748" t="str">
        <f>IF($AV$4="O",Sorts!AD8,IF($BB$4="O",Sorts!AD32,""))</f>
        <v/>
      </c>
      <c r="FL42" s="748"/>
      <c r="FM42" s="748"/>
      <c r="FN42" s="748" t="str">
        <f>IF($AV$4="O",Sorts!AE8,IF($BB$4="O",Sorts!AE32,""))</f>
        <v/>
      </c>
      <c r="FO42" s="748"/>
      <c r="FP42" s="748"/>
      <c r="FQ42" s="57" t="str">
        <f>IF($AV$4="O",Sorts!AF8,IF($BB$4="O",Sorts!AF32,""))</f>
        <v/>
      </c>
      <c r="FR42" s="57" t="str">
        <f>IF($AV$4="O",Sorts!AG8,IF($BB$4="O",Sorts!AG32,""))</f>
        <v/>
      </c>
      <c r="FS42" s="58" t="str">
        <f>IF($AV$4="O",Sorts!AH8,IF($BB$4="O",Sorts!AH32,""))</f>
        <v/>
      </c>
      <c r="FT42" s="57"/>
      <c r="FU42" s="757" t="s">
        <v>1204</v>
      </c>
      <c r="FV42" s="747"/>
      <c r="FW42" s="57">
        <v>5</v>
      </c>
      <c r="FX42" s="758" t="str">
        <f>IF(OR($AV$6="O1",$AV$6="O2",$AV$6="O3"),Sorts!AC79,IF(OR($BB$6="O1",$BB$6="O2"),Sorts!AC141,""))</f>
        <v>Croissance Animale</v>
      </c>
      <c r="FY42" s="744"/>
      <c r="FZ42" s="744"/>
      <c r="GA42" s="744"/>
      <c r="GB42" s="744"/>
      <c r="GC42" s="744"/>
      <c r="GD42" s="744"/>
      <c r="GE42" s="744"/>
      <c r="GF42" s="744"/>
      <c r="GG42" s="744"/>
      <c r="GH42" s="744"/>
      <c r="GI42" s="744"/>
      <c r="GJ42" s="744"/>
      <c r="GK42" s="744">
        <v>0</v>
      </c>
      <c r="GL42" s="745"/>
      <c r="GM42" s="746" t="str">
        <f>IF(OR($AV$6="O1",$AV$6="O2",$AV$6="O3"),Sorts!AD79,IF(OR($BB$6="O1",$BB$6="O2"),Sorts!AD141,""))</f>
        <v>6''</v>
      </c>
      <c r="GN42" s="747"/>
      <c r="GO42" s="748" t="str">
        <f>IF(OR($AV$6="O1",$AV$6="O2",$AV$6="O3"),Sorts!AE79,IF(OR($BB$6="O1",$BB$6="O2"),Sorts!AE141,""))</f>
        <v>1r/n</v>
      </c>
      <c r="GP42" s="748"/>
      <c r="GQ42" s="748"/>
      <c r="GR42" s="57" t="str">
        <f>IF(OR($AV$6="O1",$AV$6="O2",$AV$6="O3"),Sorts!AF79,IF(OR($BB$6="O1",$BB$6="O2"),Sorts!AF141,""))</f>
        <v>X</v>
      </c>
      <c r="GS42" s="57" t="str">
        <f>IF(OR($AV$6="O1",$AV$6="O2",$AV$6="O3"),Sorts!AG79,IF(OR($BB$6="O1",$BB$6="O2"),Sorts!AG141,""))</f>
        <v>X</v>
      </c>
      <c r="GT42" s="58" t="str">
        <f>IF(OR($AV$6="O1",$AV$6="O2",$AV$6="O3"),Sorts!AH79,IF(OR($BB$6="O1",$BB$6="O2"),Sorts!AH141,""))</f>
        <v>/</v>
      </c>
      <c r="GU42" s="60"/>
      <c r="GW42" s="56">
        <v>7</v>
      </c>
      <c r="GX42" s="754" t="str">
        <f>IF($AV$4="O",Sorts!AO10,IF($BB$4="O",Sorts!AO34,""))</f>
        <v/>
      </c>
      <c r="GY42" s="754"/>
      <c r="GZ42" s="754"/>
      <c r="HA42" s="754"/>
      <c r="HB42" s="754"/>
      <c r="HC42" s="754"/>
      <c r="HD42" s="754"/>
      <c r="HE42" s="754"/>
      <c r="HF42" s="754"/>
      <c r="HG42" s="754"/>
      <c r="HH42" s="754"/>
      <c r="HI42" s="754"/>
      <c r="HJ42" s="755"/>
      <c r="HK42" s="756">
        <v>0</v>
      </c>
      <c r="HL42" s="747"/>
      <c r="HM42" s="748" t="str">
        <f>IF($AV$4="O",Sorts!AP10,IF($BB$4="O",Sorts!AP34,""))</f>
        <v/>
      </c>
      <c r="HN42" s="748"/>
      <c r="HO42" s="748"/>
      <c r="HP42" s="748" t="str">
        <f>IF($AV$4="O",Sorts!AQ10,IF($BB$4="O",Sorts!AQ34,""))</f>
        <v/>
      </c>
      <c r="HQ42" s="748"/>
      <c r="HR42" s="748"/>
      <c r="HS42" s="57" t="str">
        <f>IF($AV$4="O",Sorts!AR10,IF($BB$4="O",Sorts!AR34,""))</f>
        <v/>
      </c>
      <c r="HT42" s="57" t="str">
        <f>IF($AV$4="O",Sorts!AS10,IF($BB$4="O",Sorts!AS34,""))</f>
        <v/>
      </c>
      <c r="HU42" s="58" t="str">
        <f>IF($AV$4="O",Sorts!AT10,IF($BB$4="O",Sorts!AT34,""))</f>
        <v/>
      </c>
      <c r="HV42" s="57"/>
      <c r="HW42" s="757" t="s">
        <v>1204</v>
      </c>
      <c r="HX42" s="747"/>
      <c r="HY42" s="57">
        <v>7</v>
      </c>
      <c r="HZ42" s="758" t="str">
        <f>IF(OR($AV$6="O1",$AV$6="O2",$AV$6="O3"),Sorts!AO81,IF(OR($BB$6="O1",$BB$6="O2"),Sorts!AO143,""))</f>
        <v>Duo-Dimension</v>
      </c>
      <c r="IA42" s="744"/>
      <c r="IB42" s="744"/>
      <c r="IC42" s="744"/>
      <c r="ID42" s="744"/>
      <c r="IE42" s="744"/>
      <c r="IF42" s="744"/>
      <c r="IG42" s="744"/>
      <c r="IH42" s="744"/>
      <c r="II42" s="744"/>
      <c r="IJ42" s="744"/>
      <c r="IK42" s="744"/>
      <c r="IL42" s="744"/>
      <c r="IM42" s="744">
        <v>0</v>
      </c>
      <c r="IN42" s="745"/>
      <c r="IO42" s="746">
        <f>IF(OR($AV$6="O1",$AV$6="O2",$AV$6="O3"),Sorts!AP81,IF(OR($BB$6="O1",$BB$6="O2"),Sorts!AP143,""))</f>
        <v>0</v>
      </c>
      <c r="IP42" s="747"/>
      <c r="IQ42" s="748" t="str">
        <f>IF(OR($AV$6="O1",$AV$6="O2",$AV$6="O3"),Sorts!AQ81,IF(OR($BB$6="O1",$BB$6="O2"),Sorts!AQ143,""))</f>
        <v>3r+1/n</v>
      </c>
      <c r="IR42" s="748"/>
      <c r="IS42" s="748"/>
      <c r="IT42" s="57" t="str">
        <f>IF(OR($AV$6="O1",$AV$6="O2",$AV$6="O3"),Sorts!AR81,IF(OR($BB$6="O1",$BB$6="O2"),Sorts!AR143,""))</f>
        <v>X</v>
      </c>
      <c r="IU42" s="57" t="str">
        <f>IF(OR($AV$6="O1",$AV$6="O2",$AV$6="O3"),Sorts!AS81,IF(OR($BB$6="O1",$BB$6="O2"),Sorts!AS143,""))</f>
        <v>X</v>
      </c>
      <c r="IV42" s="58" t="str">
        <f>IF(OR($AV$6="O1",$AV$6="O2",$AV$6="O3"),Sorts!AT81,IF(OR($BB$6="O1",$BB$6="O2"),Sorts!AT143,""))</f>
        <v>X</v>
      </c>
      <c r="IW42" s="60"/>
      <c r="IY42" s="384"/>
      <c r="IZ42" s="762"/>
      <c r="JA42" s="762"/>
      <c r="JB42" s="762"/>
      <c r="JC42" s="762"/>
      <c r="JD42" s="762"/>
      <c r="JE42" s="762"/>
      <c r="JF42" s="762"/>
      <c r="JG42" s="762"/>
      <c r="JH42" s="762"/>
      <c r="JI42" s="762"/>
      <c r="JJ42" s="762"/>
      <c r="JK42" s="762"/>
      <c r="JL42" s="763"/>
      <c r="JM42" s="759"/>
      <c r="JN42" s="760"/>
      <c r="JO42" s="761"/>
      <c r="JP42" s="761"/>
      <c r="JQ42" s="761"/>
      <c r="JR42" s="761"/>
      <c r="JS42" s="761"/>
      <c r="JT42" s="761"/>
      <c r="JU42" s="385"/>
      <c r="JV42" s="385"/>
      <c r="JW42" s="386"/>
      <c r="JX42" s="385"/>
      <c r="JY42" s="757" t="s">
        <v>1204</v>
      </c>
      <c r="JZ42" s="747"/>
      <c r="KA42" s="57">
        <v>7</v>
      </c>
      <c r="KB42" s="758" t="str">
        <f>IF(OR($AV$6="O1",$AV$6="O2",$AV$6="O3"),Sorts!BA81,IF(OR($BB$6="O1",$BB$6="O2"),Sorts!BA143,""))</f>
        <v>Hétéromorphisme</v>
      </c>
      <c r="KC42" s="744"/>
      <c r="KD42" s="744"/>
      <c r="KE42" s="744"/>
      <c r="KF42" s="744"/>
      <c r="KG42" s="744"/>
      <c r="KH42" s="744"/>
      <c r="KI42" s="744"/>
      <c r="KJ42" s="744"/>
      <c r="KK42" s="744"/>
      <c r="KL42" s="744"/>
      <c r="KM42" s="744"/>
      <c r="KN42" s="744"/>
      <c r="KO42" s="744">
        <v>0</v>
      </c>
      <c r="KP42" s="745"/>
      <c r="KQ42" s="746">
        <f>IF(OR($AV$6="O1",$AV$6="O2",$AV$6="O3"),Sorts!BB81,IF(OR($BB$6="O1",$BB$6="O2"),Sorts!BB143,""))</f>
        <v>0</v>
      </c>
      <c r="KR42" s="747"/>
      <c r="KS42" s="748" t="str">
        <f>IF(OR($AV$6="O1",$AV$6="O2",$AV$6="O3"),Sorts!BC81,IF(OR($BB$6="O1",$BB$6="O2"),Sorts!BC143,""))</f>
        <v>1t/n</v>
      </c>
      <c r="KT42" s="748"/>
      <c r="KU42" s="748"/>
      <c r="KV42" s="57" t="str">
        <f>IF(OR($AV$6="O1",$AV$6="O2",$AV$6="O3"),Sorts!BD81,IF(OR($BB$6="O1",$BB$6="O2"),Sorts!BD143,""))</f>
        <v>X</v>
      </c>
      <c r="KW42" s="57" t="str">
        <f>IF(OR($AV$6="O1",$AV$6="O2",$AV$6="O3"),Sorts!BE81,IF(OR($BB$6="O1",$BB$6="O2"),Sorts!BE143,""))</f>
        <v>X</v>
      </c>
      <c r="KX42" s="58" t="str">
        <f>IF(OR($AV$6="O1",$AV$6="O2",$AV$6="O3"),Sorts!BF81,IF(OR($BB$6="O1",$BB$6="O2"),Sorts!BF143,""))</f>
        <v>X</v>
      </c>
    </row>
    <row r="43" spans="2:310" ht="18" customHeight="1" thickBot="1" x14ac:dyDescent="0.3">
      <c r="B43" s="4"/>
      <c r="L43" s="5"/>
      <c r="T43" s="638" t="s">
        <v>40</v>
      </c>
      <c r="U43" s="639"/>
      <c r="V43" s="639"/>
      <c r="W43" s="640"/>
      <c r="X43" s="638" t="s">
        <v>41</v>
      </c>
      <c r="Y43" s="639"/>
      <c r="Z43" s="639"/>
      <c r="AA43" s="639"/>
      <c r="AB43" s="639"/>
      <c r="AC43" s="639"/>
      <c r="AD43" s="640"/>
      <c r="AE43" s="638" t="s">
        <v>961</v>
      </c>
      <c r="AF43" s="639"/>
      <c r="AG43" s="639"/>
      <c r="AH43" s="639"/>
      <c r="AI43" s="639"/>
      <c r="AJ43" s="640"/>
      <c r="AL43" s="596" t="s">
        <v>1708</v>
      </c>
      <c r="AM43" s="597"/>
      <c r="AN43" s="597"/>
      <c r="AO43" s="598"/>
      <c r="AQ43" s="56">
        <v>34</v>
      </c>
      <c r="AR43" s="754"/>
      <c r="AS43" s="754"/>
      <c r="AT43" s="754"/>
      <c r="AU43" s="754"/>
      <c r="AV43" s="754"/>
      <c r="AW43" s="754"/>
      <c r="AX43" s="754"/>
      <c r="AY43" s="754"/>
      <c r="AZ43" s="754"/>
      <c r="BA43" s="754"/>
      <c r="BB43" s="754"/>
      <c r="BC43" s="754"/>
      <c r="BD43" s="755"/>
      <c r="BE43" s="756">
        <v>0</v>
      </c>
      <c r="BF43" s="754"/>
      <c r="BG43" s="748"/>
      <c r="BH43" s="748"/>
      <c r="BI43" s="748"/>
      <c r="BJ43" s="748"/>
      <c r="BK43" s="748"/>
      <c r="BL43" s="748"/>
      <c r="BM43" s="57"/>
      <c r="BN43" s="57"/>
      <c r="BO43" s="369"/>
      <c r="BP43" s="366"/>
      <c r="BQ43" s="757" t="s">
        <v>1204</v>
      </c>
      <c r="BR43" s="747"/>
      <c r="BS43" s="57">
        <v>34</v>
      </c>
      <c r="BT43" s="758" t="str">
        <f>IF(OR($AV$6="O1",$AV$6="O2",$AV$6="O3"),Sorts!E108,IF(OR($BB$6="O1",$BB$6="O2"),Sorts!E170,""))</f>
        <v>Projectile Magique</v>
      </c>
      <c r="BU43" s="744"/>
      <c r="BV43" s="744"/>
      <c r="BW43" s="744"/>
      <c r="BX43" s="744"/>
      <c r="BY43" s="744"/>
      <c r="BZ43" s="744"/>
      <c r="CA43" s="744"/>
      <c r="CB43" s="744"/>
      <c r="CC43" s="744"/>
      <c r="CD43" s="744"/>
      <c r="CE43" s="744"/>
      <c r="CF43" s="744"/>
      <c r="CG43" s="744">
        <v>0</v>
      </c>
      <c r="CH43" s="745"/>
      <c r="CI43" s="746" t="str">
        <f>IF(OR($AV$6="O1",$AV$6="O2",$AV$6="O3"),Sorts!F108,IF(OR($BB$6="O1",$BB$6="O2"),Sorts!F170,""))</f>
        <v>6’’+1’’/n</v>
      </c>
      <c r="CJ43" s="747"/>
      <c r="CK43" s="748" t="str">
        <f>IF(OR($AV$6="O1",$AV$6="O2",$AV$6="O3"),Sorts!G108,IF(OR($BB$6="O1",$BB$6="O2"),Sorts!G170,""))</f>
        <v>S</v>
      </c>
      <c r="CL43" s="748"/>
      <c r="CM43" s="748"/>
      <c r="CN43" s="57" t="str">
        <f>IF(OR($AV$6="O1",$AV$6="O2",$AV$6="O3"),Sorts!H108,IF(OR($BB$6="O1",$BB$6="O2"),Sorts!H170,""))</f>
        <v>X</v>
      </c>
      <c r="CO43" s="57" t="str">
        <f>IF(OR($AV$6="O1",$AV$6="O2",$AV$6="O3"),Sorts!I108,IF(OR($BB$6="O1",$BB$6="O2"),Sorts!I170,""))</f>
        <v>X</v>
      </c>
      <c r="CP43" s="58" t="str">
        <f>IF(OR($AV$6="O1",$AV$6="O2",$AV$6="O3"),Sorts!J108,IF(OR($BB$6="O1",$BB$6="O2"),Sorts!J170,""))</f>
        <v>/</v>
      </c>
      <c r="CQ43" s="60"/>
      <c r="CS43" s="56">
        <v>2</v>
      </c>
      <c r="CT43" s="754" t="str">
        <f>IF($AV$4="O",Sorts!Q5,IF($BB$4="O",Sorts!Q29,""))</f>
        <v/>
      </c>
      <c r="CU43" s="754"/>
      <c r="CV43" s="754"/>
      <c r="CW43" s="754"/>
      <c r="CX43" s="754"/>
      <c r="CY43" s="754"/>
      <c r="CZ43" s="754"/>
      <c r="DA43" s="754"/>
      <c r="DB43" s="754"/>
      <c r="DC43" s="754"/>
      <c r="DD43" s="754"/>
      <c r="DE43" s="754"/>
      <c r="DF43" s="755"/>
      <c r="DG43" s="756">
        <v>0</v>
      </c>
      <c r="DH43" s="747"/>
      <c r="DI43" s="748" t="str">
        <f>IF($AV$4="O",Sorts!R5,IF($BB$4="O",Sorts!R29,""))</f>
        <v/>
      </c>
      <c r="DJ43" s="748"/>
      <c r="DK43" s="748"/>
      <c r="DL43" s="748" t="str">
        <f>IF($AV$4="O",Sorts!S5,IF($BB$4="O",Sorts!S29,""))</f>
        <v/>
      </c>
      <c r="DM43" s="748"/>
      <c r="DN43" s="748"/>
      <c r="DO43" s="57" t="str">
        <f>IF($AV$4="O",Sorts!T5,IF($BB$4="O",Sorts!T29,""))</f>
        <v/>
      </c>
      <c r="DP43" s="57" t="str">
        <f>IF($AV$4="O",Sorts!U5,IF($BB$4="O",Sorts!U29,""))</f>
        <v/>
      </c>
      <c r="DQ43" s="58" t="str">
        <f>IF($AV$4="O",Sorts!V5,IF($BB$4="O",Sorts!V29,""))</f>
        <v/>
      </c>
      <c r="DR43" s="57"/>
      <c r="DS43" s="757" t="s">
        <v>1204</v>
      </c>
      <c r="DT43" s="747"/>
      <c r="DU43" s="57">
        <v>2</v>
      </c>
      <c r="DV43" s="758" t="str">
        <f>IF(OR($AV$6="O1",$AV$6="O2",$AV$6="O3"),Sorts!Q76,IF(OR($BB$6="O1",$BB$6="O2"),Sorts!Q138,""))</f>
        <v>Catalepsie</v>
      </c>
      <c r="DW43" s="744"/>
      <c r="DX43" s="744"/>
      <c r="DY43" s="744"/>
      <c r="DZ43" s="744"/>
      <c r="EA43" s="744"/>
      <c r="EB43" s="744"/>
      <c r="EC43" s="744"/>
      <c r="ED43" s="744"/>
      <c r="EE43" s="744"/>
      <c r="EF43" s="744"/>
      <c r="EG43" s="744"/>
      <c r="EH43" s="744"/>
      <c r="EI43" s="744">
        <v>0</v>
      </c>
      <c r="EJ43" s="745"/>
      <c r="EK43" s="746" t="str">
        <f>IF(OR($AV$6="O1",$AV$6="O2",$AV$6="O3"),Sorts!R76,IF(OR($BB$6="O1",$BB$6="O2"),Sorts!R138,""))</f>
        <v>T</v>
      </c>
      <c r="EL43" s="747"/>
      <c r="EM43" s="748" t="str">
        <f>IF(OR($AV$6="O1",$AV$6="O2",$AV$6="O3"),Sorts!S76,IF(OR($BB$6="O1",$BB$6="O2"),Sorts!S138,""))</f>
        <v>6r+1/n</v>
      </c>
      <c r="EN43" s="748"/>
      <c r="EO43" s="748"/>
      <c r="EP43" s="57" t="str">
        <f>IF(OR($AV$6="O1",$AV$6="O2",$AV$6="O3"),Sorts!T76,IF(OR($BB$6="O1",$BB$6="O2"),Sorts!T138,""))</f>
        <v>X</v>
      </c>
      <c r="EQ43" s="57" t="str">
        <f>IF(OR($AV$6="O1",$AV$6="O2",$AV$6="O3"),Sorts!U76,IF(OR($BB$6="O1",$BB$6="O2"),Sorts!U138,""))</f>
        <v>X</v>
      </c>
      <c r="ER43" s="58" t="str">
        <f>IF(OR($AV$6="O1",$AV$6="O2",$AV$6="O3"),Sorts!V76,IF(OR($BB$6="O1",$BB$6="O2"),Sorts!V138,""))</f>
        <v>/</v>
      </c>
      <c r="ES43" s="60"/>
      <c r="EU43" s="56">
        <v>6</v>
      </c>
      <c r="EV43" s="754" t="str">
        <f>IF($AV$4="O",Sorts!AC9,IF($BB$4="O",Sorts!AC33,""))</f>
        <v/>
      </c>
      <c r="EW43" s="754"/>
      <c r="EX43" s="754"/>
      <c r="EY43" s="754"/>
      <c r="EZ43" s="754"/>
      <c r="FA43" s="754"/>
      <c r="FB43" s="754"/>
      <c r="FC43" s="754"/>
      <c r="FD43" s="754"/>
      <c r="FE43" s="754"/>
      <c r="FF43" s="754"/>
      <c r="FG43" s="754"/>
      <c r="FH43" s="755"/>
      <c r="FI43" s="756">
        <v>0</v>
      </c>
      <c r="FJ43" s="747"/>
      <c r="FK43" s="748" t="str">
        <f>IF($AV$4="O",Sorts!AD9,IF($BB$4="O",Sorts!AD33,""))</f>
        <v/>
      </c>
      <c r="FL43" s="748"/>
      <c r="FM43" s="748"/>
      <c r="FN43" s="748" t="str">
        <f>IF($AV$4="O",Sorts!AE9,IF($BB$4="O",Sorts!AE33,""))</f>
        <v/>
      </c>
      <c r="FO43" s="748"/>
      <c r="FP43" s="748"/>
      <c r="FQ43" s="57" t="str">
        <f>IF($AV$4="O",Sorts!AF9,IF($BB$4="O",Sorts!AF33,""))</f>
        <v/>
      </c>
      <c r="FR43" s="57" t="str">
        <f>IF($AV$4="O",Sorts!AG9,IF($BB$4="O",Sorts!AG33,""))</f>
        <v/>
      </c>
      <c r="FS43" s="58" t="str">
        <f>IF($AV$4="O",Sorts!AH9,IF($BB$4="O",Sorts!AH33,""))</f>
        <v/>
      </c>
      <c r="FT43" s="57"/>
      <c r="FU43" s="757" t="s">
        <v>1204</v>
      </c>
      <c r="FV43" s="747"/>
      <c r="FW43" s="57">
        <v>6</v>
      </c>
      <c r="FX43" s="758" t="str">
        <f>IF(OR($AV$6="O1",$AV$6="O2",$AV$6="O3"),Sorts!AC80,IF(OR($BB$6="O1",$BB$6="O2"),Sorts!AC142,""))</f>
        <v>Débilité Mentale</v>
      </c>
      <c r="FY43" s="744"/>
      <c r="FZ43" s="744"/>
      <c r="GA43" s="744"/>
      <c r="GB43" s="744"/>
      <c r="GC43" s="744"/>
      <c r="GD43" s="744"/>
      <c r="GE43" s="744"/>
      <c r="GF43" s="744"/>
      <c r="GG43" s="744"/>
      <c r="GH43" s="744"/>
      <c r="GI43" s="744"/>
      <c r="GJ43" s="744"/>
      <c r="GK43" s="744">
        <v>0</v>
      </c>
      <c r="GL43" s="745"/>
      <c r="GM43" s="746" t="str">
        <f>IF(OR($AV$6="O1",$AV$6="O2",$AV$6="O3"),Sorts!AD80,IF(OR($BB$6="O1",$BB$6="O2"),Sorts!AD142,""))</f>
        <v>1''/n</v>
      </c>
      <c r="GN43" s="747"/>
      <c r="GO43" s="748" t="str">
        <f>IF(OR($AV$6="O1",$AV$6="O2",$AV$6="O3"),Sorts!AE80,IF(OR($BB$6="O1",$BB$6="O2"),Sorts!AE142,""))</f>
        <v>P</v>
      </c>
      <c r="GP43" s="748"/>
      <c r="GQ43" s="748"/>
      <c r="GR43" s="57" t="str">
        <f>IF(OR($AV$6="O1",$AV$6="O2",$AV$6="O3"),Sorts!AF80,IF(OR($BB$6="O1",$BB$6="O2"),Sorts!AF142,""))</f>
        <v>X</v>
      </c>
      <c r="GS43" s="57" t="str">
        <f>IF(OR($AV$6="O1",$AV$6="O2",$AV$6="O3"),Sorts!AG80,IF(OR($BB$6="O1",$BB$6="O2"),Sorts!AG142,""))</f>
        <v>X</v>
      </c>
      <c r="GT43" s="58" t="str">
        <f>IF(OR($AV$6="O1",$AV$6="O2",$AV$6="O3"),Sorts!AH80,IF(OR($BB$6="O1",$BB$6="O2"),Sorts!AH142,""))</f>
        <v>X</v>
      </c>
      <c r="GU43" s="60"/>
      <c r="GW43" s="56">
        <v>8</v>
      </c>
      <c r="GX43" s="754" t="str">
        <f>IF($AV$4="O",Sorts!AO11,IF($BB$4="O",Sorts!AO35,""))</f>
        <v/>
      </c>
      <c r="GY43" s="754"/>
      <c r="GZ43" s="754"/>
      <c r="HA43" s="754"/>
      <c r="HB43" s="754"/>
      <c r="HC43" s="754"/>
      <c r="HD43" s="754"/>
      <c r="HE43" s="754"/>
      <c r="HF43" s="754"/>
      <c r="HG43" s="754"/>
      <c r="HH43" s="754"/>
      <c r="HI43" s="754"/>
      <c r="HJ43" s="755"/>
      <c r="HK43" s="756">
        <v>0</v>
      </c>
      <c r="HL43" s="747"/>
      <c r="HM43" s="748" t="str">
        <f>IF($AV$4="O",Sorts!AP11,IF($BB$4="O",Sorts!AP35,""))</f>
        <v/>
      </c>
      <c r="HN43" s="748"/>
      <c r="HO43" s="748"/>
      <c r="HP43" s="748" t="str">
        <f>IF($AV$4="O",Sorts!AQ11,IF($BB$4="O",Sorts!AQ35,""))</f>
        <v/>
      </c>
      <c r="HQ43" s="748"/>
      <c r="HR43" s="748"/>
      <c r="HS43" s="57" t="str">
        <f>IF($AV$4="O",Sorts!AR11,IF($BB$4="O",Sorts!AR35,""))</f>
        <v/>
      </c>
      <c r="HT43" s="57" t="str">
        <f>IF($AV$4="O",Sorts!AS11,IF($BB$4="O",Sorts!AS35,""))</f>
        <v/>
      </c>
      <c r="HU43" s="58" t="str">
        <f>IF($AV$4="O",Sorts!AT11,IF($BB$4="O",Sorts!AT35,""))</f>
        <v/>
      </c>
      <c r="HV43" s="57"/>
      <c r="HW43" s="757" t="s">
        <v>1204</v>
      </c>
      <c r="HX43" s="747"/>
      <c r="HY43" s="57">
        <v>8</v>
      </c>
      <c r="HZ43" s="758" t="str">
        <f>IF(OR($AV$6="O1",$AV$6="O2",$AV$6="O3"),Sorts!AO82,IF(OR($BB$6="O1",$BB$6="O2"),Sorts!AO144,""))</f>
        <v>Épée de Mordenkainen</v>
      </c>
      <c r="IA43" s="744"/>
      <c r="IB43" s="744"/>
      <c r="IC43" s="744"/>
      <c r="ID43" s="744"/>
      <c r="IE43" s="744"/>
      <c r="IF43" s="744"/>
      <c r="IG43" s="744"/>
      <c r="IH43" s="744"/>
      <c r="II43" s="744"/>
      <c r="IJ43" s="744"/>
      <c r="IK43" s="744"/>
      <c r="IL43" s="744"/>
      <c r="IM43" s="744">
        <v>0</v>
      </c>
      <c r="IN43" s="745"/>
      <c r="IO43" s="746" t="str">
        <f>IF(OR($AV$6="O1",$AV$6="O2",$AV$6="O3"),Sorts!AP82,IF(OR($BB$6="O1",$BB$6="O2"),Sorts!AP144,""))</f>
        <v>3''</v>
      </c>
      <c r="IP43" s="747"/>
      <c r="IQ43" s="748" t="str">
        <f>IF(OR($AV$6="O1",$AV$6="O2",$AV$6="O3"),Sorts!AQ82,IF(OR($BB$6="O1",$BB$6="O2"),Sorts!AQ144,""))</f>
        <v>1r/n</v>
      </c>
      <c r="IR43" s="748"/>
      <c r="IS43" s="748"/>
      <c r="IT43" s="57" t="str">
        <f>IF(OR($AV$6="O1",$AV$6="O2",$AV$6="O3"),Sorts!AR82,IF(OR($BB$6="O1",$BB$6="O2"),Sorts!AR144,""))</f>
        <v>X</v>
      </c>
      <c r="IU43" s="57" t="str">
        <f>IF(OR($AV$6="O1",$AV$6="O2",$AV$6="O3"),Sorts!AS82,IF(OR($BB$6="O1",$BB$6="O2"),Sorts!AS144,""))</f>
        <v>X</v>
      </c>
      <c r="IV43" s="58" t="str">
        <f>IF(OR($AV$6="O1",$AV$6="O2",$AV$6="O3"),Sorts!AT82,IF(OR($BB$6="O1",$BB$6="O2"),Sorts!AT144,""))</f>
        <v>X</v>
      </c>
      <c r="IW43" s="60"/>
      <c r="IY43" s="384"/>
      <c r="IZ43" s="762"/>
      <c r="JA43" s="762"/>
      <c r="JB43" s="762"/>
      <c r="JC43" s="762"/>
      <c r="JD43" s="762"/>
      <c r="JE43" s="762"/>
      <c r="JF43" s="762"/>
      <c r="JG43" s="762"/>
      <c r="JH43" s="762"/>
      <c r="JI43" s="762"/>
      <c r="JJ43" s="762"/>
      <c r="JK43" s="762"/>
      <c r="JL43" s="763"/>
      <c r="JM43" s="759"/>
      <c r="JN43" s="760"/>
      <c r="JO43" s="761"/>
      <c r="JP43" s="761"/>
      <c r="JQ43" s="761"/>
      <c r="JR43" s="761"/>
      <c r="JS43" s="761"/>
      <c r="JT43" s="761"/>
      <c r="JU43" s="385"/>
      <c r="JV43" s="385"/>
      <c r="JW43" s="386"/>
      <c r="JX43" s="385"/>
      <c r="JY43" s="757" t="s">
        <v>1204</v>
      </c>
      <c r="JZ43" s="747"/>
      <c r="KA43" s="57">
        <v>8</v>
      </c>
      <c r="KB43" s="758" t="str">
        <f>IF(OR($AV$6="O1",$AV$6="O2",$AV$6="O3"),Sorts!BA82,IF(OR($BB$6="O1",$BB$6="O2"),Sorts!BA144,""))</f>
        <v>Invocation de Monstre VII</v>
      </c>
      <c r="KC43" s="744"/>
      <c r="KD43" s="744"/>
      <c r="KE43" s="744"/>
      <c r="KF43" s="744"/>
      <c r="KG43" s="744"/>
      <c r="KH43" s="744"/>
      <c r="KI43" s="744"/>
      <c r="KJ43" s="744"/>
      <c r="KK43" s="744"/>
      <c r="KL43" s="744"/>
      <c r="KM43" s="744"/>
      <c r="KN43" s="744"/>
      <c r="KO43" s="744">
        <v>0</v>
      </c>
      <c r="KP43" s="745"/>
      <c r="KQ43" s="746" t="str">
        <f>IF(OR($AV$6="O1",$AV$6="O2",$AV$6="O3"),Sorts!BB82,IF(OR($BB$6="O1",$BB$6="O2"),Sorts!BB144,""))</f>
        <v>9''</v>
      </c>
      <c r="KR43" s="747"/>
      <c r="KS43" s="748" t="str">
        <f>IF(OR($AV$6="O1",$AV$6="O2",$AV$6="O3"),Sorts!BC82,IF(OR($BB$6="O1",$BB$6="O2"),Sorts!BC144,""))</f>
        <v>8r+1/n</v>
      </c>
      <c r="KT43" s="748"/>
      <c r="KU43" s="748"/>
      <c r="KV43" s="57" t="str">
        <f>IF(OR($AV$6="O1",$AV$6="O2",$AV$6="O3"),Sorts!BD82,IF(OR($BB$6="O1",$BB$6="O2"),Sorts!BD144,""))</f>
        <v>X</v>
      </c>
      <c r="KW43" s="57" t="str">
        <f>IF(OR($AV$6="O1",$AV$6="O2",$AV$6="O3"),Sorts!BE82,IF(OR($BB$6="O1",$BB$6="O2"),Sorts!BE144,""))</f>
        <v>X</v>
      </c>
      <c r="KX43" s="58" t="str">
        <f>IF(OR($AV$6="O1",$AV$6="O2",$AV$6="O3"),Sorts!BF82,IF(OR($BB$6="O1",$BB$6="O2"),Sorts!BF144,""))</f>
        <v>X</v>
      </c>
    </row>
    <row r="44" spans="2:310" ht="18" customHeight="1" thickTop="1" thickBot="1" x14ac:dyDescent="0.3">
      <c r="B44" s="4"/>
      <c r="C44" s="774" t="s">
        <v>381</v>
      </c>
      <c r="D44" s="775"/>
      <c r="G44" s="502" t="s">
        <v>1709</v>
      </c>
      <c r="H44" s="503"/>
      <c r="I44" s="504" t="str">
        <f>VLOOKUP(Code_Classe,Classe!$C$3:$AD$40,28,FALSE)</f>
        <v>NivC1</v>
      </c>
      <c r="J44" s="505">
        <f>IF(VLOOKUP(Code_Classe,Classe!$C$3:$AD$40,28,FALSE)="NivC2",NivC2,NivC1)</f>
        <v>3</v>
      </c>
      <c r="L44" s="5"/>
      <c r="M44" s="582" t="s">
        <v>42</v>
      </c>
      <c r="N44" s="583"/>
      <c r="O44" s="583"/>
      <c r="P44" s="583"/>
      <c r="Q44" s="584"/>
      <c r="R44" s="498" t="s">
        <v>388</v>
      </c>
      <c r="S44" s="496" t="s">
        <v>1845</v>
      </c>
      <c r="T44" s="293" t="s">
        <v>389</v>
      </c>
      <c r="U44" s="23" t="s">
        <v>390</v>
      </c>
      <c r="V44" s="646" t="s">
        <v>381</v>
      </c>
      <c r="W44" s="647"/>
      <c r="X44" s="582" t="s">
        <v>391</v>
      </c>
      <c r="Y44" s="584"/>
      <c r="Z44" s="582" t="s">
        <v>392</v>
      </c>
      <c r="AA44" s="584"/>
      <c r="AB44" s="293" t="s">
        <v>389</v>
      </c>
      <c r="AC44" s="293" t="s">
        <v>390</v>
      </c>
      <c r="AD44" s="491" t="s">
        <v>393</v>
      </c>
      <c r="AE44" s="582" t="s">
        <v>1662</v>
      </c>
      <c r="AF44" s="584"/>
      <c r="AG44" s="582" t="s">
        <v>1268</v>
      </c>
      <c r="AH44" s="584"/>
      <c r="AI44" s="582" t="s">
        <v>1269</v>
      </c>
      <c r="AJ44" s="584"/>
      <c r="AL44" s="599" t="s">
        <v>1489</v>
      </c>
      <c r="AM44" s="600"/>
      <c r="AN44" s="600"/>
      <c r="AO44" s="601"/>
      <c r="AQ44" s="56">
        <v>35</v>
      </c>
      <c r="AR44" s="754"/>
      <c r="AS44" s="754"/>
      <c r="AT44" s="754"/>
      <c r="AU44" s="754"/>
      <c r="AV44" s="754"/>
      <c r="AW44" s="754"/>
      <c r="AX44" s="754"/>
      <c r="AY44" s="754"/>
      <c r="AZ44" s="754"/>
      <c r="BA44" s="754"/>
      <c r="BB44" s="754"/>
      <c r="BC44" s="754"/>
      <c r="BD44" s="755"/>
      <c r="BE44" s="756">
        <v>0</v>
      </c>
      <c r="BF44" s="754"/>
      <c r="BG44" s="748"/>
      <c r="BH44" s="748"/>
      <c r="BI44" s="748"/>
      <c r="BJ44" s="748"/>
      <c r="BK44" s="748"/>
      <c r="BL44" s="748"/>
      <c r="BM44" s="57"/>
      <c r="BN44" s="57"/>
      <c r="BO44" s="369"/>
      <c r="BP44" s="366"/>
      <c r="BQ44" s="757" t="s">
        <v>1204</v>
      </c>
      <c r="BR44" s="747"/>
      <c r="BS44" s="57">
        <v>35</v>
      </c>
      <c r="BT44" s="758" t="str">
        <f>IF(OR($AV$6="O1",$AV$6="O2",$AV$6="O3"),Sorts!E109,IF(OR($BB$6="O1",$BB$6="O2"),Sorts!E171,""))</f>
        <v>Protection contre le Mal</v>
      </c>
      <c r="BU44" s="744"/>
      <c r="BV44" s="744"/>
      <c r="BW44" s="744"/>
      <c r="BX44" s="744"/>
      <c r="BY44" s="744"/>
      <c r="BZ44" s="744"/>
      <c r="CA44" s="744"/>
      <c r="CB44" s="744"/>
      <c r="CC44" s="744"/>
      <c r="CD44" s="744"/>
      <c r="CE44" s="744"/>
      <c r="CF44" s="744"/>
      <c r="CG44" s="744">
        <v>0</v>
      </c>
      <c r="CH44" s="745"/>
      <c r="CI44" s="746" t="str">
        <f>IF(OR($AV$6="O1",$AV$6="O2",$AV$6="O3"),Sorts!F109,IF(OR($BB$6="O1",$BB$6="O2"),Sorts!F171,""))</f>
        <v>T</v>
      </c>
      <c r="CJ44" s="747"/>
      <c r="CK44" s="748" t="str">
        <f>IF(OR($AV$6="O1",$AV$6="O2",$AV$6="O3"),Sorts!G109,IF(OR($BB$6="O1",$BB$6="O2"),Sorts!G171,""))</f>
        <v>2r/n</v>
      </c>
      <c r="CL44" s="748"/>
      <c r="CM44" s="748"/>
      <c r="CN44" s="57" t="str">
        <f>IF(OR($AV$6="O1",$AV$6="O2",$AV$6="O3"),Sorts!H109,IF(OR($BB$6="O1",$BB$6="O2"),Sorts!H171,""))</f>
        <v>X</v>
      </c>
      <c r="CO44" s="57" t="str">
        <f>IF(OR($AV$6="O1",$AV$6="O2",$AV$6="O3"),Sorts!I109,IF(OR($BB$6="O1",$BB$6="O2"),Sorts!I171,""))</f>
        <v>X</v>
      </c>
      <c r="CP44" s="58" t="str">
        <f>IF(OR($AV$6="O1",$AV$6="O2",$AV$6="O3"),Sorts!J109,IF(OR($BB$6="O1",$BB$6="O2"),Sorts!J171,""))</f>
        <v>X</v>
      </c>
      <c r="CQ44" s="25"/>
      <c r="CS44" s="56">
        <v>3</v>
      </c>
      <c r="CT44" s="754" t="str">
        <f>IF($AV$4="O",Sorts!Q6,IF($BB$4="O",Sorts!Q30,""))</f>
        <v/>
      </c>
      <c r="CU44" s="754"/>
      <c r="CV44" s="754"/>
      <c r="CW44" s="754"/>
      <c r="CX44" s="754"/>
      <c r="CY44" s="754"/>
      <c r="CZ44" s="754"/>
      <c r="DA44" s="754"/>
      <c r="DB44" s="754"/>
      <c r="DC44" s="754"/>
      <c r="DD44" s="754"/>
      <c r="DE44" s="754"/>
      <c r="DF44" s="755"/>
      <c r="DG44" s="756">
        <v>0</v>
      </c>
      <c r="DH44" s="747"/>
      <c r="DI44" s="748" t="str">
        <f>IF($AV$4="O",Sorts!R6,IF($BB$4="O",Sorts!R30,""))</f>
        <v/>
      </c>
      <c r="DJ44" s="748"/>
      <c r="DK44" s="748"/>
      <c r="DL44" s="748" t="str">
        <f>IF($AV$4="O",Sorts!S6,IF($BB$4="O",Sorts!S30,""))</f>
        <v/>
      </c>
      <c r="DM44" s="748"/>
      <c r="DN44" s="748"/>
      <c r="DO44" s="57" t="str">
        <f>IF($AV$4="O",Sorts!T6,IF($BB$4="O",Sorts!T30,""))</f>
        <v/>
      </c>
      <c r="DP44" s="57" t="str">
        <f>IF($AV$4="O",Sorts!U6,IF($BB$4="O",Sorts!U30,""))</f>
        <v/>
      </c>
      <c r="DQ44" s="58" t="str">
        <f>IF($AV$4="O",Sorts!V6,IF($BB$4="O",Sorts!V30,""))</f>
        <v/>
      </c>
      <c r="DR44" s="57"/>
      <c r="DS44" s="757" t="s">
        <v>1204</v>
      </c>
      <c r="DT44" s="747"/>
      <c r="DU44" s="57">
        <v>3</v>
      </c>
      <c r="DV44" s="758" t="str">
        <f>IF(OR($AV$6="O1",$AV$6="O2",$AV$6="O3"),Sorts!Q77,IF(OR($BB$6="O1",$BB$6="O2"),Sorts!Q139,""))</f>
        <v>Chaumière de Léomund</v>
      </c>
      <c r="DW44" s="744"/>
      <c r="DX44" s="744"/>
      <c r="DY44" s="744"/>
      <c r="DZ44" s="744"/>
      <c r="EA44" s="744"/>
      <c r="EB44" s="744"/>
      <c r="EC44" s="744"/>
      <c r="ED44" s="744"/>
      <c r="EE44" s="744"/>
      <c r="EF44" s="744"/>
      <c r="EG44" s="744"/>
      <c r="EH44" s="744"/>
      <c r="EI44" s="744">
        <v>0</v>
      </c>
      <c r="EJ44" s="745"/>
      <c r="EK44" s="746">
        <f>IF(OR($AV$6="O1",$AV$6="O2",$AV$6="O3"),Sorts!R77,IF(OR($BB$6="O1",$BB$6="O2"),Sorts!R139,""))</f>
        <v>0</v>
      </c>
      <c r="EL44" s="747"/>
      <c r="EM44" s="748" t="str">
        <f>IF(OR($AV$6="O1",$AV$6="O2",$AV$6="O3"),Sorts!S77,IF(OR($BB$6="O1",$BB$6="O2"),Sorts!S139,""))</f>
        <v>6t/n</v>
      </c>
      <c r="EN44" s="748"/>
      <c r="EO44" s="748"/>
      <c r="EP44" s="57" t="str">
        <f>IF(OR($AV$6="O1",$AV$6="O2",$AV$6="O3"),Sorts!T77,IF(OR($BB$6="O1",$BB$6="O2"),Sorts!T139,""))</f>
        <v>X</v>
      </c>
      <c r="EQ44" s="57" t="str">
        <f>IF(OR($AV$6="O1",$AV$6="O2",$AV$6="O3"),Sorts!U77,IF(OR($BB$6="O1",$BB$6="O2"),Sorts!U139,""))</f>
        <v>X</v>
      </c>
      <c r="ER44" s="58" t="str">
        <f>IF(OR($AV$6="O1",$AV$6="O2",$AV$6="O3"),Sorts!V77,IF(OR($BB$6="O1",$BB$6="O2"),Sorts!V139,""))</f>
        <v>X</v>
      </c>
      <c r="ES44" s="25"/>
      <c r="EU44" s="56">
        <v>7</v>
      </c>
      <c r="EV44" s="754" t="str">
        <f>IF($AV$4="O",Sorts!AC10,IF($BB$4="O",Sorts!AC34,""))</f>
        <v/>
      </c>
      <c r="EW44" s="754"/>
      <c r="EX44" s="754"/>
      <c r="EY44" s="754"/>
      <c r="EZ44" s="754"/>
      <c r="FA44" s="754"/>
      <c r="FB44" s="754"/>
      <c r="FC44" s="754"/>
      <c r="FD44" s="754"/>
      <c r="FE44" s="754"/>
      <c r="FF44" s="754"/>
      <c r="FG44" s="754"/>
      <c r="FH44" s="755"/>
      <c r="FI44" s="756">
        <v>0</v>
      </c>
      <c r="FJ44" s="747"/>
      <c r="FK44" s="748" t="str">
        <f>IF($AV$4="O",Sorts!AD10,IF($BB$4="O",Sorts!AD34,""))</f>
        <v/>
      </c>
      <c r="FL44" s="748"/>
      <c r="FM44" s="748"/>
      <c r="FN44" s="748" t="str">
        <f>IF($AV$4="O",Sorts!AE10,IF($BB$4="O",Sorts!AE34,""))</f>
        <v/>
      </c>
      <c r="FO44" s="748"/>
      <c r="FP44" s="748"/>
      <c r="FQ44" s="57" t="str">
        <f>IF($AV$4="O",Sorts!AF10,IF($BB$4="O",Sorts!AF34,""))</f>
        <v/>
      </c>
      <c r="FR44" s="57" t="str">
        <f>IF($AV$4="O",Sorts!AG10,IF($BB$4="O",Sorts!AG34,""))</f>
        <v/>
      </c>
      <c r="FS44" s="58" t="str">
        <f>IF($AV$4="O",Sorts!AH10,IF($BB$4="O",Sorts!AH34,""))</f>
        <v/>
      </c>
      <c r="FT44" s="57"/>
      <c r="FU44" s="757" t="s">
        <v>1204</v>
      </c>
      <c r="FV44" s="747"/>
      <c r="FW44" s="57">
        <v>7</v>
      </c>
      <c r="FX44" s="758" t="str">
        <f>IF(OR($AV$6="O1",$AV$6="O2",$AV$6="O3"),Sorts!AC81,IF(OR($BB$6="O1",$BB$6="O2"),Sorts!AC143,""))</f>
        <v>Distorsion des Distances</v>
      </c>
      <c r="FY44" s="744"/>
      <c r="FZ44" s="744"/>
      <c r="GA44" s="744"/>
      <c r="GB44" s="744"/>
      <c r="GC44" s="744"/>
      <c r="GD44" s="744"/>
      <c r="GE44" s="744"/>
      <c r="GF44" s="744"/>
      <c r="GG44" s="744"/>
      <c r="GH44" s="744"/>
      <c r="GI44" s="744"/>
      <c r="GJ44" s="744"/>
      <c r="GK44" s="744">
        <v>0</v>
      </c>
      <c r="GL44" s="745"/>
      <c r="GM44" s="746" t="str">
        <f>IF(OR($AV$6="O1",$AV$6="O2",$AV$6="O3"),Sorts!AD81,IF(OR($BB$6="O1",$BB$6="O2"),Sorts!AD143,""))</f>
        <v>1''/n</v>
      </c>
      <c r="GN44" s="747"/>
      <c r="GO44" s="748" t="str">
        <f>IF(OR($AV$6="O1",$AV$6="O2",$AV$6="O3"),Sorts!AE81,IF(OR($BB$6="O1",$BB$6="O2"),Sorts!AE143,""))</f>
        <v>1t/n</v>
      </c>
      <c r="GP44" s="748"/>
      <c r="GQ44" s="748"/>
      <c r="GR44" s="57" t="str">
        <f>IF(OR($AV$6="O1",$AV$6="O2",$AV$6="O3"),Sorts!AF81,IF(OR($BB$6="O1",$BB$6="O2"),Sorts!AF143,""))</f>
        <v>X</v>
      </c>
      <c r="GS44" s="57" t="str">
        <f>IF(OR($AV$6="O1",$AV$6="O2",$AV$6="O3"),Sorts!AG81,IF(OR($BB$6="O1",$BB$6="O2"),Sorts!AG143,""))</f>
        <v>X</v>
      </c>
      <c r="GT44" s="58" t="str">
        <f>IF(OR($AV$6="O1",$AV$6="O2",$AV$6="O3"),Sorts!AH81,IF(OR($BB$6="O1",$BB$6="O2"),Sorts!AH143,""))</f>
        <v>X</v>
      </c>
      <c r="GU44" s="25"/>
      <c r="GW44" s="56">
        <v>9</v>
      </c>
      <c r="GX44" s="754" t="str">
        <f>IF($AV$4="O",Sorts!AO12,IF($BB$4="O",Sorts!AO36,""))</f>
        <v/>
      </c>
      <c r="GY44" s="754"/>
      <c r="GZ44" s="754"/>
      <c r="HA44" s="754"/>
      <c r="HB44" s="754"/>
      <c r="HC44" s="754"/>
      <c r="HD44" s="754"/>
      <c r="HE44" s="754"/>
      <c r="HF44" s="754"/>
      <c r="HG44" s="754"/>
      <c r="HH44" s="754"/>
      <c r="HI44" s="754"/>
      <c r="HJ44" s="755"/>
      <c r="HK44" s="756">
        <v>0</v>
      </c>
      <c r="HL44" s="747"/>
      <c r="HM44" s="748" t="str">
        <f>IF($AV$4="O",Sorts!AP12,IF($BB$4="O",Sorts!AP36,""))</f>
        <v/>
      </c>
      <c r="HN44" s="748"/>
      <c r="HO44" s="748"/>
      <c r="HP44" s="748" t="str">
        <f>IF($AV$4="O",Sorts!AQ12,IF($BB$4="O",Sorts!AQ36,""))</f>
        <v/>
      </c>
      <c r="HQ44" s="748"/>
      <c r="HR44" s="748"/>
      <c r="HS44" s="57" t="str">
        <f>IF($AV$4="O",Sorts!AR12,IF($BB$4="O",Sorts!AR36,""))</f>
        <v/>
      </c>
      <c r="HT44" s="57" t="str">
        <f>IF($AV$4="O",Sorts!AS12,IF($BB$4="O",Sorts!AS36,""))</f>
        <v/>
      </c>
      <c r="HU44" s="58" t="str">
        <f>IF($AV$4="O",Sorts!AT12,IF($BB$4="O",Sorts!AT36,""))</f>
        <v/>
      </c>
      <c r="HV44" s="57"/>
      <c r="HW44" s="757" t="s">
        <v>1204</v>
      </c>
      <c r="HX44" s="747"/>
      <c r="HY44" s="57">
        <v>9</v>
      </c>
      <c r="HZ44" s="758" t="str">
        <f>IF(OR($AV$6="O1",$AV$6="O2",$AV$6="O3"),Sorts!AO83,IF(OR($BB$6="O1",$BB$6="O2"),Sorts!AO145,""))</f>
        <v>Inversion de la Gravité</v>
      </c>
      <c r="IA44" s="744"/>
      <c r="IB44" s="744"/>
      <c r="IC44" s="744"/>
      <c r="ID44" s="744"/>
      <c r="IE44" s="744"/>
      <c r="IF44" s="744"/>
      <c r="IG44" s="744"/>
      <c r="IH44" s="744"/>
      <c r="II44" s="744"/>
      <c r="IJ44" s="744"/>
      <c r="IK44" s="744"/>
      <c r="IL44" s="744"/>
      <c r="IM44" s="744">
        <v>0</v>
      </c>
      <c r="IN44" s="745"/>
      <c r="IO44" s="746" t="str">
        <f>IF(OR($AV$6="O1",$AV$6="O2",$AV$6="O3"),Sorts!AP83,IF(OR($BB$6="O1",$BB$6="O2"),Sorts!AP145,""))</f>
        <v>0,5''/n</v>
      </c>
      <c r="IP44" s="747"/>
      <c r="IQ44" s="748" t="str">
        <f>IF(OR($AV$6="O1",$AV$6="O2",$AV$6="O3"),Sorts!AQ83,IF(OR($BB$6="O1",$BB$6="O2"),Sorts!AQ145,""))</f>
        <v>1s</v>
      </c>
      <c r="IR44" s="748"/>
      <c r="IS44" s="748"/>
      <c r="IT44" s="57" t="str">
        <f>IF(OR($AV$6="O1",$AV$6="O2",$AV$6="O3"),Sorts!AR83,IF(OR($BB$6="O1",$BB$6="O2"),Sorts!AR145,""))</f>
        <v>X</v>
      </c>
      <c r="IU44" s="57" t="str">
        <f>IF(OR($AV$6="O1",$AV$6="O2",$AV$6="O3"),Sorts!AS83,IF(OR($BB$6="O1",$BB$6="O2"),Sorts!AS145,""))</f>
        <v>X</v>
      </c>
      <c r="IV44" s="58" t="str">
        <f>IF(OR($AV$6="O1",$AV$6="O2",$AV$6="O3"),Sorts!AT83,IF(OR($BB$6="O1",$BB$6="O2"),Sorts!AT145,""))</f>
        <v>X</v>
      </c>
      <c r="IW44" s="25"/>
      <c r="IY44" s="384"/>
      <c r="IZ44" s="762"/>
      <c r="JA44" s="762"/>
      <c r="JB44" s="762"/>
      <c r="JC44" s="762"/>
      <c r="JD44" s="762"/>
      <c r="JE44" s="762"/>
      <c r="JF44" s="762"/>
      <c r="JG44" s="762"/>
      <c r="JH44" s="762"/>
      <c r="JI44" s="762"/>
      <c r="JJ44" s="762"/>
      <c r="JK44" s="762"/>
      <c r="JL44" s="763"/>
      <c r="JM44" s="759"/>
      <c r="JN44" s="760"/>
      <c r="JO44" s="761"/>
      <c r="JP44" s="761"/>
      <c r="JQ44" s="761"/>
      <c r="JR44" s="761"/>
      <c r="JS44" s="761"/>
      <c r="JT44" s="761"/>
      <c r="JU44" s="385"/>
      <c r="JV44" s="385"/>
      <c r="JW44" s="386"/>
      <c r="JX44" s="385"/>
      <c r="JY44" s="757" t="s">
        <v>1204</v>
      </c>
      <c r="JZ44" s="747"/>
      <c r="KA44" s="57">
        <v>9</v>
      </c>
      <c r="KB44" s="758" t="str">
        <f>IF(OR($AV$6="O1",$AV$6="O2",$AV$6="O3"),Sorts!BA83,IF(OR($BB$6="O1",$BB$6="O2"),Sorts!BA145,""))</f>
        <v>Main Broyante de Bigby</v>
      </c>
      <c r="KC44" s="744"/>
      <c r="KD44" s="744"/>
      <c r="KE44" s="744"/>
      <c r="KF44" s="744"/>
      <c r="KG44" s="744"/>
      <c r="KH44" s="744"/>
      <c r="KI44" s="744"/>
      <c r="KJ44" s="744"/>
      <c r="KK44" s="744"/>
      <c r="KL44" s="744"/>
      <c r="KM44" s="744"/>
      <c r="KN44" s="744"/>
      <c r="KO44" s="744">
        <v>0</v>
      </c>
      <c r="KP44" s="745"/>
      <c r="KQ44" s="746" t="str">
        <f>IF(OR($AV$6="O1",$AV$6="O2",$AV$6="O3"),Sorts!BB83,IF(OR($BB$6="O1",$BB$6="O2"),Sorts!BB145,""))</f>
        <v>0,5''/n</v>
      </c>
      <c r="KR44" s="747"/>
      <c r="KS44" s="748" t="str">
        <f>IF(OR($AV$6="O1",$AV$6="O2",$AV$6="O3"),Sorts!BC83,IF(OR($BB$6="O1",$BB$6="O2"),Sorts!BC145,""))</f>
        <v>1r/n</v>
      </c>
      <c r="KT44" s="748"/>
      <c r="KU44" s="748"/>
      <c r="KV44" s="57" t="str">
        <f>IF(OR($AV$6="O1",$AV$6="O2",$AV$6="O3"),Sorts!BD83,IF(OR($BB$6="O1",$BB$6="O2"),Sorts!BD145,""))</f>
        <v>X</v>
      </c>
      <c r="KW44" s="57" t="str">
        <f>IF(OR($AV$6="O1",$AV$6="O2",$AV$6="O3"),Sorts!BE83,IF(OR($BB$6="O1",$BB$6="O2"),Sorts!BE145,""))</f>
        <v>X</v>
      </c>
      <c r="KX44" s="58" t="str">
        <f>IF(OR($AV$6="O1",$AV$6="O2",$AV$6="O3"),Sorts!BF83,IF(OR($BB$6="O1",$BB$6="O2"),Sorts!BF145,""))</f>
        <v>X</v>
      </c>
    </row>
    <row r="45" spans="2:310" ht="18" customHeight="1" thickBot="1" x14ac:dyDescent="0.3">
      <c r="B45" s="4"/>
      <c r="C45" s="770" cm="1">
        <f t="array" ref="C45">IF(OR(Code_Classe=15,Code_Classe=16,Code_Classe=21,Code_Classe=22,Code_Classe=30,Code_Classe=31,Code_Classe=32,Code_Classe=33,Code_Classe=34,Code_Classe=35),INDEX(Niveau!B355:AM391,NivC2+1,Code_Classe+1),INDEX(Niveau!B355:AM391,NivC1+1,Code_Classe+1))</f>
        <v>18</v>
      </c>
      <c r="D45" s="771"/>
      <c r="G45" s="585" t="s">
        <v>196</v>
      </c>
      <c r="H45" s="586"/>
      <c r="I45" s="586"/>
      <c r="J45" s="587"/>
      <c r="L45" s="569" t="s">
        <v>1830</v>
      </c>
      <c r="M45" s="582" t="s">
        <v>1831</v>
      </c>
      <c r="N45" s="583"/>
      <c r="O45" s="583"/>
      <c r="P45" s="583"/>
      <c r="Q45" s="583"/>
      <c r="R45" s="517" t="str">
        <f>IF(OR(Code_Classe=14,M45=$G$45,M45=$G$46,M45=$G$47,M45=$G$48,M45=$G$49,M45=$G$50,M45=$G$51,M45=$G$52),"O","N")</f>
        <v>O</v>
      </c>
      <c r="S45" s="497" t="str">
        <f>IF(AND($R45="O",Code_Classe=7,OR($M45='Armures-Armes'!$B$115,$M45='Armures-Armes'!$B$124,$M45='Armures-Armes'!$B$125,$M45='Armures-Armes'!$B$126,$M45='Armures-Armes'!$B$130,$M45='Armures-Armes'!$B$143,$M45='Armures-Armes'!$B$144,$M45='Armures-Armes'!$B$145,$M45='Armures-Armes'!$B$150)),"P",IF(AND(Code_Classe=5,OR($M45='Armures-Armes'!$B$115,$M45='Armures-Armes'!$B$124,$M45='Armures-Armes'!$B$125,$M45='Armures-Armes'!$B$126,$M45='Armures-Armes'!$B$130,$M45='Armures-Armes'!$B$143,$M45='Armures-Armes'!$B$144,$M45='Armures-Armes'!$B$145,$M45='Armures-Armes'!$B$150)),"P",IF(AND(OR(Code_Classe=3,Code_Classe=4),Spec1=$M45,$R45="O"),"S","")))</f>
        <v/>
      </c>
      <c r="T45" s="518">
        <f>+$I$11</f>
        <v>0</v>
      </c>
      <c r="U45" s="493">
        <v>0</v>
      </c>
      <c r="V45" s="644">
        <f>$C$45-IF($R45="N",$E$52,0)-IF($S45="S",1,0)-$T45-U45</f>
        <v>18</v>
      </c>
      <c r="W45" s="645"/>
      <c r="X45" s="594" t="str">
        <f>IF(Code_Classe=14,VLOOKUP(NivC1,Classe!B43:I60,5,FALSE),VLOOKUP($M45,'Armures-Armes'!$B$102:$I$160,4,FALSE))</f>
        <v>1D2</v>
      </c>
      <c r="Y45" s="595"/>
      <c r="Z45" s="594" t="str">
        <f>IF(Code_Classe=14,VLOOKUP(NivC1,Classe!B43:I60,5,FALSE),VLOOKUP($M45,'Armures-Armes'!$B$102:$I$160,5,FALSE))</f>
        <v>1D2</v>
      </c>
      <c r="AA45" s="595"/>
      <c r="AB45" s="495">
        <f>$M$11</f>
        <v>0</v>
      </c>
      <c r="AC45" s="493">
        <v>0</v>
      </c>
      <c r="AD45" s="492">
        <f>$AB45+$AC45+IF($R45="N",$E$52,0)+IF($S45="S",2,0)</f>
        <v>0</v>
      </c>
      <c r="AE45" s="594" cm="1">
        <f t="array" ref="AE45">IF(Code_Classe=14,VLOOKUP(NivC1,Classe!$B$43:$I$60,4,FALSE),IF(OR($S45="S",$S45="P"),INDEX(Niveau!$B$433:$AM$469,$J$44+1,Code_Classe+1),INDEX(Niveau!$B$394:$AM$430,$J$44+1,Code_Classe+1)))</f>
        <v>1</v>
      </c>
      <c r="AF45" s="595"/>
      <c r="AG45" s="594">
        <f>VLOOKUP($M45,'Armures-Armes'!$B$102:$I$160,8,FALSE)</f>
        <v>1</v>
      </c>
      <c r="AH45" s="595"/>
      <c r="AI45" s="582">
        <f>IF($M45="Aucune","0",INT(AG45/AE45)+10-$L$26+$N$26+$D$39-$L$28)</f>
        <v>6</v>
      </c>
      <c r="AJ45" s="584"/>
      <c r="AO45" s="69"/>
      <c r="AQ45" s="56">
        <v>36</v>
      </c>
      <c r="AR45" s="754"/>
      <c r="AS45" s="754"/>
      <c r="AT45" s="754"/>
      <c r="AU45" s="754"/>
      <c r="AV45" s="754"/>
      <c r="AW45" s="754"/>
      <c r="AX45" s="754"/>
      <c r="AY45" s="754"/>
      <c r="AZ45" s="754"/>
      <c r="BA45" s="754"/>
      <c r="BB45" s="754"/>
      <c r="BC45" s="754"/>
      <c r="BD45" s="755"/>
      <c r="BE45" s="756">
        <v>0</v>
      </c>
      <c r="BF45" s="754"/>
      <c r="BG45" s="748"/>
      <c r="BH45" s="748"/>
      <c r="BI45" s="748"/>
      <c r="BJ45" s="748"/>
      <c r="BK45" s="748"/>
      <c r="BL45" s="748"/>
      <c r="BM45" s="57"/>
      <c r="BN45" s="57"/>
      <c r="BO45" s="369"/>
      <c r="BP45" s="366"/>
      <c r="BQ45" s="757" t="s">
        <v>1204</v>
      </c>
      <c r="BR45" s="747"/>
      <c r="BS45" s="57">
        <v>36</v>
      </c>
      <c r="BT45" s="758" t="str">
        <f>IF(OR($AV$6="O1",$AV$6="O2",$AV$6="O3"),Sorts!E110,IF(OR($BB$6="O1",$BB$6="O2"),Sorts!E172,""))</f>
        <v>Réparation</v>
      </c>
      <c r="BU45" s="744"/>
      <c r="BV45" s="744"/>
      <c r="BW45" s="744"/>
      <c r="BX45" s="744"/>
      <c r="BY45" s="744"/>
      <c r="BZ45" s="744"/>
      <c r="CA45" s="744"/>
      <c r="CB45" s="744"/>
      <c r="CC45" s="744"/>
      <c r="CD45" s="744"/>
      <c r="CE45" s="744"/>
      <c r="CF45" s="744"/>
      <c r="CG45" s="744">
        <v>0</v>
      </c>
      <c r="CH45" s="745"/>
      <c r="CI45" s="746" t="str">
        <f>IF(OR($AV$6="O1",$AV$6="O2",$AV$6="O3"),Sorts!F110,IF(OR($BB$6="O1",$BB$6="O2"),Sorts!F172,""))</f>
        <v>3’’</v>
      </c>
      <c r="CJ45" s="747"/>
      <c r="CK45" s="748" t="str">
        <f>IF(OR($AV$6="O1",$AV$6="O2",$AV$6="O3"),Sorts!G110,IF(OR($BB$6="O1",$BB$6="O2"),Sorts!G172,""))</f>
        <v>P</v>
      </c>
      <c r="CL45" s="748"/>
      <c r="CM45" s="748"/>
      <c r="CN45" s="57" t="str">
        <f>IF(OR($AV$6="O1",$AV$6="O2",$AV$6="O3"),Sorts!H110,IF(OR($BB$6="O1",$BB$6="O2"),Sorts!H172,""))</f>
        <v>X</v>
      </c>
      <c r="CO45" s="57" t="str">
        <f>IF(OR($AV$6="O1",$AV$6="O2",$AV$6="O3"),Sorts!I110,IF(OR($BB$6="O1",$BB$6="O2"),Sorts!I172,""))</f>
        <v>X</v>
      </c>
      <c r="CP45" s="58" t="str">
        <f>IF(OR($AV$6="O1",$AV$6="O2",$AV$6="O3"),Sorts!J110,IF(OR($BB$6="O1",$BB$6="O2"),Sorts!J172,""))</f>
        <v>X</v>
      </c>
      <c r="CQ45" s="60"/>
      <c r="CS45" s="56">
        <v>4</v>
      </c>
      <c r="CT45" s="754" t="str">
        <f>IF($AV$4="O",Sorts!Q7,IF($BB$4="O",Sorts!Q31,""))</f>
        <v/>
      </c>
      <c r="CU45" s="754"/>
      <c r="CV45" s="754"/>
      <c r="CW45" s="754"/>
      <c r="CX45" s="754"/>
      <c r="CY45" s="754"/>
      <c r="CZ45" s="754"/>
      <c r="DA45" s="754"/>
      <c r="DB45" s="754"/>
      <c r="DC45" s="754"/>
      <c r="DD45" s="754"/>
      <c r="DE45" s="754"/>
      <c r="DF45" s="755"/>
      <c r="DG45" s="756">
        <v>0</v>
      </c>
      <c r="DH45" s="747"/>
      <c r="DI45" s="748" t="str">
        <f>IF($AV$4="O",Sorts!R7,IF($BB$4="O",Sorts!R31,""))</f>
        <v/>
      </c>
      <c r="DJ45" s="748"/>
      <c r="DK45" s="748"/>
      <c r="DL45" s="748" t="str">
        <f>IF($AV$4="O",Sorts!S7,IF($BB$4="O",Sorts!S31,""))</f>
        <v/>
      </c>
      <c r="DM45" s="748"/>
      <c r="DN45" s="748"/>
      <c r="DO45" s="57" t="str">
        <f>IF($AV$4="O",Sorts!T7,IF($BB$4="O",Sorts!T31,""))</f>
        <v/>
      </c>
      <c r="DP45" s="57" t="str">
        <f>IF($AV$4="O",Sorts!U7,IF($BB$4="O",Sorts!U31,""))</f>
        <v/>
      </c>
      <c r="DQ45" s="58" t="str">
        <f>IF($AV$4="O",Sorts!V7,IF($BB$4="O",Sorts!V31,""))</f>
        <v/>
      </c>
      <c r="DR45" s="57"/>
      <c r="DS45" s="757" t="s">
        <v>1204</v>
      </c>
      <c r="DT45" s="747"/>
      <c r="DU45" s="57">
        <v>4</v>
      </c>
      <c r="DV45" s="758" t="str">
        <f>IF(OR($AV$6="O1",$AV$6="O2",$AV$6="O3"),Sorts!Q78,IF(OR($BB$6="O1",$BB$6="O2"),Sorts!Q140,""))</f>
        <v>Clairaudience</v>
      </c>
      <c r="DW45" s="744"/>
      <c r="DX45" s="744"/>
      <c r="DY45" s="744"/>
      <c r="DZ45" s="744"/>
      <c r="EA45" s="744"/>
      <c r="EB45" s="744"/>
      <c r="EC45" s="744"/>
      <c r="ED45" s="744"/>
      <c r="EE45" s="744"/>
      <c r="EF45" s="744"/>
      <c r="EG45" s="744"/>
      <c r="EH45" s="744"/>
      <c r="EI45" s="744">
        <v>0</v>
      </c>
      <c r="EJ45" s="745"/>
      <c r="EK45" s="746" t="str">
        <f>IF(OR($AV$6="O1",$AV$6="O2",$AV$6="O3"),Sorts!R78,IF(OR($BB$6="O1",$BB$6="O2"),Sorts!R140,""))</f>
        <v>S</v>
      </c>
      <c r="EL45" s="747"/>
      <c r="EM45" s="748" t="str">
        <f>IF(OR($AV$6="O1",$AV$6="O2",$AV$6="O3"),Sorts!S78,IF(OR($BB$6="O1",$BB$6="O2"),Sorts!S140,""))</f>
        <v>1r/n</v>
      </c>
      <c r="EN45" s="748"/>
      <c r="EO45" s="748"/>
      <c r="EP45" s="57" t="str">
        <f>IF(OR($AV$6="O1",$AV$6="O2",$AV$6="O3"),Sorts!T78,IF(OR($BB$6="O1",$BB$6="O2"),Sorts!T140,""))</f>
        <v>X</v>
      </c>
      <c r="EQ45" s="57" t="str">
        <f>IF(OR($AV$6="O1",$AV$6="O2",$AV$6="O3"),Sorts!U78,IF(OR($BB$6="O1",$BB$6="O2"),Sorts!U140,""))</f>
        <v>X</v>
      </c>
      <c r="ER45" s="58" t="str">
        <f>IF(OR($AV$6="O1",$AV$6="O2",$AV$6="O3"),Sorts!V78,IF(OR($BB$6="O1",$BB$6="O2"),Sorts!V140,""))</f>
        <v>X</v>
      </c>
      <c r="ES45" s="60"/>
      <c r="EU45" s="56">
        <v>8</v>
      </c>
      <c r="EV45" s="754" t="str">
        <f>IF($AV$4="O",Sorts!AC11,IF($BB$4="O",Sorts!AC35,""))</f>
        <v/>
      </c>
      <c r="EW45" s="754"/>
      <c r="EX45" s="754"/>
      <c r="EY45" s="754"/>
      <c r="EZ45" s="754"/>
      <c r="FA45" s="754"/>
      <c r="FB45" s="754"/>
      <c r="FC45" s="754"/>
      <c r="FD45" s="754"/>
      <c r="FE45" s="754"/>
      <c r="FF45" s="754"/>
      <c r="FG45" s="754"/>
      <c r="FH45" s="755"/>
      <c r="FI45" s="756">
        <v>0</v>
      </c>
      <c r="FJ45" s="747"/>
      <c r="FK45" s="748" t="str">
        <f>IF($AV$4="O",Sorts!AD11,IF($BB$4="O",Sorts!AD35,""))</f>
        <v/>
      </c>
      <c r="FL45" s="748"/>
      <c r="FM45" s="748"/>
      <c r="FN45" s="748" t="str">
        <f>IF($AV$4="O",Sorts!AE11,IF($BB$4="O",Sorts!AE35,""))</f>
        <v/>
      </c>
      <c r="FO45" s="748"/>
      <c r="FP45" s="748"/>
      <c r="FQ45" s="57" t="str">
        <f>IF($AV$4="O",Sorts!AF11,IF($BB$4="O",Sorts!AF35,""))</f>
        <v/>
      </c>
      <c r="FR45" s="57" t="str">
        <f>IF($AV$4="O",Sorts!AG11,IF($BB$4="O",Sorts!AG35,""))</f>
        <v/>
      </c>
      <c r="FS45" s="58" t="str">
        <f>IF($AV$4="O",Sorts!AH11,IF($BB$4="O",Sorts!AH35,""))</f>
        <v/>
      </c>
      <c r="FT45" s="57"/>
      <c r="FU45" s="757" t="s">
        <v>1204</v>
      </c>
      <c r="FV45" s="747"/>
      <c r="FW45" s="57">
        <v>8</v>
      </c>
      <c r="FX45" s="758" t="str">
        <f>IF(OR($AV$6="O1",$AV$6="O2",$AV$6="O3"),Sorts!AC82,IF(OR($BB$6="O1",$BB$6="O2"),Sorts!AC144,""))</f>
        <v>Domination</v>
      </c>
      <c r="FY45" s="744"/>
      <c r="FZ45" s="744"/>
      <c r="GA45" s="744"/>
      <c r="GB45" s="744"/>
      <c r="GC45" s="744"/>
      <c r="GD45" s="744"/>
      <c r="GE45" s="744"/>
      <c r="GF45" s="744"/>
      <c r="GG45" s="744"/>
      <c r="GH45" s="744"/>
      <c r="GI45" s="744"/>
      <c r="GJ45" s="744"/>
      <c r="GK45" s="744">
        <v>0</v>
      </c>
      <c r="GL45" s="745"/>
      <c r="GM45" s="746" t="str">
        <f>IF(OR($AV$6="O1",$AV$6="O2",$AV$6="O3"),Sorts!AD82,IF(OR($BB$6="O1",$BB$6="O2"),Sorts!AD144,""))</f>
        <v>1''</v>
      </c>
      <c r="GN45" s="747"/>
      <c r="GO45" s="748" t="str">
        <f>IF(OR($AV$6="O1",$AV$6="O2",$AV$6="O3"),Sorts!AE82,IF(OR($BB$6="O1",$BB$6="O2"),Sorts!AE144,""))</f>
        <v>2r/n</v>
      </c>
      <c r="GP45" s="748"/>
      <c r="GQ45" s="748"/>
      <c r="GR45" s="57" t="str">
        <f>IF(OR($AV$6="O1",$AV$6="O2",$AV$6="O3"),Sorts!AF82,IF(OR($BB$6="O1",$BB$6="O2"),Sorts!AF144,""))</f>
        <v>X</v>
      </c>
      <c r="GS45" s="57" t="str">
        <f>IF(OR($AV$6="O1",$AV$6="O2",$AV$6="O3"),Sorts!AG82,IF(OR($BB$6="O1",$BB$6="O2"),Sorts!AG144,""))</f>
        <v>X</v>
      </c>
      <c r="GT45" s="58" t="str">
        <f>IF(OR($AV$6="O1",$AV$6="O2",$AV$6="O3"),Sorts!AH82,IF(OR($BB$6="O1",$BB$6="O2"),Sorts!AH144,""))</f>
        <v>/</v>
      </c>
      <c r="GU45" s="60"/>
      <c r="GW45" s="56">
        <v>10</v>
      </c>
      <c r="GX45" s="754" t="str">
        <f>IF($AV$4="O",Sorts!AO13,IF($BB$4="O",Sorts!AO37,""))</f>
        <v/>
      </c>
      <c r="GY45" s="754"/>
      <c r="GZ45" s="754"/>
      <c r="HA45" s="754"/>
      <c r="HB45" s="754"/>
      <c r="HC45" s="754"/>
      <c r="HD45" s="754"/>
      <c r="HE45" s="754"/>
      <c r="HF45" s="754"/>
      <c r="HG45" s="754"/>
      <c r="HH45" s="754"/>
      <c r="HI45" s="754"/>
      <c r="HJ45" s="755"/>
      <c r="HK45" s="756">
        <v>0</v>
      </c>
      <c r="HL45" s="747"/>
      <c r="HM45" s="748" t="str">
        <f>IF($AV$4="O",Sorts!AP13,IF($BB$4="O",Sorts!AP37,""))</f>
        <v/>
      </c>
      <c r="HN45" s="748"/>
      <c r="HO45" s="748"/>
      <c r="HP45" s="748" t="str">
        <f>IF($AV$4="O",Sorts!AQ13,IF($BB$4="O",Sorts!AQ37,""))</f>
        <v/>
      </c>
      <c r="HQ45" s="748"/>
      <c r="HR45" s="748"/>
      <c r="HS45" s="57" t="str">
        <f>IF($AV$4="O",Sorts!AR13,IF($BB$4="O",Sorts!AR37,""))</f>
        <v/>
      </c>
      <c r="HT45" s="57" t="str">
        <f>IF($AV$4="O",Sorts!AS13,IF($BB$4="O",Sorts!AS37,""))</f>
        <v/>
      </c>
      <c r="HU45" s="58" t="str">
        <f>IF($AV$4="O",Sorts!AT13,IF($BB$4="O",Sorts!AT37,""))</f>
        <v/>
      </c>
      <c r="HV45" s="57"/>
      <c r="HW45" s="757" t="s">
        <v>1204</v>
      </c>
      <c r="HX45" s="747"/>
      <c r="HY45" s="57">
        <v>10</v>
      </c>
      <c r="HZ45" s="758" t="str">
        <f>IF(OR($AV$6="O1",$AV$6="O2",$AV$6="O3"),Sorts!AO84,IF(OR($BB$6="O1",$BB$6="O2"),Sorts!AO146,""))</f>
        <v>Invisibilité de Masse</v>
      </c>
      <c r="IA45" s="744"/>
      <c r="IB45" s="744"/>
      <c r="IC45" s="744"/>
      <c r="ID45" s="744"/>
      <c r="IE45" s="744"/>
      <c r="IF45" s="744"/>
      <c r="IG45" s="744"/>
      <c r="IH45" s="744"/>
      <c r="II45" s="744"/>
      <c r="IJ45" s="744"/>
      <c r="IK45" s="744"/>
      <c r="IL45" s="744"/>
      <c r="IM45" s="744">
        <v>0</v>
      </c>
      <c r="IN45" s="745"/>
      <c r="IO45" s="746" t="str">
        <f>IF(OR($AV$6="O1",$AV$6="O2",$AV$6="O3"),Sorts!AP84,IF(OR($BB$6="O1",$BB$6="O2"),Sorts!AP146,""))</f>
        <v>1''/n</v>
      </c>
      <c r="IP45" s="747"/>
      <c r="IQ45" s="748" t="str">
        <f>IF(OR($AV$6="O1",$AV$6="O2",$AV$6="O3"),Sorts!AQ84,IF(OR($BB$6="O1",$BB$6="O2"),Sorts!AQ146,""))</f>
        <v>S</v>
      </c>
      <c r="IR45" s="748"/>
      <c r="IS45" s="748"/>
      <c r="IT45" s="57" t="str">
        <f>IF(OR($AV$6="O1",$AV$6="O2",$AV$6="O3"),Sorts!AR84,IF(OR($BB$6="O1",$BB$6="O2"),Sorts!AR146,""))</f>
        <v>X</v>
      </c>
      <c r="IU45" s="57" t="str">
        <f>IF(OR($AV$6="O1",$AV$6="O2",$AV$6="O3"),Sorts!AS84,IF(OR($BB$6="O1",$BB$6="O2"),Sorts!AS146,""))</f>
        <v>X</v>
      </c>
      <c r="IV45" s="58" t="str">
        <f>IF(OR($AV$6="O1",$AV$6="O2",$AV$6="O3"),Sorts!AT84,IF(OR($BB$6="O1",$BB$6="O2"),Sorts!AT146,""))</f>
        <v>X</v>
      </c>
      <c r="IW45" s="60"/>
      <c r="IY45" s="384"/>
      <c r="IZ45" s="762"/>
      <c r="JA45" s="762"/>
      <c r="JB45" s="762"/>
      <c r="JC45" s="762"/>
      <c r="JD45" s="762"/>
      <c r="JE45" s="762"/>
      <c r="JF45" s="762"/>
      <c r="JG45" s="762"/>
      <c r="JH45" s="762"/>
      <c r="JI45" s="762"/>
      <c r="JJ45" s="762"/>
      <c r="JK45" s="762"/>
      <c r="JL45" s="763"/>
      <c r="JM45" s="759"/>
      <c r="JN45" s="760"/>
      <c r="JO45" s="761"/>
      <c r="JP45" s="761"/>
      <c r="JQ45" s="761"/>
      <c r="JR45" s="761"/>
      <c r="JS45" s="761"/>
      <c r="JT45" s="761"/>
      <c r="JU45" s="385"/>
      <c r="JV45" s="385"/>
      <c r="JW45" s="386"/>
      <c r="JX45" s="385"/>
      <c r="JY45" s="757" t="s">
        <v>1204</v>
      </c>
      <c r="JZ45" s="747"/>
      <c r="KA45" s="57">
        <v>10</v>
      </c>
      <c r="KB45" s="758" t="str">
        <f>IF(OR($AV$6="O1",$AV$6="O2",$AV$6="O3"),Sorts!BA84,IF(OR($BB$6="O1",$BB$6="O2"),Sorts!BA146,""))</f>
        <v>Mot de Pouvoir : « Mort »</v>
      </c>
      <c r="KC45" s="744"/>
      <c r="KD45" s="744"/>
      <c r="KE45" s="744"/>
      <c r="KF45" s="744"/>
      <c r="KG45" s="744"/>
      <c r="KH45" s="744"/>
      <c r="KI45" s="744"/>
      <c r="KJ45" s="744"/>
      <c r="KK45" s="744"/>
      <c r="KL45" s="744"/>
      <c r="KM45" s="744"/>
      <c r="KN45" s="744"/>
      <c r="KO45" s="744">
        <v>0</v>
      </c>
      <c r="KP45" s="745"/>
      <c r="KQ45" s="746" t="str">
        <f>IF(OR($AV$6="O1",$AV$6="O2",$AV$6="O3"),Sorts!BB84,IF(OR($BB$6="O1",$BB$6="O2"),Sorts!BB146,""))</f>
        <v>0,25''/n</v>
      </c>
      <c r="KR45" s="747"/>
      <c r="KS45" s="748" t="str">
        <f>IF(OR($AV$6="O1",$AV$6="O2",$AV$6="O3"),Sorts!BC84,IF(OR($BB$6="O1",$BB$6="O2"),Sorts!BC146,""))</f>
        <v>P</v>
      </c>
      <c r="KT45" s="748"/>
      <c r="KU45" s="748"/>
      <c r="KV45" s="57" t="str">
        <f>IF(OR($AV$6="O1",$AV$6="O2",$AV$6="O3"),Sorts!BD84,IF(OR($BB$6="O1",$BB$6="O2"),Sorts!BD146,""))</f>
        <v>X</v>
      </c>
      <c r="KW45" s="57" t="str">
        <f>IF(OR($AV$6="O1",$AV$6="O2",$AV$6="O3"),Sorts!BE84,IF(OR($BB$6="O1",$BB$6="O2"),Sorts!BE146,""))</f>
        <v>/</v>
      </c>
      <c r="KX45" s="58" t="str">
        <f>IF(OR($AV$6="O1",$AV$6="O2",$AV$6="O3"),Sorts!BF84,IF(OR($BB$6="O1",$BB$6="O2"),Sorts!BF146,""))</f>
        <v>/</v>
      </c>
    </row>
    <row r="46" spans="2:310" ht="18" customHeight="1" thickBot="1" x14ac:dyDescent="0.3">
      <c r="B46" s="4"/>
      <c r="C46" s="772"/>
      <c r="D46" s="773"/>
      <c r="G46" s="585" t="s">
        <v>1831</v>
      </c>
      <c r="H46" s="586"/>
      <c r="I46" s="586"/>
      <c r="J46" s="587"/>
      <c r="L46" s="571"/>
      <c r="M46" s="591" t="s">
        <v>1489</v>
      </c>
      <c r="N46" s="592"/>
      <c r="O46" s="592"/>
      <c r="P46" s="592"/>
      <c r="Q46" s="592"/>
      <c r="R46" s="517" t="s">
        <v>1853</v>
      </c>
      <c r="S46" s="497" t="str">
        <f>IF(AND($R46="O",Code_Classe=7,OR($M46='Armures-Armes'!$B$115,$M46='Armures-Armes'!$B$124,$M46='Armures-Armes'!$B$125,$M46='Armures-Armes'!$B$126,$M46='Armures-Armes'!$B$130,$M46='Armures-Armes'!$B$143,$M46='Armures-Armes'!$B$144,$M46='Armures-Armes'!$B$145,$M46='Armures-Armes'!$B$150)),"P",IF(AND(Code_Classe=5,OR($M46='Armures-Armes'!$B$115,$M46='Armures-Armes'!$B$124,$M46='Armures-Armes'!$B$125,$M46='Armures-Armes'!$B$126,$M46='Armures-Armes'!$B$130,$M46='Armures-Armes'!$B$143,$M46='Armures-Armes'!$B$144,$M46='Armures-Armes'!$B$145,$M46='Armures-Armes'!$B$150)),"P",IF(AND(OR(Code_Classe=3,Code_Classe=4),Spec1=$M46,$R46="O"),"S","")))</f>
        <v/>
      </c>
      <c r="T46" s="518">
        <f t="shared" ref="T46:T48" si="0">+$I$11</f>
        <v>0</v>
      </c>
      <c r="U46" s="493">
        <v>0</v>
      </c>
      <c r="V46" s="644">
        <f>$C$45-IF($R46="N",$E$52,0)-IF($S46="S",1,0)-$T46-U46</f>
        <v>18</v>
      </c>
      <c r="W46" s="645"/>
      <c r="X46" s="594" t="str">
        <f>VLOOKUP($M46,'Armures-Armes'!$B$102:$I$160,4,FALSE)</f>
        <v>1D8</v>
      </c>
      <c r="Y46" s="595"/>
      <c r="Z46" s="594" t="str">
        <f>VLOOKUP($M46,'Armures-Armes'!$B$102:$I$160,5,FALSE)</f>
        <v>1D12</v>
      </c>
      <c r="AA46" s="595"/>
      <c r="AB46" s="495">
        <f>IF($D$7="MOINE",VLOOKUP(NivC1,Classe!B43:I60,6,FALSE),+$M$11)</f>
        <v>0</v>
      </c>
      <c r="AC46" s="493">
        <v>0</v>
      </c>
      <c r="AD46" s="492">
        <f>$AB46+$AC46+IF($R46="N",$E$52,0)+IF($S46="S",2,0)</f>
        <v>0</v>
      </c>
      <c r="AE46" s="594" cm="1">
        <f t="array" ref="AE46">IF($M46="Aucune",0,IF(OR($S46="S",$S46="P"),INDEX(Niveau!$B$433:$AM$469,$J$44+1,Code_Classe+1),INDEX(Niveau!$B$394:$AM$430,$J$44+1,Code_Classe+1)))</f>
        <v>1</v>
      </c>
      <c r="AF46" s="595"/>
      <c r="AG46" s="594">
        <f>VLOOKUP($M46,'Armures-Armes'!$B$102:$I$160,8,FALSE)</f>
        <v>5</v>
      </c>
      <c r="AH46" s="595"/>
      <c r="AI46" s="582">
        <f>IF($M46="Aucune","0",INT(AG46/AE46)+10-$L$26+$N$26+$D$39-$L$28)</f>
        <v>10</v>
      </c>
      <c r="AJ46" s="584"/>
      <c r="AO46" s="69"/>
      <c r="AQ46" s="56">
        <v>37</v>
      </c>
      <c r="AR46" s="754"/>
      <c r="AS46" s="754"/>
      <c r="AT46" s="754"/>
      <c r="AU46" s="754"/>
      <c r="AV46" s="754"/>
      <c r="AW46" s="754"/>
      <c r="AX46" s="754"/>
      <c r="AY46" s="754"/>
      <c r="AZ46" s="754"/>
      <c r="BA46" s="754"/>
      <c r="BB46" s="754"/>
      <c r="BC46" s="754"/>
      <c r="BD46" s="755"/>
      <c r="BE46" s="756">
        <v>0</v>
      </c>
      <c r="BF46" s="754"/>
      <c r="BG46" s="748"/>
      <c r="BH46" s="748"/>
      <c r="BI46" s="748"/>
      <c r="BJ46" s="748"/>
      <c r="BK46" s="748"/>
      <c r="BL46" s="748"/>
      <c r="BM46" s="57"/>
      <c r="BN46" s="57"/>
      <c r="BO46" s="369"/>
      <c r="BP46" s="366"/>
      <c r="BQ46" s="757" t="s">
        <v>1204</v>
      </c>
      <c r="BR46" s="747"/>
      <c r="BS46" s="57">
        <v>37</v>
      </c>
      <c r="BT46" s="758" t="str">
        <f>IF(OR($AV$6="O1",$AV$6="O2",$AV$6="O3"),Sorts!E111,IF(OR($BB$6="O1",$BB$6="O2"),Sorts!E173,""))</f>
        <v>Saut</v>
      </c>
      <c r="BU46" s="744"/>
      <c r="BV46" s="744"/>
      <c r="BW46" s="744"/>
      <c r="BX46" s="744"/>
      <c r="BY46" s="744"/>
      <c r="BZ46" s="744"/>
      <c r="CA46" s="744"/>
      <c r="CB46" s="744"/>
      <c r="CC46" s="744"/>
      <c r="CD46" s="744"/>
      <c r="CE46" s="744"/>
      <c r="CF46" s="744"/>
      <c r="CG46" s="744">
        <v>0</v>
      </c>
      <c r="CH46" s="745"/>
      <c r="CI46" s="746" t="str">
        <f>IF(OR($AV$6="O1",$AV$6="O2",$AV$6="O3"),Sorts!F111,IF(OR($BB$6="O1",$BB$6="O2"),Sorts!F173,""))</f>
        <v>T</v>
      </c>
      <c r="CJ46" s="747"/>
      <c r="CK46" s="748" t="str">
        <f>IF(OR($AV$6="O1",$AV$6="O2",$AV$6="O3"),Sorts!G111,IF(OR($BB$6="O1",$BB$6="O2"),Sorts!G173,""))</f>
        <v>S</v>
      </c>
      <c r="CL46" s="748"/>
      <c r="CM46" s="748"/>
      <c r="CN46" s="57" t="str">
        <f>IF(OR($AV$6="O1",$AV$6="O2",$AV$6="O3"),Sorts!H111,IF(OR($BB$6="O1",$BB$6="O2"),Sorts!H173,""))</f>
        <v>X</v>
      </c>
      <c r="CO46" s="57" t="str">
        <f>IF(OR($AV$6="O1",$AV$6="O2",$AV$6="O3"),Sorts!I111,IF(OR($BB$6="O1",$BB$6="O2"),Sorts!I173,""))</f>
        <v>X</v>
      </c>
      <c r="CP46" s="58" t="str">
        <f>IF(OR($AV$6="O1",$AV$6="O2",$AV$6="O3"),Sorts!J111,IF(OR($BB$6="O1",$BB$6="O2"),Sorts!J173,""))</f>
        <v>X</v>
      </c>
      <c r="CQ46" s="60"/>
      <c r="CS46" s="56">
        <v>5</v>
      </c>
      <c r="CT46" s="754" t="str">
        <f>IF($AV$4="O",Sorts!Q8,IF($BB$4="O",Sorts!Q32,""))</f>
        <v/>
      </c>
      <c r="CU46" s="754"/>
      <c r="CV46" s="754"/>
      <c r="CW46" s="754"/>
      <c r="CX46" s="754"/>
      <c r="CY46" s="754"/>
      <c r="CZ46" s="754"/>
      <c r="DA46" s="754"/>
      <c r="DB46" s="754"/>
      <c r="DC46" s="754"/>
      <c r="DD46" s="754"/>
      <c r="DE46" s="754"/>
      <c r="DF46" s="755"/>
      <c r="DG46" s="756">
        <v>0</v>
      </c>
      <c r="DH46" s="747"/>
      <c r="DI46" s="748" t="str">
        <f>IF($AV$4="O",Sorts!R8,IF($BB$4="O",Sorts!R32,""))</f>
        <v/>
      </c>
      <c r="DJ46" s="748"/>
      <c r="DK46" s="748"/>
      <c r="DL46" s="748" t="str">
        <f>IF($AV$4="O",Sorts!S8,IF($BB$4="O",Sorts!S32,""))</f>
        <v/>
      </c>
      <c r="DM46" s="748"/>
      <c r="DN46" s="748"/>
      <c r="DO46" s="57" t="str">
        <f>IF($AV$4="O",Sorts!T8,IF($BB$4="O",Sorts!T32,""))</f>
        <v/>
      </c>
      <c r="DP46" s="57" t="str">
        <f>IF($AV$4="O",Sorts!U8,IF($BB$4="O",Sorts!U32,""))</f>
        <v/>
      </c>
      <c r="DQ46" s="58" t="str">
        <f>IF($AV$4="O",Sorts!V8,IF($BB$4="O",Sorts!V32,""))</f>
        <v/>
      </c>
      <c r="DR46" s="57"/>
      <c r="DS46" s="757" t="s">
        <v>1204</v>
      </c>
      <c r="DT46" s="747"/>
      <c r="DU46" s="57">
        <v>5</v>
      </c>
      <c r="DV46" s="758" t="str">
        <f>IF(OR($AV$6="O1",$AV$6="O2",$AV$6="O3"),Sorts!Q79,IF(OR($BB$6="O1",$BB$6="O2"),Sorts!Q141,""))</f>
        <v>Clairvoyance</v>
      </c>
      <c r="DW46" s="744"/>
      <c r="DX46" s="744"/>
      <c r="DY46" s="744"/>
      <c r="DZ46" s="744"/>
      <c r="EA46" s="744"/>
      <c r="EB46" s="744"/>
      <c r="EC46" s="744"/>
      <c r="ED46" s="744"/>
      <c r="EE46" s="744"/>
      <c r="EF46" s="744"/>
      <c r="EG46" s="744"/>
      <c r="EH46" s="744"/>
      <c r="EI46" s="744">
        <v>0</v>
      </c>
      <c r="EJ46" s="745"/>
      <c r="EK46" s="746" t="str">
        <f>IF(OR($AV$6="O1",$AV$6="O2",$AV$6="O3"),Sorts!R79,IF(OR($BB$6="O1",$BB$6="O2"),Sorts!R141,""))</f>
        <v>S</v>
      </c>
      <c r="EL46" s="747"/>
      <c r="EM46" s="748" t="str">
        <f>IF(OR($AV$6="O1",$AV$6="O2",$AV$6="O3"),Sorts!S79,IF(OR($BB$6="O1",$BB$6="O2"),Sorts!S141,""))</f>
        <v>1r/n</v>
      </c>
      <c r="EN46" s="748"/>
      <c r="EO46" s="748"/>
      <c r="EP46" s="57" t="str">
        <f>IF(OR($AV$6="O1",$AV$6="O2",$AV$6="O3"),Sorts!T79,IF(OR($BB$6="O1",$BB$6="O2"),Sorts!T141,""))</f>
        <v>X</v>
      </c>
      <c r="EQ46" s="57" t="str">
        <f>IF(OR($AV$6="O1",$AV$6="O2",$AV$6="O3"),Sorts!U79,IF(OR($BB$6="O1",$BB$6="O2"),Sorts!U141,""))</f>
        <v>X</v>
      </c>
      <c r="ER46" s="58" t="str">
        <f>IF(OR($AV$6="O1",$AV$6="O2",$AV$6="O3"),Sorts!V79,IF(OR($BB$6="O1",$BB$6="O2"),Sorts!V141,""))</f>
        <v>X</v>
      </c>
      <c r="ES46" s="60"/>
      <c r="EU46" s="56">
        <v>9</v>
      </c>
      <c r="EV46" s="754" t="str">
        <f>IF($AV$4="O",Sorts!AC12,IF($BB$4="O",Sorts!AC36,""))</f>
        <v/>
      </c>
      <c r="EW46" s="754"/>
      <c r="EX46" s="754"/>
      <c r="EY46" s="754"/>
      <c r="EZ46" s="754"/>
      <c r="FA46" s="754"/>
      <c r="FB46" s="754"/>
      <c r="FC46" s="754"/>
      <c r="FD46" s="754"/>
      <c r="FE46" s="754"/>
      <c r="FF46" s="754"/>
      <c r="FG46" s="754"/>
      <c r="FH46" s="755"/>
      <c r="FI46" s="756">
        <v>0</v>
      </c>
      <c r="FJ46" s="747"/>
      <c r="FK46" s="748" t="str">
        <f>IF($AV$4="O",Sorts!AD12,IF($BB$4="O",Sorts!AD36,""))</f>
        <v/>
      </c>
      <c r="FL46" s="748"/>
      <c r="FM46" s="748"/>
      <c r="FN46" s="748" t="str">
        <f>IF($AV$4="O",Sorts!AE12,IF($BB$4="O",Sorts!AE36,""))</f>
        <v/>
      </c>
      <c r="FO46" s="748"/>
      <c r="FP46" s="748"/>
      <c r="FQ46" s="57" t="str">
        <f>IF($AV$4="O",Sorts!AF12,IF($BB$4="O",Sorts!AF36,""))</f>
        <v/>
      </c>
      <c r="FR46" s="57" t="str">
        <f>IF($AV$4="O",Sorts!AG12,IF($BB$4="O",Sorts!AG36,""))</f>
        <v/>
      </c>
      <c r="FS46" s="58" t="str">
        <f>IF($AV$4="O",Sorts!AH12,IF($BB$4="O",Sorts!AH36,""))</f>
        <v/>
      </c>
      <c r="FT46" s="57"/>
      <c r="FU46" s="757" t="s">
        <v>1204</v>
      </c>
      <c r="FV46" s="747"/>
      <c r="FW46" s="57">
        <v>9</v>
      </c>
      <c r="FX46" s="758" t="str">
        <f>IF(OR($AV$6="O1",$AV$6="O2",$AV$6="O3"),Sorts!AC83,IF(OR($BB$6="O1",$BB$6="O2"),Sorts!AC145,""))</f>
        <v>Eau Aérée</v>
      </c>
      <c r="FY46" s="744"/>
      <c r="FZ46" s="744"/>
      <c r="GA46" s="744"/>
      <c r="GB46" s="744"/>
      <c r="GC46" s="744"/>
      <c r="GD46" s="744"/>
      <c r="GE46" s="744"/>
      <c r="GF46" s="744"/>
      <c r="GG46" s="744"/>
      <c r="GH46" s="744"/>
      <c r="GI46" s="744"/>
      <c r="GJ46" s="744"/>
      <c r="GK46" s="744">
        <v>0</v>
      </c>
      <c r="GL46" s="745"/>
      <c r="GM46" s="746">
        <f>IF(OR($AV$6="O1",$AV$6="O2",$AV$6="O3"),Sorts!AD83,IF(OR($BB$6="O1",$BB$6="O2"),Sorts!AD145,""))</f>
        <v>0</v>
      </c>
      <c r="GN46" s="747"/>
      <c r="GO46" s="748" t="str">
        <f>IF(OR($AV$6="O1",$AV$6="O2",$AV$6="O3"),Sorts!AE83,IF(OR($BB$6="O1",$BB$6="O2"),Sorts!AE145,""))</f>
        <v>1t/n</v>
      </c>
      <c r="GP46" s="748"/>
      <c r="GQ46" s="748"/>
      <c r="GR46" s="57" t="str">
        <f>IF(OR($AV$6="O1",$AV$6="O2",$AV$6="O3"),Sorts!AF83,IF(OR($BB$6="O1",$BB$6="O2"),Sorts!AF145,""))</f>
        <v>X</v>
      </c>
      <c r="GS46" s="57" t="str">
        <f>IF(OR($AV$6="O1",$AV$6="O2",$AV$6="O3"),Sorts!AG83,IF(OR($BB$6="O1",$BB$6="O2"),Sorts!AG145,""))</f>
        <v>X</v>
      </c>
      <c r="GT46" s="58" t="str">
        <f>IF(OR($AV$6="O1",$AV$6="O2",$AV$6="O3"),Sorts!AH83,IF(OR($BB$6="O1",$BB$6="O2"),Sorts!AH145,""))</f>
        <v>X</v>
      </c>
      <c r="GU46" s="60"/>
      <c r="GW46" s="56">
        <v>11</v>
      </c>
      <c r="GX46" s="754" t="str">
        <f>IF($AV$4="O",Sorts!AO14,IF($BB$4="O",Sorts!AO38,""))</f>
        <v/>
      </c>
      <c r="GY46" s="754"/>
      <c r="GZ46" s="754"/>
      <c r="HA46" s="754"/>
      <c r="HB46" s="754"/>
      <c r="HC46" s="754"/>
      <c r="HD46" s="754"/>
      <c r="HE46" s="754"/>
      <c r="HF46" s="754"/>
      <c r="HG46" s="754"/>
      <c r="HH46" s="754"/>
      <c r="HI46" s="754"/>
      <c r="HJ46" s="755"/>
      <c r="HK46" s="756">
        <v>0</v>
      </c>
      <c r="HL46" s="747"/>
      <c r="HM46" s="748" t="str">
        <f>IF($AV$4="O",Sorts!AP14,IF($BB$4="O",Sorts!AP38,""))</f>
        <v/>
      </c>
      <c r="HN46" s="748"/>
      <c r="HO46" s="748"/>
      <c r="HP46" s="748" t="str">
        <f>IF($AV$4="O",Sorts!AQ14,IF($BB$4="O",Sorts!AQ38,""))</f>
        <v/>
      </c>
      <c r="HQ46" s="748"/>
      <c r="HR46" s="748"/>
      <c r="HS46" s="57" t="str">
        <f>IF($AV$4="O",Sorts!AR14,IF($BB$4="O",Sorts!AR38,""))</f>
        <v/>
      </c>
      <c r="HT46" s="57" t="str">
        <f>IF($AV$4="O",Sorts!AS14,IF($BB$4="O",Sorts!AS38,""))</f>
        <v/>
      </c>
      <c r="HU46" s="58" t="str">
        <f>IF($AV$4="O",Sorts!AT14,IF($BB$4="O",Sorts!AT38,""))</f>
        <v/>
      </c>
      <c r="HV46" s="57"/>
      <c r="HW46" s="757" t="s">
        <v>1204</v>
      </c>
      <c r="HX46" s="747"/>
      <c r="HY46" s="57">
        <v>11</v>
      </c>
      <c r="HZ46" s="758" t="str">
        <f>IF(OR($AV$6="O1",$AV$6="O2",$AV$6="O3"),Sorts!AO85,IF(OR($BB$6="O1",$BB$6="O2"),Sorts!AO147,""))</f>
        <v>Invocation de Monstre V</v>
      </c>
      <c r="IA46" s="744"/>
      <c r="IB46" s="744"/>
      <c r="IC46" s="744"/>
      <c r="ID46" s="744"/>
      <c r="IE46" s="744"/>
      <c r="IF46" s="744"/>
      <c r="IG46" s="744"/>
      <c r="IH46" s="744"/>
      <c r="II46" s="744"/>
      <c r="IJ46" s="744"/>
      <c r="IK46" s="744"/>
      <c r="IL46" s="744"/>
      <c r="IM46" s="744">
        <v>0</v>
      </c>
      <c r="IN46" s="745"/>
      <c r="IO46" s="746" t="str">
        <f>IF(OR($AV$6="O1",$AV$6="O2",$AV$6="O3"),Sorts!AP85,IF(OR($BB$6="O1",$BB$6="O2"),Sorts!AP147,""))</f>
        <v>7''</v>
      </c>
      <c r="IP46" s="747"/>
      <c r="IQ46" s="748" t="str">
        <f>IF(OR($AV$6="O1",$AV$6="O2",$AV$6="O3"),Sorts!AQ85,IF(OR($BB$6="O1",$BB$6="O2"),Sorts!AQ147,""))</f>
        <v>6r+1/n</v>
      </c>
      <c r="IR46" s="748"/>
      <c r="IS46" s="748"/>
      <c r="IT46" s="57" t="str">
        <f>IF(OR($AV$6="O1",$AV$6="O2",$AV$6="O3"),Sorts!AR85,IF(OR($BB$6="O1",$BB$6="O2"),Sorts!AR147,""))</f>
        <v>X</v>
      </c>
      <c r="IU46" s="57" t="str">
        <f>IF(OR($AV$6="O1",$AV$6="O2",$AV$6="O3"),Sorts!AS85,IF(OR($BB$6="O1",$BB$6="O2"),Sorts!AS147,""))</f>
        <v>X</v>
      </c>
      <c r="IV46" s="58" t="str">
        <f>IF(OR($AV$6="O1",$AV$6="O2",$AV$6="O3"),Sorts!AT85,IF(OR($BB$6="O1",$BB$6="O2"),Sorts!AT147,""))</f>
        <v>X</v>
      </c>
      <c r="IW46" s="60"/>
      <c r="IY46" s="384"/>
      <c r="IZ46" s="762"/>
      <c r="JA46" s="762"/>
      <c r="JB46" s="762"/>
      <c r="JC46" s="762"/>
      <c r="JD46" s="762"/>
      <c r="JE46" s="762"/>
      <c r="JF46" s="762"/>
      <c r="JG46" s="762"/>
      <c r="JH46" s="762"/>
      <c r="JI46" s="762"/>
      <c r="JJ46" s="762"/>
      <c r="JK46" s="762"/>
      <c r="JL46" s="763"/>
      <c r="JM46" s="759"/>
      <c r="JN46" s="760"/>
      <c r="JO46" s="761"/>
      <c r="JP46" s="761"/>
      <c r="JQ46" s="761"/>
      <c r="JR46" s="761"/>
      <c r="JS46" s="761"/>
      <c r="JT46" s="761"/>
      <c r="JU46" s="385"/>
      <c r="JV46" s="385"/>
      <c r="JW46" s="386"/>
      <c r="JX46" s="385"/>
      <c r="JY46" s="757" t="s">
        <v>1204</v>
      </c>
      <c r="JZ46" s="747"/>
      <c r="KA46" s="57">
        <v>11</v>
      </c>
      <c r="KB46" s="758" t="str">
        <f>IF(OR($AV$6="O1",$AV$6="O2",$AV$6="O3"),Sorts!BA85,IF(OR($BB$6="O1",$BB$6="O2"),Sorts!BA147,""))</f>
        <v>Nuée de Météores</v>
      </c>
      <c r="KC46" s="744"/>
      <c r="KD46" s="744"/>
      <c r="KE46" s="744"/>
      <c r="KF46" s="744"/>
      <c r="KG46" s="744"/>
      <c r="KH46" s="744"/>
      <c r="KI46" s="744"/>
      <c r="KJ46" s="744"/>
      <c r="KK46" s="744"/>
      <c r="KL46" s="744"/>
      <c r="KM46" s="744"/>
      <c r="KN46" s="744"/>
      <c r="KO46" s="744">
        <v>0</v>
      </c>
      <c r="KP46" s="745"/>
      <c r="KQ46" s="746" t="str">
        <f>IF(OR($AV$6="O1",$AV$6="O2",$AV$6="O3"),Sorts!BB85,IF(OR($BB$6="O1",$BB$6="O2"),Sorts!BB147,""))</f>
        <v>4''+1/n</v>
      </c>
      <c r="KR46" s="747"/>
      <c r="KS46" s="748" t="str">
        <f>IF(OR($AV$6="O1",$AV$6="O2",$AV$6="O3"),Sorts!BC85,IF(OR($BB$6="O1",$BB$6="O2"),Sorts!BC147,""))</f>
        <v>I</v>
      </c>
      <c r="KT46" s="748"/>
      <c r="KU46" s="748"/>
      <c r="KV46" s="57" t="str">
        <f>IF(OR($AV$6="O1",$AV$6="O2",$AV$6="O3"),Sorts!BD85,IF(OR($BB$6="O1",$BB$6="O2"),Sorts!BD147,""))</f>
        <v>X</v>
      </c>
      <c r="KW46" s="57" t="str">
        <f>IF(OR($AV$6="O1",$AV$6="O2",$AV$6="O3"),Sorts!BE85,IF(OR($BB$6="O1",$BB$6="O2"),Sorts!BE147,""))</f>
        <v>X</v>
      </c>
      <c r="KX46" s="58" t="str">
        <f>IF(OR($AV$6="O1",$AV$6="O2",$AV$6="O3"),Sorts!BF85,IF(OR($BB$6="O1",$BB$6="O2"),Sorts!BF147,""))</f>
        <v>/</v>
      </c>
    </row>
    <row r="47" spans="2:310" ht="18" customHeight="1" thickTop="1" thickBot="1" x14ac:dyDescent="0.3">
      <c r="B47" s="4"/>
      <c r="G47" s="585" t="s">
        <v>1489</v>
      </c>
      <c r="H47" s="586"/>
      <c r="I47" s="586"/>
      <c r="J47" s="587"/>
      <c r="L47" s="571"/>
      <c r="M47" s="591" t="s">
        <v>1764</v>
      </c>
      <c r="N47" s="592"/>
      <c r="O47" s="592"/>
      <c r="P47" s="592"/>
      <c r="Q47" s="592"/>
      <c r="R47" s="517" t="str">
        <f t="shared" ref="R47:R52" si="1">IF(OR(M47=$G$45,M47=$G$46,M47=$G$47,M47=$G$48,M47=$G$49,M47=$G$50,M47=$G$51,M47=$G$52),"O","N")</f>
        <v>N</v>
      </c>
      <c r="S47" s="497" t="str">
        <f>IF(AND($R47="O",Code_Classe=7,OR($M47='Armures-Armes'!$B$115,$M47='Armures-Armes'!$B$124,$M47='Armures-Armes'!$B$125,$M47='Armures-Armes'!$B$126,$M47='Armures-Armes'!$B$130,$M47='Armures-Armes'!$B$143,$M47='Armures-Armes'!$B$144,$M47='Armures-Armes'!$B$145,$M47='Armures-Armes'!$B$150)),"P",IF(AND(Code_Classe=5,OR($M47='Armures-Armes'!$B$115,$M47='Armures-Armes'!$B$124,$M47='Armures-Armes'!$B$125,$M47='Armures-Armes'!$B$126,$M47='Armures-Armes'!$B$130,$M47='Armures-Armes'!$B$143,$M47='Armures-Armes'!$B$144,$M47='Armures-Armes'!$B$145,$M47='Armures-Armes'!$B$150)),"P",IF(AND(OR(Code_Classe=3,Code_Classe=4),Spec1=$M47,$R47="O"),"S","")))</f>
        <v/>
      </c>
      <c r="T47" s="518">
        <f t="shared" si="0"/>
        <v>0</v>
      </c>
      <c r="U47" s="493">
        <v>0</v>
      </c>
      <c r="V47" s="644">
        <f>$C$45-IF($R47="N",$E$52,0)-IF($S47="S",1,0)-$T47-U47</f>
        <v>20</v>
      </c>
      <c r="W47" s="645"/>
      <c r="X47" s="594" t="str">
        <f>VLOOKUP($M47,'Armures-Armes'!$B$102:$I$160,4,FALSE)</f>
        <v>1D4+1</v>
      </c>
      <c r="Y47" s="595"/>
      <c r="Z47" s="594" t="str">
        <f>VLOOKUP($M47,'Armures-Armes'!$B$102:$I$160,5,FALSE)</f>
        <v>1D4</v>
      </c>
      <c r="AA47" s="595"/>
      <c r="AB47" s="495">
        <f>IF($D$7="MOINE",$AN$14/2,+$M$11)</f>
        <v>0</v>
      </c>
      <c r="AC47" s="493">
        <v>0</v>
      </c>
      <c r="AD47" s="492">
        <f>$AB47+$AC47+IF($R47="N",$E$52,0)+IF($S47="S",2,0)</f>
        <v>-2</v>
      </c>
      <c r="AE47" s="594" cm="1">
        <f t="array" ref="AE47">IF($M47="Aucune",0,IF(OR($S47="S",$S47="P"),INDEX(Niveau!$B$433:$AM$469,$J$44+1,Code_Classe+1),INDEX(Niveau!$B$394:$AM$430,$J$44+1,Code_Classe+1)))</f>
        <v>1</v>
      </c>
      <c r="AF47" s="595"/>
      <c r="AG47" s="594">
        <f>VLOOKUP($M47,'Armures-Armes'!$B$102:$I$160,8,FALSE)</f>
        <v>5</v>
      </c>
      <c r="AH47" s="595"/>
      <c r="AI47" s="582">
        <f>IF($M47="Aucune","0",INT(AG47/AE47)+10-$L$26+$N$26+$D$39-$L$28)</f>
        <v>10</v>
      </c>
      <c r="AJ47" s="584"/>
      <c r="AO47" s="69"/>
      <c r="AQ47" s="56">
        <v>38</v>
      </c>
      <c r="AR47" s="754"/>
      <c r="AS47" s="754"/>
      <c r="AT47" s="754"/>
      <c r="AU47" s="754"/>
      <c r="AV47" s="754"/>
      <c r="AW47" s="754"/>
      <c r="AX47" s="754"/>
      <c r="AY47" s="754"/>
      <c r="AZ47" s="754"/>
      <c r="BA47" s="754"/>
      <c r="BB47" s="754"/>
      <c r="BC47" s="754"/>
      <c r="BD47" s="755"/>
      <c r="BE47" s="756">
        <v>0</v>
      </c>
      <c r="BF47" s="754"/>
      <c r="BG47" s="748"/>
      <c r="BH47" s="748"/>
      <c r="BI47" s="748"/>
      <c r="BJ47" s="748"/>
      <c r="BK47" s="748"/>
      <c r="BL47" s="748"/>
      <c r="BM47" s="57"/>
      <c r="BN47" s="57"/>
      <c r="BO47" s="369"/>
      <c r="BP47" s="366"/>
      <c r="BQ47" s="757" t="s">
        <v>1204</v>
      </c>
      <c r="BR47" s="747"/>
      <c r="BS47" s="57">
        <v>38</v>
      </c>
      <c r="BT47" s="758" t="str">
        <f>IF(OR($AV$6="O1",$AV$6="O2",$AV$6="O3"),Sorts!E112,IF(OR($BB$6="O1",$BB$6="O2"),Sorts!E174,""))</f>
        <v>Serviteur Invisible</v>
      </c>
      <c r="BU47" s="744"/>
      <c r="BV47" s="744"/>
      <c r="BW47" s="744"/>
      <c r="BX47" s="744"/>
      <c r="BY47" s="744"/>
      <c r="BZ47" s="744"/>
      <c r="CA47" s="744"/>
      <c r="CB47" s="744"/>
      <c r="CC47" s="744"/>
      <c r="CD47" s="744"/>
      <c r="CE47" s="744"/>
      <c r="CF47" s="744"/>
      <c r="CG47" s="744">
        <v>0</v>
      </c>
      <c r="CH47" s="745"/>
      <c r="CI47" s="746">
        <f>IF(OR($AV$6="O1",$AV$6="O2",$AV$6="O3"),Sorts!F112,IF(OR($BB$6="O1",$BB$6="O2"),Sorts!F174,""))</f>
        <v>0</v>
      </c>
      <c r="CJ47" s="747"/>
      <c r="CK47" s="748" t="str">
        <f>IF(OR($AV$6="O1",$AV$6="O2",$AV$6="O3"),Sorts!G112,IF(OR($BB$6="O1",$BB$6="O2"),Sorts!G174,""))</f>
        <v>6t+1t/n</v>
      </c>
      <c r="CL47" s="748"/>
      <c r="CM47" s="748"/>
      <c r="CN47" s="57" t="str">
        <f>IF(OR($AV$6="O1",$AV$6="O2",$AV$6="O3"),Sorts!H112,IF(OR($BB$6="O1",$BB$6="O2"),Sorts!H174,""))</f>
        <v>X</v>
      </c>
      <c r="CO47" s="57" t="str">
        <f>IF(OR($AV$6="O1",$AV$6="O2",$AV$6="O3"),Sorts!I112,IF(OR($BB$6="O1",$BB$6="O2"),Sorts!I174,""))</f>
        <v>X</v>
      </c>
      <c r="CP47" s="58" t="str">
        <f>IF(OR($AV$6="O1",$AV$6="O2",$AV$6="O3"),Sorts!J112,IF(OR($BB$6="O1",$BB$6="O2"),Sorts!J174,""))</f>
        <v>X</v>
      </c>
      <c r="CQ47" s="60"/>
      <c r="CS47" s="56">
        <v>6</v>
      </c>
      <c r="CT47" s="754" t="str">
        <f>IF($AV$4="O",Sorts!Q9,IF($BB$4="O",Sorts!Q33,""))</f>
        <v/>
      </c>
      <c r="CU47" s="754"/>
      <c r="CV47" s="754"/>
      <c r="CW47" s="754"/>
      <c r="CX47" s="754"/>
      <c r="CY47" s="754"/>
      <c r="CZ47" s="754"/>
      <c r="DA47" s="754"/>
      <c r="DB47" s="754"/>
      <c r="DC47" s="754"/>
      <c r="DD47" s="754"/>
      <c r="DE47" s="754"/>
      <c r="DF47" s="755"/>
      <c r="DG47" s="756">
        <v>0</v>
      </c>
      <c r="DH47" s="747"/>
      <c r="DI47" s="748" t="str">
        <f>IF($AV$4="O",Sorts!R9,IF($BB$4="O",Sorts!R33,""))</f>
        <v/>
      </c>
      <c r="DJ47" s="748"/>
      <c r="DK47" s="748"/>
      <c r="DL47" s="748" t="str">
        <f>IF($AV$4="O",Sorts!S9,IF($BB$4="O",Sorts!S33,""))</f>
        <v/>
      </c>
      <c r="DM47" s="748"/>
      <c r="DN47" s="748"/>
      <c r="DO47" s="57" t="str">
        <f>IF($AV$4="O",Sorts!T9,IF($BB$4="O",Sorts!T33,""))</f>
        <v/>
      </c>
      <c r="DP47" s="57" t="str">
        <f>IF($AV$4="O",Sorts!U9,IF($BB$4="O",Sorts!U33,""))</f>
        <v/>
      </c>
      <c r="DQ47" s="58" t="str">
        <f>IF($AV$4="O",Sorts!V9,IF($BB$4="O",Sorts!V33,""))</f>
        <v/>
      </c>
      <c r="DR47" s="57"/>
      <c r="DS47" s="757" t="s">
        <v>1204</v>
      </c>
      <c r="DT47" s="747"/>
      <c r="DU47" s="57">
        <v>6</v>
      </c>
      <c r="DV47" s="758" t="str">
        <f>IF(OR($AV$6="O1",$AV$6="O2",$AV$6="O3"),Sorts!Q80,IF(OR($BB$6="O1",$BB$6="O2"),Sorts!Q142,""))</f>
        <v>Détection des Illusions</v>
      </c>
      <c r="DW47" s="744"/>
      <c r="DX47" s="744"/>
      <c r="DY47" s="744"/>
      <c r="DZ47" s="744"/>
      <c r="EA47" s="744"/>
      <c r="EB47" s="744"/>
      <c r="EC47" s="744"/>
      <c r="ED47" s="744"/>
      <c r="EE47" s="744"/>
      <c r="EF47" s="744"/>
      <c r="EG47" s="744"/>
      <c r="EH47" s="744"/>
      <c r="EI47" s="744">
        <v>0</v>
      </c>
      <c r="EJ47" s="745"/>
      <c r="EK47" s="746" t="str">
        <f>IF(OR($AV$6="O1",$AV$6="O2",$AV$6="O3"),Sorts!R80,IF(OR($BB$6="O1",$BB$6="O2"),Sorts!R142,""))</f>
        <v>T</v>
      </c>
      <c r="EL47" s="747"/>
      <c r="EM47" s="748" t="str">
        <f>IF(OR($AV$6="O1",$AV$6="O2",$AV$6="O3"),Sorts!S80,IF(OR($BB$6="O1",$BB$6="O2"),Sorts!S142,""))</f>
        <v>2r+1/n</v>
      </c>
      <c r="EN47" s="748"/>
      <c r="EO47" s="748"/>
      <c r="EP47" s="57" t="str">
        <f>IF(OR($AV$6="O1",$AV$6="O2",$AV$6="O3"),Sorts!T80,IF(OR($BB$6="O1",$BB$6="O2"),Sorts!T142,""))</f>
        <v>X</v>
      </c>
      <c r="EQ47" s="57" t="str">
        <f>IF(OR($AV$6="O1",$AV$6="O2",$AV$6="O3"),Sorts!U80,IF(OR($BB$6="O1",$BB$6="O2"),Sorts!U142,""))</f>
        <v>X</v>
      </c>
      <c r="ER47" s="58" t="str">
        <f>IF(OR($AV$6="O1",$AV$6="O2",$AV$6="O3"),Sorts!V80,IF(OR($BB$6="O1",$BB$6="O2"),Sorts!V142,""))</f>
        <v>X</v>
      </c>
      <c r="ES47" s="60"/>
      <c r="EU47" s="56">
        <v>10</v>
      </c>
      <c r="EV47" s="754" t="str">
        <f>IF($AV$4="O",Sorts!AC13,IF($BB$4="O",Sorts!AC37,""))</f>
        <v/>
      </c>
      <c r="EW47" s="754"/>
      <c r="EX47" s="754"/>
      <c r="EY47" s="754"/>
      <c r="EZ47" s="754"/>
      <c r="FA47" s="754"/>
      <c r="FB47" s="754"/>
      <c r="FC47" s="754"/>
      <c r="FD47" s="754"/>
      <c r="FE47" s="754"/>
      <c r="FF47" s="754"/>
      <c r="FG47" s="754"/>
      <c r="FH47" s="755"/>
      <c r="FI47" s="756">
        <v>0</v>
      </c>
      <c r="FJ47" s="747"/>
      <c r="FK47" s="748" t="str">
        <f>IF($AV$4="O",Sorts!AD13,IF($BB$4="O",Sorts!AD37,""))</f>
        <v/>
      </c>
      <c r="FL47" s="748"/>
      <c r="FM47" s="748"/>
      <c r="FN47" s="748" t="str">
        <f>IF($AV$4="O",Sorts!AE13,IF($BB$4="O",Sorts!AE37,""))</f>
        <v/>
      </c>
      <c r="FO47" s="748"/>
      <c r="FP47" s="748"/>
      <c r="FQ47" s="57" t="str">
        <f>IF($AV$4="O",Sorts!AF13,IF($BB$4="O",Sorts!AF37,""))</f>
        <v/>
      </c>
      <c r="FR47" s="57" t="str">
        <f>IF($AV$4="O",Sorts!AG13,IF($BB$4="O",Sorts!AG37,""))</f>
        <v/>
      </c>
      <c r="FS47" s="58" t="str">
        <f>IF($AV$4="O",Sorts!AH13,IF($BB$4="O",Sorts!AH37,""))</f>
        <v/>
      </c>
      <c r="FT47" s="57"/>
      <c r="FU47" s="757" t="s">
        <v>1204</v>
      </c>
      <c r="FV47" s="747"/>
      <c r="FW47" s="57">
        <v>10</v>
      </c>
      <c r="FX47" s="758" t="str">
        <f>IF(OR($AV$6="O1",$AV$6="O2",$AV$6="O3"),Sorts!AC84,IF(OR($BB$6="O1",$BB$6="O2"),Sorts!AC146,""))</f>
        <v>Envoi</v>
      </c>
      <c r="FY47" s="744"/>
      <c r="FZ47" s="744"/>
      <c r="GA47" s="744"/>
      <c r="GB47" s="744"/>
      <c r="GC47" s="744"/>
      <c r="GD47" s="744"/>
      <c r="GE47" s="744"/>
      <c r="GF47" s="744"/>
      <c r="GG47" s="744"/>
      <c r="GH47" s="744"/>
      <c r="GI47" s="744"/>
      <c r="GJ47" s="744"/>
      <c r="GK47" s="744">
        <v>0</v>
      </c>
      <c r="GL47" s="745"/>
      <c r="GM47" s="746" t="str">
        <f>IF(OR($AV$6="O1",$AV$6="O2",$AV$6="O3"),Sorts!AD84,IF(OR($BB$6="O1",$BB$6="O2"),Sorts!AD146,""))</f>
        <v>S</v>
      </c>
      <c r="GN47" s="747"/>
      <c r="GO47" s="748" t="str">
        <f>IF(OR($AV$6="O1",$AV$6="O2",$AV$6="O3"),Sorts!AE84,IF(OR($BB$6="O1",$BB$6="O2"),Sorts!AE146,""))</f>
        <v>S</v>
      </c>
      <c r="GP47" s="748"/>
      <c r="GQ47" s="748"/>
      <c r="GR47" s="57" t="str">
        <f>IF(OR($AV$6="O1",$AV$6="O2",$AV$6="O3"),Sorts!AF84,IF(OR($BB$6="O1",$BB$6="O2"),Sorts!AF146,""))</f>
        <v>X</v>
      </c>
      <c r="GS47" s="57" t="str">
        <f>IF(OR($AV$6="O1",$AV$6="O2",$AV$6="O3"),Sorts!AG84,IF(OR($BB$6="O1",$BB$6="O2"),Sorts!AG146,""))</f>
        <v>X</v>
      </c>
      <c r="GT47" s="58" t="str">
        <f>IF(OR($AV$6="O1",$AV$6="O2",$AV$6="O3"),Sorts!AH84,IF(OR($BB$6="O1",$BB$6="O2"),Sorts!AH146,""))</f>
        <v>X</v>
      </c>
      <c r="GU47" s="60"/>
      <c r="GW47" s="56">
        <v>12</v>
      </c>
      <c r="GX47" s="754" t="str">
        <f>IF($AV$4="O",Sorts!AO15,IF($BB$4="O",Sorts!AO39,""))</f>
        <v/>
      </c>
      <c r="GY47" s="754"/>
      <c r="GZ47" s="754"/>
      <c r="HA47" s="754"/>
      <c r="HB47" s="754"/>
      <c r="HC47" s="754"/>
      <c r="HD47" s="754"/>
      <c r="HE47" s="754"/>
      <c r="HF47" s="754"/>
      <c r="HG47" s="754"/>
      <c r="HH47" s="754"/>
      <c r="HI47" s="754"/>
      <c r="HJ47" s="755"/>
      <c r="HK47" s="756">
        <v>0</v>
      </c>
      <c r="HL47" s="747"/>
      <c r="HM47" s="748" t="str">
        <f>IF($AV$4="O",Sorts!AP15,IF($BB$4="O",Sorts!AP39,""))</f>
        <v/>
      </c>
      <c r="HN47" s="748"/>
      <c r="HO47" s="748"/>
      <c r="HP47" s="748" t="str">
        <f>IF($AV$4="O",Sorts!AQ15,IF($BB$4="O",Sorts!AQ39,""))</f>
        <v/>
      </c>
      <c r="HQ47" s="748"/>
      <c r="HR47" s="748"/>
      <c r="HS47" s="57" t="str">
        <f>IF($AV$4="O",Sorts!AR15,IF($BB$4="O",Sorts!AR39,""))</f>
        <v/>
      </c>
      <c r="HT47" s="57" t="str">
        <f>IF($AV$4="O",Sorts!AS15,IF($BB$4="O",Sorts!AS39,""))</f>
        <v/>
      </c>
      <c r="HU47" s="58" t="str">
        <f>IF($AV$4="O",Sorts!AT15,IF($BB$4="O",Sorts!AT39,""))</f>
        <v/>
      </c>
      <c r="HV47" s="57"/>
      <c r="HW47" s="757" t="s">
        <v>1204</v>
      </c>
      <c r="HX47" s="747"/>
      <c r="HY47" s="57">
        <v>12</v>
      </c>
      <c r="HZ47" s="758" t="str">
        <f>IF(OR($AV$6="O1",$AV$6="O2",$AV$6="O3"),Sorts!AO86,IF(OR($BB$6="O1",$BB$6="O2"),Sorts!AO148,""))</f>
        <v>Invocation Instantanée de Drawmij</v>
      </c>
      <c r="IA47" s="744"/>
      <c r="IB47" s="744"/>
      <c r="IC47" s="744"/>
      <c r="ID47" s="744"/>
      <c r="IE47" s="744"/>
      <c r="IF47" s="744"/>
      <c r="IG47" s="744"/>
      <c r="IH47" s="744"/>
      <c r="II47" s="744"/>
      <c r="IJ47" s="744"/>
      <c r="IK47" s="744"/>
      <c r="IL47" s="744"/>
      <c r="IM47" s="744">
        <v>0</v>
      </c>
      <c r="IN47" s="745"/>
      <c r="IO47" s="746" t="str">
        <f>IF(OR($AV$6="O1",$AV$6="O2",$AV$6="O3"),Sorts!AP86,IF(OR($BB$6="O1",$BB$6="O2"),Sorts!AP148,""))</f>
        <v>Inf</v>
      </c>
      <c r="IP47" s="747"/>
      <c r="IQ47" s="748" t="str">
        <f>IF(OR($AV$6="O1",$AV$6="O2",$AV$6="O3"),Sorts!AQ86,IF(OR($BB$6="O1",$BB$6="O2"),Sorts!AQ148,""))</f>
        <v>I</v>
      </c>
      <c r="IR47" s="748"/>
      <c r="IS47" s="748"/>
      <c r="IT47" s="57" t="str">
        <f>IF(OR($AV$6="O1",$AV$6="O2",$AV$6="O3"),Sorts!AR86,IF(OR($BB$6="O1",$BB$6="O2"),Sorts!AR148,""))</f>
        <v>X</v>
      </c>
      <c r="IU47" s="57" t="str">
        <f>IF(OR($AV$6="O1",$AV$6="O2",$AV$6="O3"),Sorts!AS86,IF(OR($BB$6="O1",$BB$6="O2"),Sorts!AS148,""))</f>
        <v>X</v>
      </c>
      <c r="IV47" s="58" t="str">
        <f>IF(OR($AV$6="O1",$AV$6="O2",$AV$6="O3"),Sorts!AT86,IF(OR($BB$6="O1",$BB$6="O2"),Sorts!AT148,""))</f>
        <v>X</v>
      </c>
      <c r="IW47" s="60"/>
      <c r="IY47" s="384"/>
      <c r="IZ47" s="762"/>
      <c r="JA47" s="762"/>
      <c r="JB47" s="762"/>
      <c r="JC47" s="762"/>
      <c r="JD47" s="762"/>
      <c r="JE47" s="762"/>
      <c r="JF47" s="762"/>
      <c r="JG47" s="762"/>
      <c r="JH47" s="762"/>
      <c r="JI47" s="762"/>
      <c r="JJ47" s="762"/>
      <c r="JK47" s="762"/>
      <c r="JL47" s="763"/>
      <c r="JM47" s="759"/>
      <c r="JN47" s="760"/>
      <c r="JO47" s="761"/>
      <c r="JP47" s="761"/>
      <c r="JQ47" s="761"/>
      <c r="JR47" s="761"/>
      <c r="JS47" s="761"/>
      <c r="JT47" s="761"/>
      <c r="JU47" s="385"/>
      <c r="JV47" s="385"/>
      <c r="JW47" s="386"/>
      <c r="JX47" s="385"/>
      <c r="JY47" s="757" t="s">
        <v>1204</v>
      </c>
      <c r="JZ47" s="747"/>
      <c r="KA47" s="57">
        <v>12</v>
      </c>
      <c r="KB47" s="758" t="str">
        <f>IF(OR($AV$6="O1",$AV$6="O2",$AV$6="O3"),Sorts!BA86,IF(OR($BB$6="O1",$BB$6="O2"),Sorts!BA148,""))</f>
        <v>Seuil</v>
      </c>
      <c r="KC47" s="744"/>
      <c r="KD47" s="744"/>
      <c r="KE47" s="744"/>
      <c r="KF47" s="744"/>
      <c r="KG47" s="744"/>
      <c r="KH47" s="744"/>
      <c r="KI47" s="744"/>
      <c r="KJ47" s="744"/>
      <c r="KK47" s="744"/>
      <c r="KL47" s="744"/>
      <c r="KM47" s="744"/>
      <c r="KN47" s="744"/>
      <c r="KO47" s="744">
        <v>0</v>
      </c>
      <c r="KP47" s="745"/>
      <c r="KQ47" s="746" t="str">
        <f>IF(OR($AV$6="O1",$AV$6="O2",$AV$6="O3"),Sorts!BB86,IF(OR($BB$6="O1",$BB$6="O2"),Sorts!BB148,""))</f>
        <v>3''</v>
      </c>
      <c r="KR47" s="747"/>
      <c r="KS47" s="748" t="str">
        <f>IF(OR($AV$6="O1",$AV$6="O2",$AV$6="O3"),Sorts!BC86,IF(OR($BB$6="O1",$BB$6="O2"),Sorts!BC148,""))</f>
        <v>S</v>
      </c>
      <c r="KT47" s="748"/>
      <c r="KU47" s="748"/>
      <c r="KV47" s="57" t="str">
        <f>IF(OR($AV$6="O1",$AV$6="O2",$AV$6="O3"),Sorts!BD86,IF(OR($BB$6="O1",$BB$6="O2"),Sorts!BD148,""))</f>
        <v>X</v>
      </c>
      <c r="KW47" s="57" t="str">
        <f>IF(OR($AV$6="O1",$AV$6="O2",$AV$6="O3"),Sorts!BE86,IF(OR($BB$6="O1",$BB$6="O2"),Sorts!BE148,""))</f>
        <v>X</v>
      </c>
      <c r="KX47" s="58" t="str">
        <f>IF(OR($AV$6="O1",$AV$6="O2",$AV$6="O3"),Sorts!BF86,IF(OR($BB$6="O1",$BB$6="O2"),Sorts!BF148,""))</f>
        <v>/</v>
      </c>
    </row>
    <row r="48" spans="2:310" ht="18" customHeight="1" thickBot="1" x14ac:dyDescent="0.3">
      <c r="B48" s="4"/>
      <c r="C48" s="602" t="s">
        <v>1706</v>
      </c>
      <c r="D48" s="603"/>
      <c r="E48" s="604"/>
      <c r="G48" s="585"/>
      <c r="H48" s="586"/>
      <c r="I48" s="586"/>
      <c r="J48" s="587"/>
      <c r="L48" s="571"/>
      <c r="M48" s="591" t="s">
        <v>185</v>
      </c>
      <c r="N48" s="592"/>
      <c r="O48" s="592"/>
      <c r="P48" s="592"/>
      <c r="Q48" s="592"/>
      <c r="R48" s="517" t="str">
        <f t="shared" si="1"/>
        <v>N</v>
      </c>
      <c r="S48" s="497" t="str">
        <f>IF(AND($R48="O",Code_Classe=7,OR($M48='Armures-Armes'!$B$115,$M48='Armures-Armes'!$B$124,$M48='Armures-Armes'!$B$125,$M48='Armures-Armes'!$B$126,$M48='Armures-Armes'!$B$130,$M48='Armures-Armes'!$B$143,$M48='Armures-Armes'!$B$144,$M48='Armures-Armes'!$B$145,$M48='Armures-Armes'!$B$150)),"P",IF(AND(Code_Classe=5,OR($M48='Armures-Armes'!$B$115,$M48='Armures-Armes'!$B$124,$M48='Armures-Armes'!$B$125,$M48='Armures-Armes'!$B$126,$M48='Armures-Armes'!$B$130,$M48='Armures-Armes'!$B$143,$M48='Armures-Armes'!$B$144,$M48='Armures-Armes'!$B$145,$M48='Armures-Armes'!$B$150)),"P",IF(AND(OR(Code_Classe=3,Code_Classe=4),Spec1=$M48,$R48="O"),"S","")))</f>
        <v/>
      </c>
      <c r="T48" s="518">
        <f t="shared" si="0"/>
        <v>0</v>
      </c>
      <c r="U48" s="493">
        <v>0</v>
      </c>
      <c r="V48" s="644">
        <f>$C$45-IF($R48="N",$E$52,0)-IF($S48="S",1,0)-$T48-U48</f>
        <v>20</v>
      </c>
      <c r="W48" s="645"/>
      <c r="X48" s="594">
        <f>VLOOKUP($M48,'Armures-Armes'!$B$102:$I$160,4,FALSE)</f>
        <v>0</v>
      </c>
      <c r="Y48" s="595"/>
      <c r="Z48" s="594">
        <f>VLOOKUP($M48,'Armures-Armes'!$B$102:$I$160,5,FALSE)</f>
        <v>0</v>
      </c>
      <c r="AA48" s="595"/>
      <c r="AB48" s="495">
        <f>IF($D$7="MOINE",$AN$14/2,+$M$11)</f>
        <v>0</v>
      </c>
      <c r="AC48" s="493">
        <v>0</v>
      </c>
      <c r="AD48" s="492">
        <f>$AB48+$AC48+IF($R48="N",$E$52,0)+IF($S48="S",2,0)</f>
        <v>-2</v>
      </c>
      <c r="AE48" s="594" cm="1">
        <f t="array" ref="AE48">IF($M48="Aucune",0,IF(OR($S48="S",$S48="P"),INDEX(Niveau!$B$433:$AM$469,$J$44+1,Code_Classe+1),INDEX(Niveau!$B$394:$AM$430,$J$44+1,Code_Classe+1)))</f>
        <v>0</v>
      </c>
      <c r="AF48" s="595"/>
      <c r="AG48" s="594">
        <f>VLOOKUP($M48,'Armures-Armes'!$B$102:$I$160,8,FALSE)</f>
        <v>0</v>
      </c>
      <c r="AH48" s="595"/>
      <c r="AI48" s="582" t="str">
        <f>IF($M48="Aucune","0",INT(AG48/AE48)+10-$L$26+$N$26+$D$39-$L$28)</f>
        <v>0</v>
      </c>
      <c r="AJ48" s="584"/>
      <c r="AO48" s="69"/>
      <c r="AQ48" s="56">
        <v>39</v>
      </c>
      <c r="AR48" s="754"/>
      <c r="AS48" s="754"/>
      <c r="AT48" s="754"/>
      <c r="AU48" s="754"/>
      <c r="AV48" s="754"/>
      <c r="AW48" s="754"/>
      <c r="AX48" s="754"/>
      <c r="AY48" s="754"/>
      <c r="AZ48" s="754"/>
      <c r="BA48" s="754"/>
      <c r="BB48" s="754"/>
      <c r="BC48" s="754"/>
      <c r="BD48" s="755"/>
      <c r="BE48" s="756">
        <v>0</v>
      </c>
      <c r="BF48" s="754"/>
      <c r="BG48" s="748"/>
      <c r="BH48" s="748"/>
      <c r="BI48" s="748"/>
      <c r="BJ48" s="748"/>
      <c r="BK48" s="748"/>
      <c r="BL48" s="748"/>
      <c r="BM48" s="57"/>
      <c r="BN48" s="57"/>
      <c r="BO48" s="369"/>
      <c r="BP48" s="366"/>
      <c r="BQ48" s="757" t="s">
        <v>1204</v>
      </c>
      <c r="BR48" s="747"/>
      <c r="BS48" s="57">
        <v>39</v>
      </c>
      <c r="BT48" s="758" t="str">
        <f>IF(OR($AV$6="O1",$AV$6="O2",$AV$6="O3"),Sorts!E113,IF(OR($BB$6="O1",$BB$6="O2"),Sorts!E175,""))</f>
        <v>Sommeil</v>
      </c>
      <c r="BU48" s="744"/>
      <c r="BV48" s="744"/>
      <c r="BW48" s="744"/>
      <c r="BX48" s="744"/>
      <c r="BY48" s="744"/>
      <c r="BZ48" s="744"/>
      <c r="CA48" s="744"/>
      <c r="CB48" s="744"/>
      <c r="CC48" s="744"/>
      <c r="CD48" s="744"/>
      <c r="CE48" s="744"/>
      <c r="CF48" s="744"/>
      <c r="CG48" s="744">
        <v>0</v>
      </c>
      <c r="CH48" s="745"/>
      <c r="CI48" s="746" t="str">
        <f>IF(OR($AV$6="O1",$AV$6="O2",$AV$6="O3"),Sorts!F113,IF(OR($BB$6="O1",$BB$6="O2"),Sorts!F175,""))</f>
        <v>3’’+1’’/n</v>
      </c>
      <c r="CJ48" s="747"/>
      <c r="CK48" s="748" t="str">
        <f>IF(OR($AV$6="O1",$AV$6="O2",$AV$6="O3"),Sorts!G113,IF(OR($BB$6="O1",$BB$6="O2"),Sorts!G175,""))</f>
        <v>5r/n</v>
      </c>
      <c r="CL48" s="748"/>
      <c r="CM48" s="748"/>
      <c r="CN48" s="57" t="str">
        <f>IF(OR($AV$6="O1",$AV$6="O2",$AV$6="O3"),Sorts!H113,IF(OR($BB$6="O1",$BB$6="O2"),Sorts!H175,""))</f>
        <v>X</v>
      </c>
      <c r="CO48" s="57" t="str">
        <f>IF(OR($AV$6="O1",$AV$6="O2",$AV$6="O3"),Sorts!I113,IF(OR($BB$6="O1",$BB$6="O2"),Sorts!I175,""))</f>
        <v>X</v>
      </c>
      <c r="CP48" s="58" t="str">
        <f>IF(OR($AV$6="O1",$AV$6="O2",$AV$6="O3"),Sorts!J113,IF(OR($BB$6="O1",$BB$6="O2"),Sorts!J175,""))</f>
        <v>X</v>
      </c>
      <c r="CQ48" s="60"/>
      <c r="CS48" s="56">
        <v>7</v>
      </c>
      <c r="CT48" s="754" t="str">
        <f>IF($AV$4="O",Sorts!Q10,IF($BB$4="O",Sorts!Q34,""))</f>
        <v/>
      </c>
      <c r="CU48" s="754"/>
      <c r="CV48" s="754"/>
      <c r="CW48" s="754"/>
      <c r="CX48" s="754"/>
      <c r="CY48" s="754"/>
      <c r="CZ48" s="754"/>
      <c r="DA48" s="754"/>
      <c r="DB48" s="754"/>
      <c r="DC48" s="754"/>
      <c r="DD48" s="754"/>
      <c r="DE48" s="754"/>
      <c r="DF48" s="755"/>
      <c r="DG48" s="756">
        <v>0</v>
      </c>
      <c r="DH48" s="747"/>
      <c r="DI48" s="748" t="str">
        <f>IF($AV$4="O",Sorts!R10,IF($BB$4="O",Sorts!R34,""))</f>
        <v/>
      </c>
      <c r="DJ48" s="748"/>
      <c r="DK48" s="748"/>
      <c r="DL48" s="748" t="str">
        <f>IF($AV$4="O",Sorts!S10,IF($BB$4="O",Sorts!S34,""))</f>
        <v/>
      </c>
      <c r="DM48" s="748"/>
      <c r="DN48" s="748"/>
      <c r="DO48" s="57" t="str">
        <f>IF($AV$4="O",Sorts!T10,IF($BB$4="O",Sorts!T34,""))</f>
        <v/>
      </c>
      <c r="DP48" s="57" t="str">
        <f>IF($AV$4="O",Sorts!U10,IF($BB$4="O",Sorts!U34,""))</f>
        <v/>
      </c>
      <c r="DQ48" s="58" t="str">
        <f>IF($AV$4="O",Sorts!V10,IF($BB$4="O",Sorts!V34,""))</f>
        <v/>
      </c>
      <c r="DR48" s="57"/>
      <c r="DS48" s="757" t="s">
        <v>1204</v>
      </c>
      <c r="DT48" s="747"/>
      <c r="DU48" s="57">
        <v>7</v>
      </c>
      <c r="DV48" s="758" t="str">
        <f>IF(OR($AV$6="O1",$AV$6="O2",$AV$6="O3"),Sorts!Q81,IF(OR($BB$6="O1",$BB$6="O2"),Sorts!Q143,""))</f>
        <v>Dissipation de la Magie</v>
      </c>
      <c r="DW48" s="744"/>
      <c r="DX48" s="744"/>
      <c r="DY48" s="744"/>
      <c r="DZ48" s="744"/>
      <c r="EA48" s="744"/>
      <c r="EB48" s="744"/>
      <c r="EC48" s="744"/>
      <c r="ED48" s="744"/>
      <c r="EE48" s="744"/>
      <c r="EF48" s="744"/>
      <c r="EG48" s="744"/>
      <c r="EH48" s="744"/>
      <c r="EI48" s="744">
        <v>0</v>
      </c>
      <c r="EJ48" s="745"/>
      <c r="EK48" s="746" t="str">
        <f>IF(OR($AV$6="O1",$AV$6="O2",$AV$6="O3"),Sorts!R81,IF(OR($BB$6="O1",$BB$6="O2"),Sorts!R143,""))</f>
        <v>12''</v>
      </c>
      <c r="EL48" s="747"/>
      <c r="EM48" s="748" t="str">
        <f>IF(OR($AV$6="O1",$AV$6="O2",$AV$6="O3"),Sorts!S81,IF(OR($BB$6="O1",$BB$6="O2"),Sorts!S143,""))</f>
        <v>P</v>
      </c>
      <c r="EN48" s="748"/>
      <c r="EO48" s="748"/>
      <c r="EP48" s="57" t="str">
        <f>IF(OR($AV$6="O1",$AV$6="O2",$AV$6="O3"),Sorts!T81,IF(OR($BB$6="O1",$BB$6="O2"),Sorts!T143,""))</f>
        <v>X</v>
      </c>
      <c r="EQ48" s="57" t="str">
        <f>IF(OR($AV$6="O1",$AV$6="O2",$AV$6="O3"),Sorts!U81,IF(OR($BB$6="O1",$BB$6="O2"),Sorts!U143,""))</f>
        <v>X</v>
      </c>
      <c r="ER48" s="58" t="str">
        <f>IF(OR($AV$6="O1",$AV$6="O2",$AV$6="O3"),Sorts!V81,IF(OR($BB$6="O1",$BB$6="O2"),Sorts!V143,""))</f>
        <v>/</v>
      </c>
      <c r="ES48" s="60"/>
      <c r="EU48" s="56">
        <v>11</v>
      </c>
      <c r="EV48" s="754" t="str">
        <f>IF($AV$4="O",Sorts!AC14,IF($BB$4="O",Sorts!AC38,""))</f>
        <v/>
      </c>
      <c r="EW48" s="754"/>
      <c r="EX48" s="754"/>
      <c r="EY48" s="754"/>
      <c r="EZ48" s="754"/>
      <c r="FA48" s="754"/>
      <c r="FB48" s="754"/>
      <c r="FC48" s="754"/>
      <c r="FD48" s="754"/>
      <c r="FE48" s="754"/>
      <c r="FF48" s="754"/>
      <c r="FG48" s="754"/>
      <c r="FH48" s="755"/>
      <c r="FI48" s="756">
        <v>0</v>
      </c>
      <c r="FJ48" s="747"/>
      <c r="FK48" s="748" t="str">
        <f>IF($AV$4="O",Sorts!AD14,IF($BB$4="O",Sorts!AD38,""))</f>
        <v/>
      </c>
      <c r="FL48" s="748"/>
      <c r="FM48" s="748"/>
      <c r="FN48" s="748" t="str">
        <f>IF($AV$4="O",Sorts!AE14,IF($BB$4="O",Sorts!AE38,""))</f>
        <v/>
      </c>
      <c r="FO48" s="748"/>
      <c r="FP48" s="748"/>
      <c r="FQ48" s="57" t="str">
        <f>IF($AV$4="O",Sorts!AF14,IF($BB$4="O",Sorts!AF38,""))</f>
        <v/>
      </c>
      <c r="FR48" s="57" t="str">
        <f>IF($AV$4="O",Sorts!AG14,IF($BB$4="O",Sorts!AG38,""))</f>
        <v/>
      </c>
      <c r="FS48" s="58" t="str">
        <f>IF($AV$4="O",Sorts!AH14,IF($BB$4="O",Sorts!AH38,""))</f>
        <v/>
      </c>
      <c r="FT48" s="57"/>
      <c r="FU48" s="757" t="s">
        <v>1204</v>
      </c>
      <c r="FV48" s="747"/>
      <c r="FW48" s="57">
        <v>11</v>
      </c>
      <c r="FX48" s="758" t="str">
        <f>IF(OR($AV$6="O1",$AV$6="O2",$AV$6="O3"),Sorts!AC85,IF(OR($BB$6="O1",$BB$6="O2"),Sorts!AC147,""))</f>
        <v>Évitement</v>
      </c>
      <c r="FY48" s="744"/>
      <c r="FZ48" s="744"/>
      <c r="GA48" s="744"/>
      <c r="GB48" s="744"/>
      <c r="GC48" s="744"/>
      <c r="GD48" s="744"/>
      <c r="GE48" s="744"/>
      <c r="GF48" s="744"/>
      <c r="GG48" s="744"/>
      <c r="GH48" s="744"/>
      <c r="GI48" s="744"/>
      <c r="GJ48" s="744"/>
      <c r="GK48" s="744">
        <v>0</v>
      </c>
      <c r="GL48" s="745"/>
      <c r="GM48" s="746" t="str">
        <f>IF(OR($AV$6="O1",$AV$6="O2",$AV$6="O3"),Sorts!AD85,IF(OR($BB$6="O1",$BB$6="O2"),Sorts!AD147,""))</f>
        <v>1''</v>
      </c>
      <c r="GN48" s="747"/>
      <c r="GO48" s="748" t="str">
        <f>IF(OR($AV$6="O1",$AV$6="O2",$AV$6="O3"),Sorts!AE85,IF(OR($BB$6="O1",$BB$6="O2"),Sorts!AE147,""))</f>
        <v>Diss</v>
      </c>
      <c r="GP48" s="748"/>
      <c r="GQ48" s="748"/>
      <c r="GR48" s="57" t="str">
        <f>IF(OR($AV$6="O1",$AV$6="O2",$AV$6="O3"),Sorts!AF85,IF(OR($BB$6="O1",$BB$6="O2"),Sorts!AF147,""))</f>
        <v>X</v>
      </c>
      <c r="GS48" s="57" t="str">
        <f>IF(OR($AV$6="O1",$AV$6="O2",$AV$6="O3"),Sorts!AG85,IF(OR($BB$6="O1",$BB$6="O2"),Sorts!AG147,""))</f>
        <v>X</v>
      </c>
      <c r="GT48" s="58" t="str">
        <f>IF(OR($AV$6="O1",$AV$6="O2",$AV$6="O3"),Sorts!AH85,IF(OR($BB$6="O1",$BB$6="O2"),Sorts!AH147,""))</f>
        <v>X</v>
      </c>
      <c r="GU48" s="60"/>
      <c r="GW48" s="56">
        <v>13</v>
      </c>
      <c r="GX48" s="754"/>
      <c r="GY48" s="754"/>
      <c r="GZ48" s="754"/>
      <c r="HA48" s="754"/>
      <c r="HB48" s="754"/>
      <c r="HC48" s="754"/>
      <c r="HD48" s="754"/>
      <c r="HE48" s="754"/>
      <c r="HF48" s="754"/>
      <c r="HG48" s="754"/>
      <c r="HH48" s="754"/>
      <c r="HI48" s="754"/>
      <c r="HJ48" s="755"/>
      <c r="HK48" s="756"/>
      <c r="HL48" s="747"/>
      <c r="HM48" s="748"/>
      <c r="HN48" s="748"/>
      <c r="HO48" s="748"/>
      <c r="HP48" s="748"/>
      <c r="HQ48" s="748"/>
      <c r="HR48" s="748"/>
      <c r="HS48" s="57"/>
      <c r="HT48" s="57"/>
      <c r="HU48" s="58"/>
      <c r="HV48" s="57"/>
      <c r="HW48" s="757" t="s">
        <v>1204</v>
      </c>
      <c r="HX48" s="747"/>
      <c r="HY48" s="57">
        <v>13</v>
      </c>
      <c r="HZ48" s="758" t="str">
        <f>IF(OR($AV$6="O1",$AV$6="O2",$AV$6="O3"),Sorts!AO87,IF(OR($BB$6="O1",$BB$6="O2"),Sorts!AO149,""))</f>
        <v>Isolement</v>
      </c>
      <c r="IA48" s="744"/>
      <c r="IB48" s="744"/>
      <c r="IC48" s="744"/>
      <c r="ID48" s="744"/>
      <c r="IE48" s="744"/>
      <c r="IF48" s="744"/>
      <c r="IG48" s="744"/>
      <c r="IH48" s="744"/>
      <c r="II48" s="744"/>
      <c r="IJ48" s="744"/>
      <c r="IK48" s="744"/>
      <c r="IL48" s="744"/>
      <c r="IM48" s="744">
        <v>0</v>
      </c>
      <c r="IN48" s="745"/>
      <c r="IO48" s="746" t="str">
        <f>IF(OR($AV$6="O1",$AV$6="O2",$AV$6="O3"),Sorts!AP87,IF(OR($BB$6="O1",$BB$6="O2"),Sorts!AP149,""))</f>
        <v>T</v>
      </c>
      <c r="IP48" s="747"/>
      <c r="IQ48" s="748" t="str">
        <f>IF(OR($AV$6="O1",$AV$6="O2",$AV$6="O3"),Sorts!AQ87,IF(OR($BB$6="O1",$BB$6="O2"),Sorts!AQ149,""))</f>
        <v>1sem+1j/n</v>
      </c>
      <c r="IR48" s="748"/>
      <c r="IS48" s="748"/>
      <c r="IT48" s="57" t="str">
        <f>IF(OR($AV$6="O1",$AV$6="O2",$AV$6="O3"),Sorts!AR87,IF(OR($BB$6="O1",$BB$6="O2"),Sorts!AR149,""))</f>
        <v>X</v>
      </c>
      <c r="IU48" s="57" t="str">
        <f>IF(OR($AV$6="O1",$AV$6="O2",$AV$6="O3"),Sorts!AS87,IF(OR($BB$6="O1",$BB$6="O2"),Sorts!AS149,""))</f>
        <v>X</v>
      </c>
      <c r="IV48" s="58" t="str">
        <f>IF(OR($AV$6="O1",$AV$6="O2",$AV$6="O3"),Sorts!AT87,IF(OR($BB$6="O1",$BB$6="O2"),Sorts!AT149,""))</f>
        <v>X</v>
      </c>
      <c r="IW48" s="60"/>
      <c r="IY48" s="384"/>
      <c r="IZ48" s="762"/>
      <c r="JA48" s="762"/>
      <c r="JB48" s="762"/>
      <c r="JC48" s="762"/>
      <c r="JD48" s="762"/>
      <c r="JE48" s="762"/>
      <c r="JF48" s="762"/>
      <c r="JG48" s="762"/>
      <c r="JH48" s="762"/>
      <c r="JI48" s="762"/>
      <c r="JJ48" s="762"/>
      <c r="JK48" s="762"/>
      <c r="JL48" s="763"/>
      <c r="JM48" s="759"/>
      <c r="JN48" s="760"/>
      <c r="JO48" s="761"/>
      <c r="JP48" s="761"/>
      <c r="JQ48" s="761"/>
      <c r="JR48" s="761"/>
      <c r="JS48" s="761"/>
      <c r="JT48" s="761"/>
      <c r="JU48" s="385"/>
      <c r="JV48" s="385"/>
      <c r="JW48" s="386"/>
      <c r="JX48" s="385"/>
      <c r="JY48" s="757" t="s">
        <v>1204</v>
      </c>
      <c r="JZ48" s="747"/>
      <c r="KA48" s="57">
        <v>13</v>
      </c>
      <c r="KB48" s="758" t="str">
        <f>IF(OR($AV$6="O1",$AV$6="O2",$AV$6="O3"),Sorts!BA87,IF(OR($BB$6="O1",$BB$6="O2"),Sorts!BA149,""))</f>
        <v>Sort Astral</v>
      </c>
      <c r="KC48" s="744"/>
      <c r="KD48" s="744"/>
      <c r="KE48" s="744"/>
      <c r="KF48" s="744"/>
      <c r="KG48" s="744"/>
      <c r="KH48" s="744"/>
      <c r="KI48" s="744"/>
      <c r="KJ48" s="744"/>
      <c r="KK48" s="744"/>
      <c r="KL48" s="744"/>
      <c r="KM48" s="744"/>
      <c r="KN48" s="744"/>
      <c r="KO48" s="744">
        <v>0</v>
      </c>
      <c r="KP48" s="745"/>
      <c r="KQ48" s="746" t="str">
        <f>IF(OR($AV$6="O1",$AV$6="O2",$AV$6="O3"),Sorts!BB87,IF(OR($BB$6="O1",$BB$6="O2"),Sorts!BB149,""))</f>
        <v>T</v>
      </c>
      <c r="KR48" s="747"/>
      <c r="KS48" s="748" t="str">
        <f>IF(OR($AV$6="O1",$AV$6="O2",$AV$6="O3"),Sorts!BC87,IF(OR($BB$6="O1",$BB$6="O2"),Sorts!BC149,""))</f>
        <v>S</v>
      </c>
      <c r="KT48" s="748"/>
      <c r="KU48" s="748"/>
      <c r="KV48" s="57" t="str">
        <f>IF(OR($AV$6="O1",$AV$6="O2",$AV$6="O3"),Sorts!BD87,IF(OR($BB$6="O1",$BB$6="O2"),Sorts!BD149,""))</f>
        <v>X</v>
      </c>
      <c r="KW48" s="57" t="str">
        <f>IF(OR($AV$6="O1",$AV$6="O2",$AV$6="O3"),Sorts!BE87,IF(OR($BB$6="O1",$BB$6="O2"),Sorts!BE149,""))</f>
        <v>X</v>
      </c>
      <c r="KX48" s="58" t="str">
        <f>IF(OR($AV$6="O1",$AV$6="O2",$AV$6="O3"),Sorts!BF87,IF(OR($BB$6="O1",$BB$6="O2"),Sorts!BF149,""))</f>
        <v>/</v>
      </c>
    </row>
    <row r="49" spans="2:310" ht="18" customHeight="1" thickBot="1" x14ac:dyDescent="0.3">
      <c r="B49" s="4"/>
      <c r="C49" s="75" t="s">
        <v>395</v>
      </c>
      <c r="E49" s="429">
        <f>VLOOKUP(Code_Classe,Classe!$C$3:$AD$40,24,FALSE)</f>
        <v>4</v>
      </c>
      <c r="G49" s="585"/>
      <c r="H49" s="586"/>
      <c r="I49" s="586"/>
      <c r="J49" s="587"/>
      <c r="L49" s="570"/>
      <c r="M49" s="591" t="s">
        <v>185</v>
      </c>
      <c r="N49" s="592"/>
      <c r="O49" s="592"/>
      <c r="P49" s="592"/>
      <c r="Q49" s="592"/>
      <c r="R49" s="517" t="str">
        <f t="shared" si="1"/>
        <v>N</v>
      </c>
      <c r="S49" s="497" t="str">
        <f>IF(AND($R49="O",Code_Classe=7,OR($M49='Armures-Armes'!$B$115,$M49='Armures-Armes'!$B$124,$M49='Armures-Armes'!$B$125,$M49='Armures-Armes'!$B$126,$M49='Armures-Armes'!$B$130,$M49='Armures-Armes'!$B$143,$M49='Armures-Armes'!$B$144,$M49='Armures-Armes'!$B$145,$M49='Armures-Armes'!$B$150)),"P",IF(AND(Code_Classe=5,OR($M49='Armures-Armes'!$B$115,$M49='Armures-Armes'!$B$124,$M49='Armures-Armes'!$B$125,$M49='Armures-Armes'!$B$126,$M49='Armures-Armes'!$B$130,$M49='Armures-Armes'!$B$143,$M49='Armures-Armes'!$B$144,$M49='Armures-Armes'!$B$145,$M49='Armures-Armes'!$B$150)),"P",IF(AND(OR(Code_Classe=3,Code_Classe=4),Spec1=$M49,$R49="O"),"S","")))</f>
        <v/>
      </c>
      <c r="T49" s="518">
        <f>+$I$11</f>
        <v>0</v>
      </c>
      <c r="U49" s="493">
        <v>0</v>
      </c>
      <c r="V49" s="644">
        <f>$C$45-IF($R49="N",$E$52,0)-IF($S49="S",1,0)-$T49-U49</f>
        <v>20</v>
      </c>
      <c r="W49" s="645"/>
      <c r="X49" s="594">
        <f>VLOOKUP($M49,'Armures-Armes'!$B$102:$I$160,4,FALSE)</f>
        <v>0</v>
      </c>
      <c r="Y49" s="595"/>
      <c r="Z49" s="594">
        <f>VLOOKUP($M49,'Armures-Armes'!$B$102:$I$160,5,FALSE)</f>
        <v>0</v>
      </c>
      <c r="AA49" s="595"/>
      <c r="AB49" s="495">
        <f>IF($D$7="MOINE",$AN$14/2,+$M$11)</f>
        <v>0</v>
      </c>
      <c r="AC49" s="493">
        <v>0</v>
      </c>
      <c r="AD49" s="492">
        <f>$AB49+$AC49+IF($R49="N",$E$52,0)+IF($S49="S",2,0)</f>
        <v>-2</v>
      </c>
      <c r="AE49" s="594" cm="1">
        <f t="array" ref="AE49">IF($M49="Aucune",0,IF(OR($S49="S",$S49="P"),INDEX(Niveau!$B$433:$AM$469,$J$44+1,Code_Classe+1),INDEX(Niveau!$B$394:$AM$430,$J$44+1,Code_Classe+1)))</f>
        <v>0</v>
      </c>
      <c r="AF49" s="595"/>
      <c r="AG49" s="594">
        <f>VLOOKUP($M49,'Armures-Armes'!$B$102:$I$160,8,FALSE)</f>
        <v>0</v>
      </c>
      <c r="AH49" s="595"/>
      <c r="AI49" s="582" t="str">
        <f>IF($M49="Aucune","0",INT(AG49/AE49)+10-$L$26+$N$26+$D$39-$L$28)</f>
        <v>0</v>
      </c>
      <c r="AJ49" s="584"/>
      <c r="AL49" s="602" t="s">
        <v>1707</v>
      </c>
      <c r="AM49" s="603"/>
      <c r="AN49" s="603"/>
      <c r="AO49" s="605"/>
      <c r="AQ49" s="56">
        <v>40</v>
      </c>
      <c r="AR49" s="754"/>
      <c r="AS49" s="754"/>
      <c r="AT49" s="754"/>
      <c r="AU49" s="754"/>
      <c r="AV49" s="754"/>
      <c r="AW49" s="754"/>
      <c r="AX49" s="754"/>
      <c r="AY49" s="754"/>
      <c r="AZ49" s="754"/>
      <c r="BA49" s="754"/>
      <c r="BB49" s="754"/>
      <c r="BC49" s="754"/>
      <c r="BD49" s="755"/>
      <c r="BE49" s="765">
        <v>0</v>
      </c>
      <c r="BF49" s="766"/>
      <c r="BG49" s="767"/>
      <c r="BH49" s="767"/>
      <c r="BI49" s="767"/>
      <c r="BJ49" s="767"/>
      <c r="BK49" s="767"/>
      <c r="BL49" s="767"/>
      <c r="BM49" s="370"/>
      <c r="BN49" s="370"/>
      <c r="BO49" s="371"/>
      <c r="BP49" s="368"/>
      <c r="BQ49" s="757" t="s">
        <v>1204</v>
      </c>
      <c r="BR49" s="747"/>
      <c r="BS49" s="59">
        <v>40</v>
      </c>
      <c r="BT49" s="758" t="str">
        <f>IF(OR($AV$6="O1",$AV$6="O2",$AV$6="O3"),Sorts!E114,IF(OR($BB$6="O1",$BB$6="O2"),Sorts!E176,""))</f>
        <v>Ventriloquie</v>
      </c>
      <c r="BU49" s="744"/>
      <c r="BV49" s="744"/>
      <c r="BW49" s="744"/>
      <c r="BX49" s="744"/>
      <c r="BY49" s="744"/>
      <c r="BZ49" s="744"/>
      <c r="CA49" s="744"/>
      <c r="CB49" s="744"/>
      <c r="CC49" s="744"/>
      <c r="CD49" s="744"/>
      <c r="CE49" s="744"/>
      <c r="CF49" s="744"/>
      <c r="CG49" s="768">
        <v>0</v>
      </c>
      <c r="CH49" s="769"/>
      <c r="CI49" s="746" t="str">
        <f>IF(OR($AV$6="O1",$AV$6="O2",$AV$6="O3"),Sorts!F114,IF(OR($BB$6="O1",$BB$6="O2"),Sorts!F176,""))</f>
        <v>1’’/n,6’’maximum</v>
      </c>
      <c r="CJ49" s="747"/>
      <c r="CK49" s="748" t="str">
        <f>IF(OR($AV$6="O1",$AV$6="O2",$AV$6="O3"),Sorts!G114,IF(OR($BB$6="O1",$BB$6="O2"),Sorts!G176,""))</f>
        <v>2r+1r/n</v>
      </c>
      <c r="CL49" s="748"/>
      <c r="CM49" s="748"/>
      <c r="CN49" s="57" t="str">
        <f>IF(OR($AV$6="O1",$AV$6="O2",$AV$6="O3"),Sorts!H114,IF(OR($BB$6="O1",$BB$6="O2"),Sorts!H176,""))</f>
        <v>X</v>
      </c>
      <c r="CO49" s="57" t="str">
        <f>IF(OR($AV$6="O1",$AV$6="O2",$AV$6="O3"),Sorts!I114,IF(OR($BB$6="O1",$BB$6="O2"),Sorts!I176,""))</f>
        <v>/</v>
      </c>
      <c r="CP49" s="58" t="str">
        <f>IF(OR($AV$6="O1",$AV$6="O2",$AV$6="O3"),Sorts!J114,IF(OR($BB$6="O1",$BB$6="O2"),Sorts!J176,""))</f>
        <v>X</v>
      </c>
      <c r="CQ49" s="60"/>
      <c r="CS49" s="56">
        <v>8</v>
      </c>
      <c r="CT49" s="754" t="str">
        <f>IF($AV$4="O",Sorts!Q11,IF($BB$4="O",Sorts!Q35,""))</f>
        <v/>
      </c>
      <c r="CU49" s="754"/>
      <c r="CV49" s="754"/>
      <c r="CW49" s="754"/>
      <c r="CX49" s="754"/>
      <c r="CY49" s="754"/>
      <c r="CZ49" s="754"/>
      <c r="DA49" s="754"/>
      <c r="DB49" s="754"/>
      <c r="DC49" s="754"/>
      <c r="DD49" s="754"/>
      <c r="DE49" s="754"/>
      <c r="DF49" s="755"/>
      <c r="DG49" s="756">
        <v>0</v>
      </c>
      <c r="DH49" s="747"/>
      <c r="DI49" s="748" t="str">
        <f>IF($AV$4="O",Sorts!R11,IF($BB$4="O",Sorts!R35,""))</f>
        <v/>
      </c>
      <c r="DJ49" s="748"/>
      <c r="DK49" s="748"/>
      <c r="DL49" s="748" t="str">
        <f>IF($AV$4="O",Sorts!S11,IF($BB$4="O",Sorts!S35,""))</f>
        <v/>
      </c>
      <c r="DM49" s="748"/>
      <c r="DN49" s="748"/>
      <c r="DO49" s="57" t="str">
        <f>IF($AV$4="O",Sorts!T11,IF($BB$4="O",Sorts!T35,""))</f>
        <v/>
      </c>
      <c r="DP49" s="57" t="str">
        <f>IF($AV$4="O",Sorts!U11,IF($BB$4="O",Sorts!U35,""))</f>
        <v/>
      </c>
      <c r="DQ49" s="58" t="str">
        <f>IF($AV$4="O",Sorts!V11,IF($BB$4="O",Sorts!V35,""))</f>
        <v/>
      </c>
      <c r="DR49" s="57"/>
      <c r="DS49" s="757" t="s">
        <v>1204</v>
      </c>
      <c r="DT49" s="747"/>
      <c r="DU49" s="57">
        <v>8</v>
      </c>
      <c r="DV49" s="758" t="str">
        <f>IF(OR($AV$6="O1",$AV$6="O2",$AV$6="O3"),Sorts!Q82,IF(OR($BB$6="O1",$BB$6="O2"),Sorts!Q144,""))</f>
        <v>Flèche de Feu</v>
      </c>
      <c r="DW49" s="744"/>
      <c r="DX49" s="744"/>
      <c r="DY49" s="744"/>
      <c r="DZ49" s="744"/>
      <c r="EA49" s="744"/>
      <c r="EB49" s="744"/>
      <c r="EC49" s="744"/>
      <c r="ED49" s="744"/>
      <c r="EE49" s="744"/>
      <c r="EF49" s="744"/>
      <c r="EG49" s="744"/>
      <c r="EH49" s="744"/>
      <c r="EI49" s="744">
        <v>0</v>
      </c>
      <c r="EJ49" s="745"/>
      <c r="EK49" s="746" t="str">
        <f>IF(OR($AV$6="O1",$AV$6="O2",$AV$6="O3"),Sorts!R82,IF(OR($BB$6="O1",$BB$6="O2"),Sorts!R144,""))</f>
        <v>T</v>
      </c>
      <c r="EL49" s="747"/>
      <c r="EM49" s="748" t="str">
        <f>IF(OR($AV$6="O1",$AV$6="O2",$AV$6="O3"),Sorts!S82,IF(OR($BB$6="O1",$BB$6="O2"),Sorts!S144,""))</f>
        <v>1s/n</v>
      </c>
      <c r="EN49" s="748"/>
      <c r="EO49" s="748"/>
      <c r="EP49" s="57" t="str">
        <f>IF(OR($AV$6="O1",$AV$6="O2",$AV$6="O3"),Sorts!T82,IF(OR($BB$6="O1",$BB$6="O2"),Sorts!T144,""))</f>
        <v>X</v>
      </c>
      <c r="EQ49" s="57" t="str">
        <f>IF(OR($AV$6="O1",$AV$6="O2",$AV$6="O3"),Sorts!U82,IF(OR($BB$6="O1",$BB$6="O2"),Sorts!U144,""))</f>
        <v>X</v>
      </c>
      <c r="ER49" s="58" t="str">
        <f>IF(OR($AV$6="O1",$AV$6="O2",$AV$6="O3"),Sorts!V82,IF(OR($BB$6="O1",$BB$6="O2"),Sorts!V144,""))</f>
        <v>X</v>
      </c>
      <c r="ES49" s="60"/>
      <c r="EU49" s="56">
        <v>12</v>
      </c>
      <c r="EV49" s="754" t="str">
        <f>IF($AV$4="O",Sorts!AC15,IF($BB$4="O",Sorts!AC39,""))</f>
        <v/>
      </c>
      <c r="EW49" s="754"/>
      <c r="EX49" s="754"/>
      <c r="EY49" s="754"/>
      <c r="EZ49" s="754"/>
      <c r="FA49" s="754"/>
      <c r="FB49" s="754"/>
      <c r="FC49" s="754"/>
      <c r="FD49" s="754"/>
      <c r="FE49" s="754"/>
      <c r="FF49" s="754"/>
      <c r="FG49" s="754"/>
      <c r="FH49" s="755"/>
      <c r="FI49" s="756">
        <v>0</v>
      </c>
      <c r="FJ49" s="747"/>
      <c r="FK49" s="748" t="str">
        <f>IF($AV$4="O",Sorts!AD15,IF($BB$4="O",Sorts!AD39,""))</f>
        <v/>
      </c>
      <c r="FL49" s="748"/>
      <c r="FM49" s="748"/>
      <c r="FN49" s="748" t="str">
        <f>IF($AV$4="O",Sorts!AE15,IF($BB$4="O",Sorts!AE39,""))</f>
        <v/>
      </c>
      <c r="FO49" s="748"/>
      <c r="FP49" s="748"/>
      <c r="FQ49" s="57" t="str">
        <f>IF($AV$4="O",Sorts!AF15,IF($BB$4="O",Sorts!AF39,""))</f>
        <v/>
      </c>
      <c r="FR49" s="57" t="str">
        <f>IF($AV$4="O",Sorts!AG15,IF($BB$4="O",Sorts!AG39,""))</f>
        <v/>
      </c>
      <c r="FS49" s="58" t="str">
        <f>IF($AV$4="O",Sorts!AH15,IF($BB$4="O",Sorts!AH39,""))</f>
        <v/>
      </c>
      <c r="FT49" s="57"/>
      <c r="FU49" s="757" t="s">
        <v>1204</v>
      </c>
      <c r="FV49" s="747"/>
      <c r="FW49" s="57">
        <v>12</v>
      </c>
      <c r="FX49" s="758" t="str">
        <f>IF(OR($AV$6="O1",$AV$6="O2",$AV$6="O3"),Sorts!AC86,IF(OR($BB$6="O1",$BB$6="O2"),Sorts!AC148,""))</f>
        <v>Extension II</v>
      </c>
      <c r="FY49" s="744"/>
      <c r="FZ49" s="744"/>
      <c r="GA49" s="744"/>
      <c r="GB49" s="744"/>
      <c r="GC49" s="744"/>
      <c r="GD49" s="744"/>
      <c r="GE49" s="744"/>
      <c r="GF49" s="744"/>
      <c r="GG49" s="744"/>
      <c r="GH49" s="744"/>
      <c r="GI49" s="744"/>
      <c r="GJ49" s="744"/>
      <c r="GK49" s="744">
        <v>0</v>
      </c>
      <c r="GL49" s="745"/>
      <c r="GM49" s="746">
        <f>IF(OR($AV$6="O1",$AV$6="O2",$AV$6="O3"),Sorts!AD86,IF(OR($BB$6="O1",$BB$6="O2"),Sorts!AD148,""))</f>
        <v>0</v>
      </c>
      <c r="GN49" s="747"/>
      <c r="GO49" s="748" t="str">
        <f>IF(OR($AV$6="O1",$AV$6="O2",$AV$6="O3"),Sorts!AE86,IF(OR($BB$6="O1",$BB$6="O2"),Sorts!AE148,""))</f>
        <v>S</v>
      </c>
      <c r="GP49" s="748"/>
      <c r="GQ49" s="748"/>
      <c r="GR49" s="57" t="str">
        <f>IF(OR($AV$6="O1",$AV$6="O2",$AV$6="O3"),Sorts!AF86,IF(OR($BB$6="O1",$BB$6="O2"),Sorts!AF148,""))</f>
        <v>X</v>
      </c>
      <c r="GS49" s="57" t="str">
        <f>IF(OR($AV$6="O1",$AV$6="O2",$AV$6="O3"),Sorts!AG86,IF(OR($BB$6="O1",$BB$6="O2"),Sorts!AG148,""))</f>
        <v>/</v>
      </c>
      <c r="GT49" s="58" t="str">
        <f>IF(OR($AV$6="O1",$AV$6="O2",$AV$6="O3"),Sorts!AH86,IF(OR($BB$6="O1",$BB$6="O2"),Sorts!AH148,""))</f>
        <v>/</v>
      </c>
      <c r="GU49" s="60"/>
      <c r="GW49" s="56">
        <v>14</v>
      </c>
      <c r="GX49" s="754"/>
      <c r="GY49" s="754"/>
      <c r="GZ49" s="754"/>
      <c r="HA49" s="754"/>
      <c r="HB49" s="754"/>
      <c r="HC49" s="754"/>
      <c r="HD49" s="754"/>
      <c r="HE49" s="754"/>
      <c r="HF49" s="754"/>
      <c r="HG49" s="754"/>
      <c r="HH49" s="754"/>
      <c r="HI49" s="754"/>
      <c r="HJ49" s="755"/>
      <c r="HK49" s="756"/>
      <c r="HL49" s="747"/>
      <c r="HM49" s="748"/>
      <c r="HN49" s="748"/>
      <c r="HO49" s="748"/>
      <c r="HP49" s="748"/>
      <c r="HQ49" s="748"/>
      <c r="HR49" s="748"/>
      <c r="HS49" s="57"/>
      <c r="HT49" s="57"/>
      <c r="HU49" s="58"/>
      <c r="HV49" s="57"/>
      <c r="HW49" s="757" t="s">
        <v>1204</v>
      </c>
      <c r="HX49" s="747"/>
      <c r="HY49" s="57">
        <v>14</v>
      </c>
      <c r="HZ49" s="758" t="str">
        <f>IF(OR($AV$6="O1",$AV$6="O2",$AV$6="O3"),Sorts!AO88,IF(OR($BB$6="O1",$BB$6="O2"),Sorts!AO150,""))</f>
        <v>Magnifique Manoir de Mordenkainen</v>
      </c>
      <c r="IA49" s="744"/>
      <c r="IB49" s="744"/>
      <c r="IC49" s="744"/>
      <c r="ID49" s="744"/>
      <c r="IE49" s="744"/>
      <c r="IF49" s="744"/>
      <c r="IG49" s="744"/>
      <c r="IH49" s="744"/>
      <c r="II49" s="744"/>
      <c r="IJ49" s="744"/>
      <c r="IK49" s="744"/>
      <c r="IL49" s="744"/>
      <c r="IM49" s="744">
        <v>0</v>
      </c>
      <c r="IN49" s="745"/>
      <c r="IO49" s="746" t="str">
        <f>IF(OR($AV$6="O1",$AV$6="O2",$AV$6="O3"),Sorts!AP88,IF(OR($BB$6="O1",$BB$6="O2"),Sorts!AP150,""))</f>
        <v>1''</v>
      </c>
      <c r="IP49" s="747"/>
      <c r="IQ49" s="748" t="str">
        <f>IF(OR($AV$6="O1",$AV$6="O2",$AV$6="O3"),Sorts!AQ88,IF(OR($BB$6="O1",$BB$6="O2"),Sorts!AQ150,""))</f>
        <v>1h/n</v>
      </c>
      <c r="IR49" s="748"/>
      <c r="IS49" s="748"/>
      <c r="IT49" s="57" t="str">
        <f>IF(OR($AV$6="O1",$AV$6="O2",$AV$6="O3"),Sorts!AR88,IF(OR($BB$6="O1",$BB$6="O2"),Sorts!AR150,""))</f>
        <v>X</v>
      </c>
      <c r="IU49" s="57" t="str">
        <f>IF(OR($AV$6="O1",$AV$6="O2",$AV$6="O3"),Sorts!AS88,IF(OR($BB$6="O1",$BB$6="O2"),Sorts!AS150,""))</f>
        <v>X</v>
      </c>
      <c r="IV49" s="58" t="str">
        <f>IF(OR($AV$6="O1",$AV$6="O2",$AV$6="O3"),Sorts!AT88,IF(OR($BB$6="O1",$BB$6="O2"),Sorts!AT150,""))</f>
        <v>X</v>
      </c>
      <c r="IW49" s="60"/>
      <c r="IY49" s="384"/>
      <c r="IZ49" s="762"/>
      <c r="JA49" s="762"/>
      <c r="JB49" s="762"/>
      <c r="JC49" s="762"/>
      <c r="JD49" s="762"/>
      <c r="JE49" s="762"/>
      <c r="JF49" s="762"/>
      <c r="JG49" s="762"/>
      <c r="JH49" s="762"/>
      <c r="JI49" s="762"/>
      <c r="JJ49" s="762"/>
      <c r="JK49" s="762"/>
      <c r="JL49" s="763"/>
      <c r="JM49" s="759"/>
      <c r="JN49" s="760"/>
      <c r="JO49" s="761"/>
      <c r="JP49" s="761"/>
      <c r="JQ49" s="761"/>
      <c r="JR49" s="761"/>
      <c r="JS49" s="761"/>
      <c r="JT49" s="761"/>
      <c r="JU49" s="385"/>
      <c r="JV49" s="385"/>
      <c r="JW49" s="386"/>
      <c r="JX49" s="385"/>
      <c r="JY49" s="757" t="s">
        <v>1204</v>
      </c>
      <c r="JZ49" s="747"/>
      <c r="KA49" s="57">
        <v>14</v>
      </c>
      <c r="KB49" s="758" t="str">
        <f>IF(OR($AV$6="O1",$AV$6="O2",$AV$6="O3"),Sorts!BA88,IF(OR($BB$6="O1",$BB$6="O2"),Sorts!BA150,""))</f>
        <v>Souhait Majeur</v>
      </c>
      <c r="KC49" s="744"/>
      <c r="KD49" s="744"/>
      <c r="KE49" s="744"/>
      <c r="KF49" s="744"/>
      <c r="KG49" s="744"/>
      <c r="KH49" s="744"/>
      <c r="KI49" s="744"/>
      <c r="KJ49" s="744"/>
      <c r="KK49" s="744"/>
      <c r="KL49" s="744"/>
      <c r="KM49" s="744"/>
      <c r="KN49" s="744"/>
      <c r="KO49" s="744">
        <v>0</v>
      </c>
      <c r="KP49" s="745"/>
      <c r="KQ49" s="746" t="str">
        <f>IF(OR($AV$6="O1",$AV$6="O2",$AV$6="O3"),Sorts!BB88,IF(OR($BB$6="O1",$BB$6="O2"),Sorts!BB150,""))</f>
        <v>Ill</v>
      </c>
      <c r="KR49" s="747"/>
      <c r="KS49" s="748" t="str">
        <f>IF(OR($AV$6="O1",$AV$6="O2",$AV$6="O3"),Sorts!BC88,IF(OR($BB$6="O1",$BB$6="O2"),Sorts!BC150,""))</f>
        <v>S</v>
      </c>
      <c r="KT49" s="748"/>
      <c r="KU49" s="748"/>
      <c r="KV49" s="57" t="str">
        <f>IF(OR($AV$6="O1",$AV$6="O2",$AV$6="O3"),Sorts!BD88,IF(OR($BB$6="O1",$BB$6="O2"),Sorts!BD150,""))</f>
        <v>X</v>
      </c>
      <c r="KW49" s="57" t="str">
        <f>IF(OR($AV$6="O1",$AV$6="O2",$AV$6="O3"),Sorts!BE88,IF(OR($BB$6="O1",$BB$6="O2"),Sorts!BE150,""))</f>
        <v>/</v>
      </c>
      <c r="KX49" s="58" t="str">
        <f>IF(OR($AV$6="O1",$AV$6="O2",$AV$6="O3"),Sorts!BF88,IF(OR($BB$6="O1",$BB$6="O2"),Sorts!BF150,""))</f>
        <v>/</v>
      </c>
    </row>
    <row r="50" spans="2:310" ht="18" customHeight="1" thickTop="1" thickBot="1" x14ac:dyDescent="0.3">
      <c r="B50" s="4"/>
      <c r="C50" s="75" t="s">
        <v>403</v>
      </c>
      <c r="E50" s="430">
        <f>VLOOKUP(Code_Classe,Classe!$C$3:$AD$40,26,FALSE)</f>
        <v>3</v>
      </c>
      <c r="G50" s="585"/>
      <c r="H50" s="586"/>
      <c r="I50" s="586"/>
      <c r="J50" s="587"/>
      <c r="L50" s="433"/>
      <c r="T50" s="494"/>
      <c r="U50" s="494"/>
      <c r="V50" s="234"/>
      <c r="W50" s="234"/>
      <c r="AB50" s="494"/>
      <c r="AC50" s="494"/>
      <c r="AD50" s="61"/>
      <c r="AL50" s="580" t="s">
        <v>7</v>
      </c>
      <c r="AM50" s="581"/>
      <c r="AN50" s="578" t="s">
        <v>8</v>
      </c>
      <c r="AO50" s="579"/>
      <c r="AQ50" s="628" t="s">
        <v>269</v>
      </c>
      <c r="AR50" s="629"/>
      <c r="AS50" s="629"/>
      <c r="AT50" s="629"/>
      <c r="AU50" s="629"/>
      <c r="AV50" s="629"/>
      <c r="AW50" s="629"/>
      <c r="AX50" s="629"/>
      <c r="AY50" s="629"/>
      <c r="AZ50" s="629"/>
      <c r="BA50" s="629"/>
      <c r="BB50" s="629"/>
      <c r="BC50" s="629"/>
      <c r="BD50" s="629"/>
      <c r="BE50" s="764"/>
      <c r="BF50" s="764"/>
      <c r="BG50" s="764"/>
      <c r="BH50" s="764"/>
      <c r="BI50" s="764"/>
      <c r="BJ50" s="764"/>
      <c r="BK50" s="764"/>
      <c r="BL50" s="764"/>
      <c r="BM50" s="764"/>
      <c r="BN50" s="764"/>
      <c r="BO50" s="764"/>
      <c r="BP50" s="629"/>
      <c r="BQ50" s="629"/>
      <c r="BR50" s="629"/>
      <c r="BS50" s="629"/>
      <c r="BT50" s="629"/>
      <c r="BU50" s="629"/>
      <c r="BV50" s="629"/>
      <c r="BW50" s="629"/>
      <c r="BX50" s="629"/>
      <c r="BY50" s="629"/>
      <c r="BZ50" s="629"/>
      <c r="CA50" s="629"/>
      <c r="CB50" s="629"/>
      <c r="CC50" s="629"/>
      <c r="CD50" s="629"/>
      <c r="CE50" s="629"/>
      <c r="CF50" s="629"/>
      <c r="CG50" s="629"/>
      <c r="CH50" s="629"/>
      <c r="CI50" s="629"/>
      <c r="CJ50" s="629"/>
      <c r="CK50" s="629"/>
      <c r="CL50" s="629"/>
      <c r="CM50" s="629"/>
      <c r="CN50" s="629"/>
      <c r="CO50" s="629"/>
      <c r="CP50" s="749"/>
      <c r="CQ50" s="60"/>
      <c r="CS50" s="56">
        <v>9</v>
      </c>
      <c r="CT50" s="754" t="str">
        <f>IF($AV$4="O",Sorts!Q12,IF($BB$4="O",Sorts!Q36,""))</f>
        <v/>
      </c>
      <c r="CU50" s="754"/>
      <c r="CV50" s="754"/>
      <c r="CW50" s="754"/>
      <c r="CX50" s="754"/>
      <c r="CY50" s="754"/>
      <c r="CZ50" s="754"/>
      <c r="DA50" s="754"/>
      <c r="DB50" s="754"/>
      <c r="DC50" s="754"/>
      <c r="DD50" s="754"/>
      <c r="DE50" s="754"/>
      <c r="DF50" s="755"/>
      <c r="DG50" s="756">
        <v>0</v>
      </c>
      <c r="DH50" s="747"/>
      <c r="DI50" s="748" t="str">
        <f>IF($AV$4="O",Sorts!R12,IF($BB$4="O",Sorts!R36,""))</f>
        <v/>
      </c>
      <c r="DJ50" s="748"/>
      <c r="DK50" s="748"/>
      <c r="DL50" s="748" t="str">
        <f>IF($AV$4="O",Sorts!S12,IF($BB$4="O",Sorts!S36,""))</f>
        <v/>
      </c>
      <c r="DM50" s="748"/>
      <c r="DN50" s="748"/>
      <c r="DO50" s="57" t="str">
        <f>IF($AV$4="O",Sorts!T12,IF($BB$4="O",Sorts!T36,""))</f>
        <v/>
      </c>
      <c r="DP50" s="57" t="str">
        <f>IF($AV$4="O",Sorts!U12,IF($BB$4="O",Sorts!U36,""))</f>
        <v/>
      </c>
      <c r="DQ50" s="58" t="str">
        <f>IF($AV$4="O",Sorts!V12,IF($BB$4="O",Sorts!V36,""))</f>
        <v/>
      </c>
      <c r="DR50" s="57"/>
      <c r="DS50" s="757" t="s">
        <v>1204</v>
      </c>
      <c r="DT50" s="747"/>
      <c r="DU50" s="57">
        <v>9</v>
      </c>
      <c r="DV50" s="758" t="str">
        <f>IF(OR($AV$6="O1",$AV$6="O2",$AV$6="O3"),Sorts!Q83,IF(OR($BB$6="O1",$BB$6="O2"),Sorts!Q145,""))</f>
        <v>Force Fantasmagorique</v>
      </c>
      <c r="DW50" s="744"/>
      <c r="DX50" s="744"/>
      <c r="DY50" s="744"/>
      <c r="DZ50" s="744"/>
      <c r="EA50" s="744"/>
      <c r="EB50" s="744"/>
      <c r="EC50" s="744"/>
      <c r="ED50" s="744"/>
      <c r="EE50" s="744"/>
      <c r="EF50" s="744"/>
      <c r="EG50" s="744"/>
      <c r="EH50" s="744"/>
      <c r="EI50" s="744">
        <v>0</v>
      </c>
      <c r="EJ50" s="745"/>
      <c r="EK50" s="746" t="str">
        <f>IF(OR($AV$6="O1",$AV$6="O2",$AV$6="O3"),Sorts!R83,IF(OR($BB$6="O1",$BB$6="O2"),Sorts!R145,""))</f>
        <v>8''+1/n</v>
      </c>
      <c r="EL50" s="747"/>
      <c r="EM50" s="748" t="str">
        <f>IF(OR($AV$6="O1",$AV$6="O2",$AV$6="O3"),Sorts!S83,IF(OR($BB$6="O1",$BB$6="O2"),Sorts!S145,""))</f>
        <v>S</v>
      </c>
      <c r="EN50" s="748"/>
      <c r="EO50" s="748"/>
      <c r="EP50" s="57" t="str">
        <f>IF(OR($AV$6="O1",$AV$6="O2",$AV$6="O3"),Sorts!T83,IF(OR($BB$6="O1",$BB$6="O2"),Sorts!T145,""))</f>
        <v>X</v>
      </c>
      <c r="EQ50" s="57" t="str">
        <f>IF(OR($AV$6="O1",$AV$6="O2",$AV$6="O3"),Sorts!U83,IF(OR($BB$6="O1",$BB$6="O2"),Sorts!U145,""))</f>
        <v>X</v>
      </c>
      <c r="ER50" s="58" t="str">
        <f>IF(OR($AV$6="O1",$AV$6="O2",$AV$6="O3"),Sorts!V83,IF(OR($BB$6="O1",$BB$6="O2"),Sorts!V145,""))</f>
        <v>X</v>
      </c>
      <c r="ES50" s="60"/>
      <c r="EU50" s="56">
        <v>13</v>
      </c>
      <c r="EV50" s="754" t="str">
        <f>IF($AV$4="O",Sorts!AC16,IF($BB$4="O",Sorts!AC40,""))</f>
        <v/>
      </c>
      <c r="EW50" s="754"/>
      <c r="EX50" s="754"/>
      <c r="EY50" s="754"/>
      <c r="EZ50" s="754"/>
      <c r="FA50" s="754"/>
      <c r="FB50" s="754"/>
      <c r="FC50" s="754"/>
      <c r="FD50" s="754"/>
      <c r="FE50" s="754"/>
      <c r="FF50" s="754"/>
      <c r="FG50" s="754"/>
      <c r="FH50" s="755"/>
      <c r="FI50" s="756">
        <v>0</v>
      </c>
      <c r="FJ50" s="747"/>
      <c r="FK50" s="748" t="str">
        <f>IF($AV$4="O",Sorts!AD16,IF($BB$4="O",Sorts!AD40,""))</f>
        <v/>
      </c>
      <c r="FL50" s="748"/>
      <c r="FM50" s="748"/>
      <c r="FN50" s="748" t="str">
        <f>IF($AV$4="O",Sorts!AE16,IF($BB$4="O",Sorts!AE40,""))</f>
        <v/>
      </c>
      <c r="FO50" s="748"/>
      <c r="FP50" s="748"/>
      <c r="FQ50" s="57" t="str">
        <f>IF($AV$4="O",Sorts!AF16,IF($BB$4="O",Sorts!AF40,""))</f>
        <v/>
      </c>
      <c r="FR50" s="57" t="str">
        <f>IF($AV$4="O",Sorts!AG16,IF($BB$4="O",Sorts!AG40,""))</f>
        <v/>
      </c>
      <c r="FS50" s="58" t="str">
        <f>IF($AV$4="O",Sorts!AH16,IF($BB$4="O",Sorts!AH40,""))</f>
        <v/>
      </c>
      <c r="FT50" s="57"/>
      <c r="FU50" s="757" t="s">
        <v>1204</v>
      </c>
      <c r="FV50" s="747"/>
      <c r="FW50" s="57">
        <v>13</v>
      </c>
      <c r="FX50" s="758" t="str">
        <f>IF(OR($AV$6="O1",$AV$6="O2",$AV$6="O3"),Sorts!AC87,IF(OR($BB$6="O1",$BB$6="O2"),Sorts!AC149,""))</f>
        <v>Fabrication</v>
      </c>
      <c r="FY50" s="744"/>
      <c r="FZ50" s="744"/>
      <c r="GA50" s="744"/>
      <c r="GB50" s="744"/>
      <c r="GC50" s="744"/>
      <c r="GD50" s="744"/>
      <c r="GE50" s="744"/>
      <c r="GF50" s="744"/>
      <c r="GG50" s="744"/>
      <c r="GH50" s="744"/>
      <c r="GI50" s="744"/>
      <c r="GJ50" s="744"/>
      <c r="GK50" s="744">
        <v>0</v>
      </c>
      <c r="GL50" s="745"/>
      <c r="GM50" s="746" t="str">
        <f>IF(OR($AV$6="O1",$AV$6="O2",$AV$6="O3"),Sorts!AD87,IF(OR($BB$6="O1",$BB$6="O2"),Sorts!AD149,""))</f>
        <v>0,5''/n</v>
      </c>
      <c r="GN50" s="747"/>
      <c r="GO50" s="748" t="str">
        <f>IF(OR($AV$6="O1",$AV$6="O2",$AV$6="O3"),Sorts!AE87,IF(OR($BB$6="O1",$BB$6="O2"),Sorts!AE149,""))</f>
        <v>P</v>
      </c>
      <c r="GP50" s="748"/>
      <c r="GQ50" s="748"/>
      <c r="GR50" s="57" t="str">
        <f>IF(OR($AV$6="O1",$AV$6="O2",$AV$6="O3"),Sorts!AF87,IF(OR($BB$6="O1",$BB$6="O2"),Sorts!AF149,""))</f>
        <v>X</v>
      </c>
      <c r="GS50" s="57" t="str">
        <f>IF(OR($AV$6="O1",$AV$6="O2",$AV$6="O3"),Sorts!AG87,IF(OR($BB$6="O1",$BB$6="O2"),Sorts!AG149,""))</f>
        <v>X</v>
      </c>
      <c r="GT50" s="58" t="str">
        <f>IF(OR($AV$6="O1",$AV$6="O2",$AV$6="O3"),Sorts!AH87,IF(OR($BB$6="O1",$BB$6="O2"),Sorts!AH149,""))</f>
        <v>X</v>
      </c>
      <c r="GU50" s="60"/>
      <c r="GW50" s="56">
        <v>15</v>
      </c>
      <c r="GX50" s="754"/>
      <c r="GY50" s="754"/>
      <c r="GZ50" s="754"/>
      <c r="HA50" s="754"/>
      <c r="HB50" s="754"/>
      <c r="HC50" s="754"/>
      <c r="HD50" s="754"/>
      <c r="HE50" s="754"/>
      <c r="HF50" s="754"/>
      <c r="HG50" s="754"/>
      <c r="HH50" s="754"/>
      <c r="HI50" s="754"/>
      <c r="HJ50" s="755"/>
      <c r="HK50" s="756"/>
      <c r="HL50" s="747"/>
      <c r="HM50" s="748"/>
      <c r="HN50" s="748"/>
      <c r="HO50" s="748"/>
      <c r="HP50" s="748"/>
      <c r="HQ50" s="748"/>
      <c r="HR50" s="748"/>
      <c r="HS50" s="57"/>
      <c r="HT50" s="57"/>
      <c r="HU50" s="58"/>
      <c r="HV50" s="57"/>
      <c r="HW50" s="757" t="s">
        <v>1204</v>
      </c>
      <c r="HX50" s="747"/>
      <c r="HY50" s="57">
        <v>15</v>
      </c>
      <c r="HZ50" s="758" t="str">
        <f>IF(OR($AV$6="O1",$AV$6="O2",$AV$6="O3"),Sorts!AO89,IF(OR($BB$6="O1",$BB$6="O2"),Sorts!AO151,""))</f>
        <v>Mot de Pouvoir : « Étourdissement »</v>
      </c>
      <c r="IA50" s="744"/>
      <c r="IB50" s="744"/>
      <c r="IC50" s="744"/>
      <c r="ID50" s="744"/>
      <c r="IE50" s="744"/>
      <c r="IF50" s="744"/>
      <c r="IG50" s="744"/>
      <c r="IH50" s="744"/>
      <c r="II50" s="744"/>
      <c r="IJ50" s="744"/>
      <c r="IK50" s="744"/>
      <c r="IL50" s="744"/>
      <c r="IM50" s="744">
        <v>0</v>
      </c>
      <c r="IN50" s="745"/>
      <c r="IO50" s="746" t="str">
        <f>IF(OR($AV$6="O1",$AV$6="O2",$AV$6="O3"),Sorts!AP89,IF(OR($BB$6="O1",$BB$6="O2"),Sorts!AP151,""))</f>
        <v>0,5''/n</v>
      </c>
      <c r="IP50" s="747"/>
      <c r="IQ50" s="748" t="str">
        <f>IF(OR($AV$6="O1",$AV$6="O2",$AV$6="O3"),Sorts!AQ89,IF(OR($BB$6="O1",$BB$6="O2"),Sorts!AQ151,""))</f>
        <v>S</v>
      </c>
      <c r="IR50" s="748"/>
      <c r="IS50" s="748"/>
      <c r="IT50" s="57" t="str">
        <f>IF(OR($AV$6="O1",$AV$6="O2",$AV$6="O3"),Sorts!AR89,IF(OR($BB$6="O1",$BB$6="O2"),Sorts!AR151,""))</f>
        <v>X</v>
      </c>
      <c r="IU50" s="57" t="str">
        <f>IF(OR($AV$6="O1",$AV$6="O2",$AV$6="O3"),Sorts!AS89,IF(OR($BB$6="O1",$BB$6="O2"),Sorts!AS151,""))</f>
        <v>/</v>
      </c>
      <c r="IV50" s="58" t="str">
        <f>IF(OR($AV$6="O1",$AV$6="O2",$AV$6="O3"),Sorts!AT89,IF(OR($BB$6="O1",$BB$6="O2"),Sorts!AT151,""))</f>
        <v>/</v>
      </c>
      <c r="IW50" s="60"/>
      <c r="IY50" s="384"/>
      <c r="IZ50" s="762"/>
      <c r="JA50" s="762"/>
      <c r="JB50" s="762"/>
      <c r="JC50" s="762"/>
      <c r="JD50" s="762"/>
      <c r="JE50" s="762"/>
      <c r="JF50" s="762"/>
      <c r="JG50" s="762"/>
      <c r="JH50" s="762"/>
      <c r="JI50" s="762"/>
      <c r="JJ50" s="762"/>
      <c r="JK50" s="762"/>
      <c r="JL50" s="763"/>
      <c r="JM50" s="759"/>
      <c r="JN50" s="760"/>
      <c r="JO50" s="761"/>
      <c r="JP50" s="761"/>
      <c r="JQ50" s="761"/>
      <c r="JR50" s="761"/>
      <c r="JS50" s="761"/>
      <c r="JT50" s="761"/>
      <c r="JU50" s="385"/>
      <c r="JV50" s="385"/>
      <c r="JW50" s="386"/>
      <c r="JX50" s="385"/>
      <c r="JY50" s="757" t="s">
        <v>1204</v>
      </c>
      <c r="JZ50" s="747"/>
      <c r="KA50" s="57">
        <v>15</v>
      </c>
      <c r="KB50" s="758" t="str">
        <f>IF(OR($AV$6="O1",$AV$6="O2",$AV$6="O3"),Sorts!BA89,IF(OR($BB$6="O1",$BB$6="O2"),Sorts!BA151,""))</f>
        <v>Sphère Prismatique</v>
      </c>
      <c r="KC50" s="744"/>
      <c r="KD50" s="744"/>
      <c r="KE50" s="744"/>
      <c r="KF50" s="744"/>
      <c r="KG50" s="744"/>
      <c r="KH50" s="744"/>
      <c r="KI50" s="744"/>
      <c r="KJ50" s="744"/>
      <c r="KK50" s="744"/>
      <c r="KL50" s="744"/>
      <c r="KM50" s="744"/>
      <c r="KN50" s="744"/>
      <c r="KO50" s="744">
        <v>0</v>
      </c>
      <c r="KP50" s="745"/>
      <c r="KQ50" s="746">
        <f>IF(OR($AV$6="O1",$AV$6="O2",$AV$6="O3"),Sorts!BB89,IF(OR($BB$6="O1",$BB$6="O2"),Sorts!BB151,""))</f>
        <v>0</v>
      </c>
      <c r="KR50" s="747"/>
      <c r="KS50" s="748" t="str">
        <f>IF(OR($AV$6="O1",$AV$6="O2",$AV$6="O3"),Sorts!BC89,IF(OR($BB$6="O1",$BB$6="O2"),Sorts!BC151,""))</f>
        <v>1t/n</v>
      </c>
      <c r="KT50" s="748"/>
      <c r="KU50" s="748"/>
      <c r="KV50" s="57" t="str">
        <f>IF(OR($AV$6="O1",$AV$6="O2",$AV$6="O3"),Sorts!BD89,IF(OR($BB$6="O1",$BB$6="O2"),Sorts!BD151,""))</f>
        <v>X</v>
      </c>
      <c r="KW50" s="57" t="str">
        <f>IF(OR($AV$6="O1",$AV$6="O2",$AV$6="O3"),Sorts!BE89,IF(OR($BB$6="O1",$BB$6="O2"),Sorts!BE151,""))</f>
        <v>/</v>
      </c>
      <c r="KX50" s="58" t="str">
        <f>IF(OR($AV$6="O1",$AV$6="O2",$AV$6="O3"),Sorts!BF89,IF(OR($BB$6="O1",$BB$6="O2"),Sorts!BF151,""))</f>
        <v>/</v>
      </c>
    </row>
    <row r="51" spans="2:310" ht="18" customHeight="1" thickBot="1" x14ac:dyDescent="0.3">
      <c r="B51" s="4"/>
      <c r="C51" s="75" t="s">
        <v>397</v>
      </c>
      <c r="E51" s="430">
        <f>E49+ROUNDDOWN(((NivC1-1)/E50),0)</f>
        <v>4</v>
      </c>
      <c r="G51" s="585"/>
      <c r="H51" s="586"/>
      <c r="I51" s="586"/>
      <c r="J51" s="587"/>
      <c r="L51" s="569" t="s">
        <v>1829</v>
      </c>
      <c r="M51" s="591" t="s">
        <v>1734</v>
      </c>
      <c r="N51" s="592"/>
      <c r="O51" s="592"/>
      <c r="P51" s="592"/>
      <c r="Q51" s="593"/>
      <c r="R51" s="517" t="str">
        <f t="shared" si="1"/>
        <v>N</v>
      </c>
      <c r="S51" s="497" t="str">
        <f>IF(AND(OR(Code_Classe=3,Code_Classe=4),Spec1=$M51,$R51="O"),"S","")</f>
        <v/>
      </c>
      <c r="T51" s="518">
        <f>$M$17</f>
        <v>2</v>
      </c>
      <c r="U51" s="493">
        <v>0</v>
      </c>
      <c r="V51" s="644">
        <f>$C$45-IF($R51="N",$E$52,0)-IF($R51="S",1,0)-$M17-$U51</f>
        <v>18</v>
      </c>
      <c r="W51" s="645"/>
      <c r="X51" s="594" t="str">
        <f>VLOOKUP($M51,'Armures-Armes'!$B$162:$M$186,4,FALSE)</f>
        <v>1D3</v>
      </c>
      <c r="Y51" s="595"/>
      <c r="Z51" s="594" t="str">
        <f>VLOOKUP($M51,'Armures-Armes'!$B$162:$M$186,5,FALSE)</f>
        <v>1D2</v>
      </c>
      <c r="AA51" s="595"/>
      <c r="AB51" s="495">
        <f>IF($D$7="MOINE",$AN$14/2,+$M$11)</f>
        <v>0</v>
      </c>
      <c r="AC51" s="493">
        <v>0</v>
      </c>
      <c r="AD51" s="492">
        <f>AB51+AC51+IF($R51="N",$E$52,0)+IF($R51="S",2,0)</f>
        <v>-2</v>
      </c>
      <c r="AE51" s="594">
        <f>VLOOKUP($M51,'Armures-Armes'!$B$162:$M$186,9,FALSE)</f>
        <v>1</v>
      </c>
      <c r="AF51" s="595"/>
      <c r="AG51" s="594">
        <v>1</v>
      </c>
      <c r="AH51" s="595"/>
      <c r="AI51" s="582">
        <f>IF($M51="Aucune (L)","0",INT(AG51/AE51)+$D$39)</f>
        <v>-2</v>
      </c>
      <c r="AJ51" s="584"/>
      <c r="AL51" s="572" t="str">
        <f>IF(OR(ISNUMBER(SEARCH("Voleur",$D$7)),(ISNUMBER(SEARCH("Assassin",$D$7))),(ISNUMBER(SEARCH("Barde",$D$7)))),"+4","+2")</f>
        <v>+2</v>
      </c>
      <c r="AM51" s="573"/>
      <c r="AN51" s="572" t="str" cm="1">
        <f t="array" ref="AN51">IF(OR(ISNUMBER(SEARCH("Voleur",$D$7)),(ISNUMBER(SEARCH("Voleur Acrobate",$D$7))),(ISNUMBER(SEARCH("Assassin",$D$7))),(ISNUMBER(SEARCH("Barde",$D$7)))),INDEX(Niveau!$B$82:$M$118,'Joueur 1'!$X$25+1,IF(ISNUMBER(SEARCH("Voleur",$D$7)),"9",IF(ISNUMBER(SEARCH("Voleur Acrobate",$D$7)),"13",IF(ISNUMBER(SEARCH("Assassin",$D$7)),"10",IF(ISNUMBER(SEARCH("Barde",$D$7)),"12",""))))),"x1")</f>
        <v>x1</v>
      </c>
      <c r="AO51" s="576"/>
      <c r="AQ51" s="4"/>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69"/>
      <c r="CQ51" s="60"/>
      <c r="CS51" s="56">
        <v>10</v>
      </c>
      <c r="CT51" s="754" t="str">
        <f>IF($AV$4="O",Sorts!Q13,IF($BB$4="O",Sorts!Q37,""))</f>
        <v/>
      </c>
      <c r="CU51" s="754"/>
      <c r="CV51" s="754"/>
      <c r="CW51" s="754"/>
      <c r="CX51" s="754"/>
      <c r="CY51" s="754"/>
      <c r="CZ51" s="754"/>
      <c r="DA51" s="754"/>
      <c r="DB51" s="754"/>
      <c r="DC51" s="754"/>
      <c r="DD51" s="754"/>
      <c r="DE51" s="754"/>
      <c r="DF51" s="755"/>
      <c r="DG51" s="756">
        <v>0</v>
      </c>
      <c r="DH51" s="747"/>
      <c r="DI51" s="748" t="str">
        <f>IF($AV$4="O",Sorts!R13,IF($BB$4="O",Sorts!R37,""))</f>
        <v/>
      </c>
      <c r="DJ51" s="748"/>
      <c r="DK51" s="748"/>
      <c r="DL51" s="748" t="str">
        <f>IF($AV$4="O",Sorts!S13,IF($BB$4="O",Sorts!S37,""))</f>
        <v/>
      </c>
      <c r="DM51" s="748"/>
      <c r="DN51" s="748"/>
      <c r="DO51" s="57" t="str">
        <f>IF($AV$4="O",Sorts!T13,IF($BB$4="O",Sorts!T37,""))</f>
        <v/>
      </c>
      <c r="DP51" s="57" t="str">
        <f>IF($AV$4="O",Sorts!U13,IF($BB$4="O",Sorts!U37,""))</f>
        <v/>
      </c>
      <c r="DQ51" s="58" t="str">
        <f>IF($AV$4="O",Sorts!V13,IF($BB$4="O",Sorts!V37,""))</f>
        <v/>
      </c>
      <c r="DR51" s="57"/>
      <c r="DS51" s="757" t="s">
        <v>1204</v>
      </c>
      <c r="DT51" s="747"/>
      <c r="DU51" s="57">
        <v>10</v>
      </c>
      <c r="DV51" s="758" t="str">
        <f>IF(OR($AV$6="O1",$AV$6="O2",$AV$6="O3"),Sorts!Q84,IF(OR($BB$6="O1",$BB$6="O2"),Sorts!Q146,""))</f>
        <v>Foudre</v>
      </c>
      <c r="DW51" s="744"/>
      <c r="DX51" s="744"/>
      <c r="DY51" s="744"/>
      <c r="DZ51" s="744"/>
      <c r="EA51" s="744"/>
      <c r="EB51" s="744"/>
      <c r="EC51" s="744"/>
      <c r="ED51" s="744"/>
      <c r="EE51" s="744"/>
      <c r="EF51" s="744"/>
      <c r="EG51" s="744"/>
      <c r="EH51" s="744"/>
      <c r="EI51" s="744">
        <v>0</v>
      </c>
      <c r="EJ51" s="745"/>
      <c r="EK51" s="746" t="str">
        <f>IF(OR($AV$6="O1",$AV$6="O2",$AV$6="O3"),Sorts!R84,IF(OR($BB$6="O1",$BB$6="O2"),Sorts!R146,""))</f>
        <v>4''+1/n</v>
      </c>
      <c r="EL51" s="747"/>
      <c r="EM51" s="748" t="str">
        <f>IF(OR($AV$6="O1",$AV$6="O2",$AV$6="O3"),Sorts!S84,IF(OR($BB$6="O1",$BB$6="O2"),Sorts!S146,""))</f>
        <v>I</v>
      </c>
      <c r="EN51" s="748"/>
      <c r="EO51" s="748"/>
      <c r="EP51" s="57" t="str">
        <f>IF(OR($AV$6="O1",$AV$6="O2",$AV$6="O3"),Sorts!T84,IF(OR($BB$6="O1",$BB$6="O2"),Sorts!T146,""))</f>
        <v>X</v>
      </c>
      <c r="EQ51" s="57" t="str">
        <f>IF(OR($AV$6="O1",$AV$6="O2",$AV$6="O3"),Sorts!U84,IF(OR($BB$6="O1",$BB$6="O2"),Sorts!U146,""))</f>
        <v>X</v>
      </c>
      <c r="ER51" s="58" t="str">
        <f>IF(OR($AV$6="O1",$AV$6="O2",$AV$6="O3"),Sorts!V84,IF(OR($BB$6="O1",$BB$6="O2"),Sorts!V146,""))</f>
        <v>X</v>
      </c>
      <c r="ES51" s="60"/>
      <c r="EU51" s="56">
        <v>14</v>
      </c>
      <c r="EV51" s="754" t="str">
        <f>IF($AV$4="O",Sorts!AC17,IF($BB$4="O",Sorts!AC41,""))</f>
        <v/>
      </c>
      <c r="EW51" s="754"/>
      <c r="EX51" s="754"/>
      <c r="EY51" s="754"/>
      <c r="EZ51" s="754"/>
      <c r="FA51" s="754"/>
      <c r="FB51" s="754"/>
      <c r="FC51" s="754"/>
      <c r="FD51" s="754"/>
      <c r="FE51" s="754"/>
      <c r="FF51" s="754"/>
      <c r="FG51" s="754"/>
      <c r="FH51" s="755"/>
      <c r="FI51" s="756">
        <v>0</v>
      </c>
      <c r="FJ51" s="747"/>
      <c r="FK51" s="748" t="str">
        <f>IF($AV$4="O",Sorts!AD17,IF($BB$4="O",Sorts!AD41,""))</f>
        <v/>
      </c>
      <c r="FL51" s="748"/>
      <c r="FM51" s="748"/>
      <c r="FN51" s="748" t="str">
        <f>IF($AV$4="O",Sorts!AE17,IF($BB$4="O",Sorts!AE41,""))</f>
        <v/>
      </c>
      <c r="FO51" s="748"/>
      <c r="FP51" s="748"/>
      <c r="FQ51" s="57" t="str">
        <f>IF($AV$4="O",Sorts!AF17,IF($BB$4="O",Sorts!AF41,""))</f>
        <v/>
      </c>
      <c r="FR51" s="57" t="str">
        <f>IF($AV$4="O",Sorts!AG17,IF($BB$4="O",Sorts!AG41,""))</f>
        <v/>
      </c>
      <c r="FS51" s="58" t="str">
        <f>IF($AV$4="O",Sorts!AH17,IF($BB$4="O",Sorts!AH41,""))</f>
        <v/>
      </c>
      <c r="FT51" s="57"/>
      <c r="FU51" s="757" t="s">
        <v>1204</v>
      </c>
      <c r="FV51" s="747"/>
      <c r="FW51" s="57">
        <v>14</v>
      </c>
      <c r="FX51" s="758" t="str">
        <f>IF(OR($AV$6="O1",$AV$6="O2",$AV$6="O3"),Sorts!AC88,IF(OR($BB$6="O1",$BB$6="O2"),Sorts!AC150,""))</f>
        <v>Invocation d’Élémental</v>
      </c>
      <c r="FY51" s="744"/>
      <c r="FZ51" s="744"/>
      <c r="GA51" s="744"/>
      <c r="GB51" s="744"/>
      <c r="GC51" s="744"/>
      <c r="GD51" s="744"/>
      <c r="GE51" s="744"/>
      <c r="GF51" s="744"/>
      <c r="GG51" s="744"/>
      <c r="GH51" s="744"/>
      <c r="GI51" s="744"/>
      <c r="GJ51" s="744"/>
      <c r="GK51" s="744">
        <v>0</v>
      </c>
      <c r="GL51" s="745"/>
      <c r="GM51" s="746" t="str">
        <f>IF(OR($AV$6="O1",$AV$6="O2",$AV$6="O3"),Sorts!AD88,IF(OR($BB$6="O1",$BB$6="O2"),Sorts!AD150,""))</f>
        <v>6''</v>
      </c>
      <c r="GN51" s="747"/>
      <c r="GO51" s="748" t="str">
        <f>IF(OR($AV$6="O1",$AV$6="O2",$AV$6="O3"),Sorts!AE88,IF(OR($BB$6="O1",$BB$6="O2"),Sorts!AE150,""))</f>
        <v>1t/n</v>
      </c>
      <c r="GP51" s="748"/>
      <c r="GQ51" s="748"/>
      <c r="GR51" s="57" t="str">
        <f>IF(OR($AV$6="O1",$AV$6="O2",$AV$6="O3"),Sorts!AF88,IF(OR($BB$6="O1",$BB$6="O2"),Sorts!AF150,""))</f>
        <v>X</v>
      </c>
      <c r="GS51" s="57" t="str">
        <f>IF(OR($AV$6="O1",$AV$6="O2",$AV$6="O3"),Sorts!AG88,IF(OR($BB$6="O1",$BB$6="O2"),Sorts!AG150,""))</f>
        <v>X</v>
      </c>
      <c r="GT51" s="58" t="str">
        <f>IF(OR($AV$6="O1",$AV$6="O2",$AV$6="O3"),Sorts!AH88,IF(OR($BB$6="O1",$BB$6="O2"),Sorts!AH150,""))</f>
        <v>X</v>
      </c>
      <c r="GU51" s="60"/>
      <c r="GW51" s="56">
        <v>16</v>
      </c>
      <c r="GX51" s="754"/>
      <c r="GY51" s="754"/>
      <c r="GZ51" s="754"/>
      <c r="HA51" s="754"/>
      <c r="HB51" s="754"/>
      <c r="HC51" s="754"/>
      <c r="HD51" s="754"/>
      <c r="HE51" s="754"/>
      <c r="HF51" s="754"/>
      <c r="HG51" s="754"/>
      <c r="HH51" s="754"/>
      <c r="HI51" s="754"/>
      <c r="HJ51" s="755"/>
      <c r="HK51" s="756"/>
      <c r="HL51" s="747"/>
      <c r="HM51" s="748"/>
      <c r="HN51" s="748"/>
      <c r="HO51" s="748"/>
      <c r="HP51" s="748"/>
      <c r="HQ51" s="748"/>
      <c r="HR51" s="748"/>
      <c r="HS51" s="57"/>
      <c r="HT51" s="57"/>
      <c r="HU51" s="58"/>
      <c r="HV51" s="57"/>
      <c r="HW51" s="757" t="s">
        <v>1204</v>
      </c>
      <c r="HX51" s="747"/>
      <c r="HY51" s="57">
        <v>16</v>
      </c>
      <c r="HZ51" s="758" t="str">
        <f>IF(OR($AV$6="O1",$AV$6="O2",$AV$6="O3"),Sorts!AO90,IF(OR($BB$6="O1",$BB$6="O2"),Sorts!AO152,""))</f>
        <v>Poigne de Bigby</v>
      </c>
      <c r="IA51" s="744"/>
      <c r="IB51" s="744"/>
      <c r="IC51" s="744"/>
      <c r="ID51" s="744"/>
      <c r="IE51" s="744"/>
      <c r="IF51" s="744"/>
      <c r="IG51" s="744"/>
      <c r="IH51" s="744"/>
      <c r="II51" s="744"/>
      <c r="IJ51" s="744"/>
      <c r="IK51" s="744"/>
      <c r="IL51" s="744"/>
      <c r="IM51" s="744">
        <v>0</v>
      </c>
      <c r="IN51" s="745"/>
      <c r="IO51" s="746" t="str">
        <f>IF(OR($AV$6="O1",$AV$6="O2",$AV$6="O3"),Sorts!AP90,IF(OR($BB$6="O1",$BB$6="O2"),Sorts!AP152,""))</f>
        <v>1''/n</v>
      </c>
      <c r="IP51" s="747"/>
      <c r="IQ51" s="748" t="str">
        <f>IF(OR($AV$6="O1",$AV$6="O2",$AV$6="O3"),Sorts!AQ90,IF(OR($BB$6="O1",$BB$6="O2"),Sorts!AQ152,""))</f>
        <v>1r/n</v>
      </c>
      <c r="IR51" s="748"/>
      <c r="IS51" s="748"/>
      <c r="IT51" s="57" t="str">
        <f>IF(OR($AV$6="O1",$AV$6="O2",$AV$6="O3"),Sorts!AR90,IF(OR($BB$6="O1",$BB$6="O2"),Sorts!AR152,""))</f>
        <v>X</v>
      </c>
      <c r="IU51" s="57" t="str">
        <f>IF(OR($AV$6="O1",$AV$6="O2",$AV$6="O3"),Sorts!AS90,IF(OR($BB$6="O1",$BB$6="O2"),Sorts!AS152,""))</f>
        <v>X</v>
      </c>
      <c r="IV51" s="58" t="str">
        <f>IF(OR($AV$6="O1",$AV$6="O2",$AV$6="O3"),Sorts!AT90,IF(OR($BB$6="O1",$BB$6="O2"),Sorts!AT152,""))</f>
        <v>X</v>
      </c>
      <c r="IW51" s="60"/>
      <c r="IY51" s="384"/>
      <c r="IZ51" s="762"/>
      <c r="JA51" s="762"/>
      <c r="JB51" s="762"/>
      <c r="JC51" s="762"/>
      <c r="JD51" s="762"/>
      <c r="JE51" s="762"/>
      <c r="JF51" s="762"/>
      <c r="JG51" s="762"/>
      <c r="JH51" s="762"/>
      <c r="JI51" s="762"/>
      <c r="JJ51" s="762"/>
      <c r="JK51" s="762"/>
      <c r="JL51" s="763"/>
      <c r="JM51" s="759"/>
      <c r="JN51" s="760"/>
      <c r="JO51" s="761"/>
      <c r="JP51" s="761"/>
      <c r="JQ51" s="761"/>
      <c r="JR51" s="761"/>
      <c r="JS51" s="761"/>
      <c r="JT51" s="761"/>
      <c r="JU51" s="385"/>
      <c r="JV51" s="385"/>
      <c r="JW51" s="386"/>
      <c r="JX51" s="385"/>
      <c r="JY51" s="757" t="s">
        <v>1204</v>
      </c>
      <c r="JZ51" s="747"/>
      <c r="KA51" s="57">
        <v>16</v>
      </c>
      <c r="KB51" s="758" t="str">
        <f>IF(OR($AV$6="O1",$AV$6="O2",$AV$6="O3"),Sorts!BA90,IF(OR($BB$6="O1",$BB$6="O2"),Sorts!BA152,""))</f>
        <v>Stase Temporelle</v>
      </c>
      <c r="KC51" s="744"/>
      <c r="KD51" s="744"/>
      <c r="KE51" s="744"/>
      <c r="KF51" s="744"/>
      <c r="KG51" s="744"/>
      <c r="KH51" s="744"/>
      <c r="KI51" s="744"/>
      <c r="KJ51" s="744"/>
      <c r="KK51" s="744"/>
      <c r="KL51" s="744"/>
      <c r="KM51" s="744"/>
      <c r="KN51" s="744"/>
      <c r="KO51" s="744">
        <v>0</v>
      </c>
      <c r="KP51" s="745"/>
      <c r="KQ51" s="746" t="str">
        <f>IF(OR($AV$6="O1",$AV$6="O2",$AV$6="O3"),Sorts!BB90,IF(OR($BB$6="O1",$BB$6="O2"),Sorts!BB152,""))</f>
        <v>1''</v>
      </c>
      <c r="KR51" s="747"/>
      <c r="KS51" s="748" t="str">
        <f>IF(OR($AV$6="O1",$AV$6="O2",$AV$6="O3"),Sorts!BC90,IF(OR($BB$6="O1",$BB$6="O2"),Sorts!BC152,""))</f>
        <v>P</v>
      </c>
      <c r="KT51" s="748"/>
      <c r="KU51" s="748"/>
      <c r="KV51" s="57" t="str">
        <f>IF(OR($AV$6="O1",$AV$6="O2",$AV$6="O3"),Sorts!BD90,IF(OR($BB$6="O1",$BB$6="O2"),Sorts!BD152,""))</f>
        <v>X</v>
      </c>
      <c r="KW51" s="57" t="str">
        <f>IF(OR($AV$6="O1",$AV$6="O2",$AV$6="O3"),Sorts!BE90,IF(OR($BB$6="O1",$BB$6="O2"),Sorts!BE152,""))</f>
        <v>X</v>
      </c>
      <c r="KX51" s="58" t="str">
        <f>IF(OR($AV$6="O1",$AV$6="O2",$AV$6="O3"),Sorts!BF90,IF(OR($BB$6="O1",$BB$6="O2"),Sorts!BF152,""))</f>
        <v>X</v>
      </c>
    </row>
    <row r="52" spans="2:310" ht="18" customHeight="1" thickBot="1" x14ac:dyDescent="0.3">
      <c r="B52" s="4"/>
      <c r="C52" s="78" t="s">
        <v>396</v>
      </c>
      <c r="D52" s="12"/>
      <c r="E52" s="431">
        <f>VLOOKUP(Code_Classe,Classe!$C$3:$AD$40,25,FALSE)</f>
        <v>-2</v>
      </c>
      <c r="G52" s="588"/>
      <c r="H52" s="589"/>
      <c r="I52" s="589"/>
      <c r="J52" s="590"/>
      <c r="L52" s="570"/>
      <c r="M52" s="591" t="s">
        <v>1840</v>
      </c>
      <c r="N52" s="592"/>
      <c r="O52" s="592"/>
      <c r="P52" s="592"/>
      <c r="Q52" s="593"/>
      <c r="R52" s="517" t="str">
        <f t="shared" si="1"/>
        <v>N</v>
      </c>
      <c r="S52" s="497" t="str">
        <f>IF(AND(OR(Code_Classe=3,Code_Classe=4),Spec1=$M52,$R52="O"),"S","")</f>
        <v/>
      </c>
      <c r="T52" s="518">
        <f>$M$17</f>
        <v>2</v>
      </c>
      <c r="U52" s="493">
        <v>0</v>
      </c>
      <c r="V52" s="644">
        <f>$C$45-IF($R52="N",$E$52,0)-IF($R52="S",1,0)-T52-U52</f>
        <v>18</v>
      </c>
      <c r="W52" s="645"/>
      <c r="X52" s="594">
        <f>VLOOKUP($M52,'Armures-Armes'!$B$162:$M$186,4,FALSE)</f>
        <v>0</v>
      </c>
      <c r="Y52" s="595"/>
      <c r="Z52" s="594">
        <f>VLOOKUP($M52,'Armures-Armes'!$B$162:$M$186,5,FALSE)</f>
        <v>0</v>
      </c>
      <c r="AA52" s="595"/>
      <c r="AB52" s="495">
        <f>IF($D$7="MOINE",$AN$14/2,+$M$11)</f>
        <v>0</v>
      </c>
      <c r="AC52" s="493">
        <v>0</v>
      </c>
      <c r="AD52" s="492">
        <f>AB52+AC52+IF($R52="N",$E$52,0)+IF($R52="S",2,0)</f>
        <v>-2</v>
      </c>
      <c r="AE52" s="594">
        <f>VLOOKUP($M52,'Armures-Armes'!$B$162:$M$186,9,FALSE)</f>
        <v>0</v>
      </c>
      <c r="AF52" s="595"/>
      <c r="AG52" s="594">
        <v>1</v>
      </c>
      <c r="AH52" s="595"/>
      <c r="AI52" s="582" t="str">
        <f>IF($M52="Aucune (L)","0",INT(AG52/AE52)+$D$39)</f>
        <v>0</v>
      </c>
      <c r="AJ52" s="584"/>
      <c r="AL52" s="574"/>
      <c r="AM52" s="575"/>
      <c r="AN52" s="574"/>
      <c r="AO52" s="577"/>
      <c r="AQ52" s="4"/>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69"/>
      <c r="CQ52" s="60"/>
      <c r="CS52" s="56"/>
      <c r="CT52" s="359"/>
      <c r="CU52" s="359"/>
      <c r="CV52" s="359"/>
      <c r="CW52" s="359"/>
      <c r="CX52" s="359"/>
      <c r="CY52" s="359"/>
      <c r="CZ52" s="359"/>
      <c r="DA52" s="359"/>
      <c r="DB52" s="359"/>
      <c r="DC52" s="359"/>
      <c r="DD52" s="359"/>
      <c r="DE52" s="359"/>
      <c r="DF52" s="360"/>
      <c r="DG52" s="361"/>
      <c r="DH52" s="357"/>
      <c r="DI52" s="358"/>
      <c r="DJ52" s="358"/>
      <c r="DK52" s="358"/>
      <c r="DL52" s="358"/>
      <c r="DM52" s="358"/>
      <c r="DN52" s="358"/>
      <c r="DO52" s="57"/>
      <c r="DP52" s="57"/>
      <c r="DQ52" s="58"/>
      <c r="DR52" s="57"/>
      <c r="DS52" s="362"/>
      <c r="DT52" s="357"/>
      <c r="DU52" s="57"/>
      <c r="DV52" s="363"/>
      <c r="DW52" s="354"/>
      <c r="DX52" s="354"/>
      <c r="DY52" s="354"/>
      <c r="DZ52" s="354"/>
      <c r="EA52" s="354"/>
      <c r="EB52" s="354"/>
      <c r="EC52" s="354"/>
      <c r="ED52" s="354"/>
      <c r="EE52" s="354"/>
      <c r="EF52" s="354"/>
      <c r="EG52" s="354"/>
      <c r="EH52" s="354"/>
      <c r="EI52" s="354"/>
      <c r="EJ52" s="355"/>
      <c r="EK52" s="356"/>
      <c r="EL52" s="357"/>
      <c r="EM52" s="358"/>
      <c r="EN52" s="358"/>
      <c r="EO52" s="358"/>
      <c r="EP52" s="57"/>
      <c r="EQ52" s="57"/>
      <c r="ER52" s="58"/>
      <c r="ES52" s="60"/>
      <c r="EU52" s="56"/>
      <c r="EV52" s="359"/>
      <c r="EW52" s="359"/>
      <c r="EX52" s="359"/>
      <c r="EY52" s="359"/>
      <c r="EZ52" s="359"/>
      <c r="FA52" s="359"/>
      <c r="FB52" s="359"/>
      <c r="FC52" s="359"/>
      <c r="FD52" s="359"/>
      <c r="FE52" s="359"/>
      <c r="FF52" s="359"/>
      <c r="FG52" s="359"/>
      <c r="FH52" s="360"/>
      <c r="FI52" s="361"/>
      <c r="FJ52" s="357"/>
      <c r="FK52" s="358"/>
      <c r="FL52" s="358"/>
      <c r="FM52" s="358"/>
      <c r="FN52" s="358"/>
      <c r="FO52" s="358"/>
      <c r="FP52" s="358"/>
      <c r="FQ52" s="57"/>
      <c r="FR52" s="57"/>
      <c r="FS52" s="58"/>
      <c r="FT52" s="57"/>
      <c r="FU52" s="362"/>
      <c r="FV52" s="357"/>
      <c r="FW52" s="57"/>
      <c r="FX52" s="363"/>
      <c r="FY52" s="354"/>
      <c r="FZ52" s="354"/>
      <c r="GA52" s="354"/>
      <c r="GB52" s="354"/>
      <c r="GC52" s="354"/>
      <c r="GD52" s="354"/>
      <c r="GE52" s="354"/>
      <c r="GF52" s="354"/>
      <c r="GG52" s="354"/>
      <c r="GH52" s="354"/>
      <c r="GI52" s="354"/>
      <c r="GJ52" s="354"/>
      <c r="GK52" s="354"/>
      <c r="GL52" s="355"/>
      <c r="GM52" s="356"/>
      <c r="GN52" s="357"/>
      <c r="GO52" s="358"/>
      <c r="GP52" s="358"/>
      <c r="GQ52" s="358"/>
      <c r="GR52" s="57"/>
      <c r="GS52" s="57"/>
      <c r="GT52" s="58"/>
      <c r="GU52" s="60"/>
      <c r="GW52" s="56"/>
      <c r="GX52" s="359"/>
      <c r="GY52" s="359"/>
      <c r="GZ52" s="359"/>
      <c r="HA52" s="359"/>
      <c r="HB52" s="359"/>
      <c r="HC52" s="359"/>
      <c r="HD52" s="359"/>
      <c r="HE52" s="359"/>
      <c r="HF52" s="359"/>
      <c r="HG52" s="359"/>
      <c r="HH52" s="359"/>
      <c r="HI52" s="359"/>
      <c r="HJ52" s="360"/>
      <c r="HK52" s="361"/>
      <c r="HL52" s="357"/>
      <c r="HM52" s="358"/>
      <c r="HN52" s="358"/>
      <c r="HO52" s="358"/>
      <c r="HP52" s="358"/>
      <c r="HQ52" s="358"/>
      <c r="HR52" s="358"/>
      <c r="HS52" s="57"/>
      <c r="HT52" s="57"/>
      <c r="HU52" s="58"/>
      <c r="HV52" s="57"/>
      <c r="HW52" s="362"/>
      <c r="HX52" s="357"/>
      <c r="HY52" s="57"/>
      <c r="HZ52" s="363"/>
      <c r="IA52" s="354"/>
      <c r="IB52" s="354"/>
      <c r="IC52" s="354"/>
      <c r="ID52" s="354"/>
      <c r="IE52" s="354"/>
      <c r="IF52" s="354"/>
      <c r="IG52" s="354"/>
      <c r="IH52" s="354"/>
      <c r="II52" s="354"/>
      <c r="IJ52" s="354"/>
      <c r="IK52" s="354"/>
      <c r="IL52" s="354"/>
      <c r="IM52" s="354"/>
      <c r="IN52" s="355"/>
      <c r="IO52" s="356"/>
      <c r="IP52" s="357"/>
      <c r="IQ52" s="358"/>
      <c r="IR52" s="358"/>
      <c r="IS52" s="358"/>
      <c r="IT52" s="57"/>
      <c r="IU52" s="57"/>
      <c r="IV52" s="58"/>
      <c r="IW52" s="60"/>
      <c r="IY52" s="426"/>
      <c r="IZ52" s="427"/>
      <c r="JA52" s="427"/>
      <c r="JB52" s="427"/>
      <c r="JC52" s="427"/>
      <c r="JD52" s="427"/>
      <c r="JE52" s="427"/>
      <c r="JF52" s="427"/>
      <c r="JG52" s="427"/>
      <c r="JH52" s="427"/>
      <c r="JI52" s="427"/>
      <c r="JJ52" s="427"/>
      <c r="JK52" s="427"/>
      <c r="JL52" s="427"/>
      <c r="JM52" s="427"/>
      <c r="JN52" s="427"/>
      <c r="JO52" s="427"/>
      <c r="JP52" s="427"/>
      <c r="JQ52" s="427"/>
      <c r="JR52" s="427"/>
      <c r="JS52" s="427"/>
      <c r="JT52" s="427"/>
      <c r="JU52" s="428"/>
      <c r="JV52" s="428"/>
      <c r="JW52" s="428"/>
      <c r="JX52" s="428"/>
      <c r="JY52" s="60"/>
      <c r="JZ52" s="60"/>
      <c r="KB52" s="60"/>
      <c r="KC52" s="60"/>
      <c r="KD52" s="60"/>
      <c r="KE52" s="60"/>
      <c r="KF52" s="60"/>
      <c r="KG52" s="60"/>
      <c r="KH52" s="60"/>
      <c r="KI52" s="60"/>
      <c r="KJ52" s="60"/>
      <c r="KK52" s="60"/>
      <c r="KL52" s="60"/>
      <c r="KM52" s="60"/>
      <c r="KN52" s="60"/>
      <c r="KO52" s="60"/>
      <c r="KP52" s="60"/>
      <c r="KQ52" s="60"/>
      <c r="KR52" s="60"/>
      <c r="KS52" s="60"/>
      <c r="KT52" s="60"/>
      <c r="KU52" s="60"/>
      <c r="KX52" s="71"/>
    </row>
    <row r="53" spans="2:310" ht="18" customHeight="1" thickTop="1" thickBot="1" x14ac:dyDescent="0.3">
      <c r="B53" s="76"/>
      <c r="C53" s="24"/>
      <c r="D53" s="24"/>
      <c r="E53" s="24"/>
      <c r="F53" s="24"/>
      <c r="G53" s="24"/>
      <c r="H53" s="24"/>
      <c r="I53" s="24"/>
      <c r="J53" s="24"/>
      <c r="K53" s="24"/>
      <c r="L53" s="434"/>
      <c r="M53" s="24"/>
      <c r="N53" s="24"/>
      <c r="O53" s="24"/>
      <c r="P53" s="24"/>
      <c r="Q53" s="24"/>
      <c r="R53" s="24"/>
      <c r="S53" s="24"/>
      <c r="T53" s="24"/>
      <c r="U53" s="24"/>
      <c r="V53" s="24"/>
      <c r="W53" s="24"/>
      <c r="X53" s="24"/>
      <c r="Y53" s="24"/>
      <c r="Z53" s="24"/>
      <c r="AA53" s="24"/>
      <c r="AB53" s="24"/>
      <c r="AC53" s="24"/>
      <c r="AD53" s="24"/>
      <c r="AE53" s="24"/>
      <c r="AF53" s="24"/>
      <c r="AG53" s="24"/>
      <c r="AH53" s="24"/>
      <c r="AI53" s="24"/>
      <c r="AJ53" s="24"/>
      <c r="AK53" s="24"/>
      <c r="AL53" s="24"/>
      <c r="AM53" s="24"/>
      <c r="AN53" s="24"/>
      <c r="AO53" s="72"/>
      <c r="AQ53" s="4"/>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69"/>
      <c r="CQ53" s="60"/>
      <c r="CS53" s="56">
        <v>11</v>
      </c>
      <c r="CT53" s="754" t="str">
        <f>IF($AV$4="O",Sorts!Q14,IF($BB$4="O",Sorts!Q38,""))</f>
        <v/>
      </c>
      <c r="CU53" s="754"/>
      <c r="CV53" s="754"/>
      <c r="CW53" s="754"/>
      <c r="CX53" s="754"/>
      <c r="CY53" s="754"/>
      <c r="CZ53" s="754"/>
      <c r="DA53" s="754"/>
      <c r="DB53" s="754"/>
      <c r="DC53" s="754"/>
      <c r="DD53" s="754"/>
      <c r="DE53" s="754"/>
      <c r="DF53" s="755"/>
      <c r="DG53" s="756">
        <v>0</v>
      </c>
      <c r="DH53" s="747"/>
      <c r="DI53" s="748" t="str">
        <f>IF($AV$4="O",Sorts!R14,IF($BB$4="O",Sorts!R38,""))</f>
        <v/>
      </c>
      <c r="DJ53" s="748"/>
      <c r="DK53" s="748"/>
      <c r="DL53" s="748" t="str">
        <f>IF($AV$4="O",Sorts!S14,IF($BB$4="O",Sorts!S38,""))</f>
        <v/>
      </c>
      <c r="DM53" s="748"/>
      <c r="DN53" s="748"/>
      <c r="DO53" s="57" t="str">
        <f>IF($AV$4="O",Sorts!T14,IF($BB$4="O",Sorts!T38,""))</f>
        <v/>
      </c>
      <c r="DP53" s="57" t="str">
        <f>IF($AV$4="O",Sorts!U14,IF($BB$4="O",Sorts!U38,""))</f>
        <v/>
      </c>
      <c r="DQ53" s="58" t="str">
        <f>IF($AV$4="O",Sorts!V14,IF($BB$4="O",Sorts!V38,""))</f>
        <v/>
      </c>
      <c r="DR53" s="57"/>
      <c r="DS53" s="757" t="s">
        <v>1204</v>
      </c>
      <c r="DT53" s="747"/>
      <c r="DU53" s="57">
        <v>11</v>
      </c>
      <c r="DV53" s="758" t="str">
        <f>IF(OR($AV$6="O1",$AV$6="O2",$AV$6="O3"),Sorts!Q85,IF(OR($BB$6="O1",$BB$6="O2"),Sorts!Q147,""))</f>
        <v>Infravision</v>
      </c>
      <c r="DW53" s="744"/>
      <c r="DX53" s="744"/>
      <c r="DY53" s="744"/>
      <c r="DZ53" s="744"/>
      <c r="EA53" s="744"/>
      <c r="EB53" s="744"/>
      <c r="EC53" s="744"/>
      <c r="ED53" s="744"/>
      <c r="EE53" s="744"/>
      <c r="EF53" s="744"/>
      <c r="EG53" s="744"/>
      <c r="EH53" s="744"/>
      <c r="EI53" s="744">
        <v>0</v>
      </c>
      <c r="EJ53" s="745"/>
      <c r="EK53" s="746" t="str">
        <f>IF(OR($AV$6="O1",$AV$6="O2",$AV$6="O3"),Sorts!R85,IF(OR($BB$6="O1",$BB$6="O2"),Sorts!R147,""))</f>
        <v>T</v>
      </c>
      <c r="EL53" s="747"/>
      <c r="EM53" s="748" t="str">
        <f>IF(OR($AV$6="O1",$AV$6="O2",$AV$6="O3"),Sorts!S85,IF(OR($BB$6="O1",$BB$6="O2"),Sorts!S147,""))</f>
        <v>12t+6/n</v>
      </c>
      <c r="EN53" s="748"/>
      <c r="EO53" s="748"/>
      <c r="EP53" s="57" t="str">
        <f>IF(OR($AV$6="O1",$AV$6="O2",$AV$6="O3"),Sorts!T85,IF(OR($BB$6="O1",$BB$6="O2"),Sorts!T147,""))</f>
        <v>X</v>
      </c>
      <c r="EQ53" s="57" t="str">
        <f>IF(OR($AV$6="O1",$AV$6="O2",$AV$6="O3"),Sorts!U85,IF(OR($BB$6="O1",$BB$6="O2"),Sorts!U147,""))</f>
        <v>X</v>
      </c>
      <c r="ER53" s="58" t="str">
        <f>IF(OR($AV$6="O1",$AV$6="O2",$AV$6="O3"),Sorts!V85,IF(OR($BB$6="O1",$BB$6="O2"),Sorts!V147,""))</f>
        <v>X</v>
      </c>
      <c r="ES53" s="60"/>
      <c r="EU53" s="56">
        <v>15</v>
      </c>
      <c r="EV53" s="754" t="str">
        <f>IF($AV$4="O",Sorts!AC18,IF($BB$4="O",Sorts!AC42,""))</f>
        <v/>
      </c>
      <c r="EW53" s="754"/>
      <c r="EX53" s="754"/>
      <c r="EY53" s="754"/>
      <c r="EZ53" s="754"/>
      <c r="FA53" s="754"/>
      <c r="FB53" s="754"/>
      <c r="FC53" s="754"/>
      <c r="FD53" s="754"/>
      <c r="FE53" s="754"/>
      <c r="FF53" s="754"/>
      <c r="FG53" s="754"/>
      <c r="FH53" s="755"/>
      <c r="FI53" s="756">
        <v>0</v>
      </c>
      <c r="FJ53" s="747"/>
      <c r="FK53" s="748" t="str">
        <f>IF($AV$4="O",Sorts!AD18,IF($BB$4="O",Sorts!AD42,""))</f>
        <v/>
      </c>
      <c r="FL53" s="748"/>
      <c r="FM53" s="748"/>
      <c r="FN53" s="748" t="str">
        <f>IF($AV$4="O",Sorts!AE18,IF($BB$4="O",Sorts!AE42,""))</f>
        <v/>
      </c>
      <c r="FO53" s="748"/>
      <c r="FP53" s="748"/>
      <c r="FQ53" s="57" t="str">
        <f>IF($AV$4="O",Sorts!AF18,IF($BB$4="O",Sorts!AF42,""))</f>
        <v/>
      </c>
      <c r="FR53" s="57" t="str">
        <f>IF($AV$4="O",Sorts!AG18,IF($BB$4="O",Sorts!AG42,""))</f>
        <v/>
      </c>
      <c r="FS53" s="58" t="str">
        <f>IF($AV$4="O",Sorts!AH18,IF($BB$4="O",Sorts!AH42,""))</f>
        <v/>
      </c>
      <c r="FT53" s="57"/>
      <c r="FU53" s="757" t="s">
        <v>1204</v>
      </c>
      <c r="FV53" s="747"/>
      <c r="FW53" s="57">
        <v>15</v>
      </c>
      <c r="FX53" s="758" t="str">
        <f>IF(OR($AV$6="O1",$AV$6="O2",$AV$6="O3"),Sorts!AC89,IF(OR($BB$6="O1",$BB$6="O2"),Sorts!AC151,""))</f>
        <v>Invocation de Monstre III</v>
      </c>
      <c r="FY53" s="744"/>
      <c r="FZ53" s="744"/>
      <c r="GA53" s="744"/>
      <c r="GB53" s="744"/>
      <c r="GC53" s="744"/>
      <c r="GD53" s="744"/>
      <c r="GE53" s="744"/>
      <c r="GF53" s="744"/>
      <c r="GG53" s="744"/>
      <c r="GH53" s="744"/>
      <c r="GI53" s="744"/>
      <c r="GJ53" s="744"/>
      <c r="GK53" s="744">
        <v>0</v>
      </c>
      <c r="GL53" s="745"/>
      <c r="GM53" s="746" t="str">
        <f>IF(OR($AV$6="O1",$AV$6="O2",$AV$6="O3"),Sorts!AD89,IF(OR($BB$6="O1",$BB$6="O2"),Sorts!AD151,""))</f>
        <v>5''</v>
      </c>
      <c r="GN53" s="747"/>
      <c r="GO53" s="748" t="str">
        <f>IF(OR($AV$6="O1",$AV$6="O2",$AV$6="O3"),Sorts!AE89,IF(OR($BB$6="O1",$BB$6="O2"),Sorts!AE151,""))</f>
        <v>4r+1/n</v>
      </c>
      <c r="GP53" s="748"/>
      <c r="GQ53" s="748"/>
      <c r="GR53" s="57" t="str">
        <f>IF(OR($AV$6="O1",$AV$6="O2",$AV$6="O3"),Sorts!AF89,IF(OR($BB$6="O1",$BB$6="O2"),Sorts!AF151,""))</f>
        <v>X</v>
      </c>
      <c r="GS53" s="57" t="str">
        <f>IF(OR($AV$6="O1",$AV$6="O2",$AV$6="O3"),Sorts!AG89,IF(OR($BB$6="O1",$BB$6="O2"),Sorts!AG151,""))</f>
        <v>X</v>
      </c>
      <c r="GT53" s="58" t="str">
        <f>IF(OR($AV$6="O1",$AV$6="O2",$AV$6="O3"),Sorts!AH89,IF(OR($BB$6="O1",$BB$6="O2"),Sorts!AH151,""))</f>
        <v>X</v>
      </c>
      <c r="GU53" s="60"/>
      <c r="GW53" s="56">
        <v>17</v>
      </c>
      <c r="GX53" s="754"/>
      <c r="GY53" s="754"/>
      <c r="GZ53" s="754"/>
      <c r="HA53" s="754"/>
      <c r="HB53" s="754"/>
      <c r="HC53" s="754"/>
      <c r="HD53" s="754"/>
      <c r="HE53" s="754"/>
      <c r="HF53" s="754"/>
      <c r="HG53" s="754"/>
      <c r="HH53" s="754"/>
      <c r="HI53" s="754"/>
      <c r="HJ53" s="755"/>
      <c r="HK53" s="756"/>
      <c r="HL53" s="747"/>
      <c r="HM53" s="748"/>
      <c r="HN53" s="748"/>
      <c r="HO53" s="748"/>
      <c r="HP53" s="748"/>
      <c r="HQ53" s="748"/>
      <c r="HR53" s="748"/>
      <c r="HS53" s="57"/>
      <c r="HT53" s="57"/>
      <c r="HU53" s="58"/>
      <c r="HV53" s="57"/>
      <c r="HW53" s="757" t="s">
        <v>1204</v>
      </c>
      <c r="HX53" s="747"/>
      <c r="HY53" s="57">
        <v>17</v>
      </c>
      <c r="HZ53" s="758" t="str">
        <f>IF(OR($AV$6="O1",$AV$6="O2",$AV$6="O3"),Sorts!AO91,IF(OR($BB$6="O1",$BB$6="O2"),Sorts!AO153,""))</f>
        <v>Porte de Phase</v>
      </c>
      <c r="IA53" s="744"/>
      <c r="IB53" s="744"/>
      <c r="IC53" s="744"/>
      <c r="ID53" s="744"/>
      <c r="IE53" s="744"/>
      <c r="IF53" s="744"/>
      <c r="IG53" s="744"/>
      <c r="IH53" s="744"/>
      <c r="II53" s="744"/>
      <c r="IJ53" s="744"/>
      <c r="IK53" s="744"/>
      <c r="IL53" s="744"/>
      <c r="IM53" s="744">
        <v>0</v>
      </c>
      <c r="IN53" s="745"/>
      <c r="IO53" s="746" t="str">
        <f>IF(OR($AV$6="O1",$AV$6="O2",$AV$6="O3"),Sorts!AP91,IF(OR($BB$6="O1",$BB$6="O2"),Sorts!AP153,""))</f>
        <v>T</v>
      </c>
      <c r="IP53" s="747"/>
      <c r="IQ53" s="748" t="str">
        <f>IF(OR($AV$6="O1",$AV$6="O2",$AV$6="O3"),Sorts!AQ91,IF(OR($BB$6="O1",$BB$6="O2"),Sorts!AQ153,""))</f>
        <v>1/2n</v>
      </c>
      <c r="IR53" s="748"/>
      <c r="IS53" s="748"/>
      <c r="IT53" s="57" t="str">
        <f>IF(OR($AV$6="O1",$AV$6="O2",$AV$6="O3"),Sorts!AR91,IF(OR($BB$6="O1",$BB$6="O2"),Sorts!AR153,""))</f>
        <v>X</v>
      </c>
      <c r="IU53" s="57" t="str">
        <f>IF(OR($AV$6="O1",$AV$6="O2",$AV$6="O3"),Sorts!AS91,IF(OR($BB$6="O1",$BB$6="O2"),Sorts!AS153,""))</f>
        <v>/</v>
      </c>
      <c r="IV53" s="58" t="str">
        <f>IF(OR($AV$6="O1",$AV$6="O2",$AV$6="O3"),Sorts!AT91,IF(OR($BB$6="O1",$BB$6="O2"),Sorts!AT153,""))</f>
        <v>/</v>
      </c>
      <c r="IW53" s="60"/>
      <c r="IY53" s="628" t="s">
        <v>269</v>
      </c>
      <c r="IZ53" s="629"/>
      <c r="JA53" s="629"/>
      <c r="JB53" s="629"/>
      <c r="JC53" s="629"/>
      <c r="JD53" s="629"/>
      <c r="JE53" s="629"/>
      <c r="JF53" s="629"/>
      <c r="JG53" s="629"/>
      <c r="JH53" s="629"/>
      <c r="JI53" s="629"/>
      <c r="JJ53" s="629"/>
      <c r="JK53" s="629"/>
      <c r="JL53" s="629"/>
      <c r="JM53" s="629"/>
      <c r="JN53" s="629"/>
      <c r="JO53" s="629"/>
      <c r="JP53" s="629"/>
      <c r="JQ53" s="629"/>
      <c r="JR53" s="629"/>
      <c r="JS53" s="629"/>
      <c r="JT53" s="629"/>
      <c r="JU53" s="629"/>
      <c r="JV53" s="629"/>
      <c r="JW53" s="629"/>
      <c r="JX53" s="629"/>
      <c r="JY53" s="629"/>
      <c r="JZ53" s="629"/>
      <c r="KA53" s="629"/>
      <c r="KB53" s="629"/>
      <c r="KC53" s="629"/>
      <c r="KD53" s="629"/>
      <c r="KE53" s="629"/>
      <c r="KF53" s="629"/>
      <c r="KG53" s="629"/>
      <c r="KH53" s="629"/>
      <c r="KI53" s="629"/>
      <c r="KJ53" s="629"/>
      <c r="KK53" s="629"/>
      <c r="KL53" s="629"/>
      <c r="KM53" s="629"/>
      <c r="KN53" s="629"/>
      <c r="KO53" s="629"/>
      <c r="KP53" s="629"/>
      <c r="KQ53" s="629"/>
      <c r="KR53" s="629"/>
      <c r="KS53" s="629"/>
      <c r="KT53" s="629"/>
      <c r="KU53" s="629"/>
      <c r="KV53" s="629"/>
      <c r="KW53" s="629"/>
      <c r="KX53" s="749"/>
    </row>
    <row r="54" spans="2:310" ht="18" customHeight="1" thickTop="1" thickBot="1" x14ac:dyDescent="0.3">
      <c r="AQ54" s="4"/>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69"/>
      <c r="CQ54" s="60"/>
      <c r="CS54" s="56">
        <v>12</v>
      </c>
      <c r="CT54" s="754" t="str">
        <f>IF($AV$4="O",Sorts!Q15,IF($BB$4="O",Sorts!Q39,""))</f>
        <v/>
      </c>
      <c r="CU54" s="754"/>
      <c r="CV54" s="754"/>
      <c r="CW54" s="754"/>
      <c r="CX54" s="754"/>
      <c r="CY54" s="754"/>
      <c r="CZ54" s="754"/>
      <c r="DA54" s="754"/>
      <c r="DB54" s="754"/>
      <c r="DC54" s="754"/>
      <c r="DD54" s="754"/>
      <c r="DE54" s="754"/>
      <c r="DF54" s="755"/>
      <c r="DG54" s="756">
        <v>0</v>
      </c>
      <c r="DH54" s="747"/>
      <c r="DI54" s="748" t="str">
        <f>IF($AV$4="O",Sorts!R15,IF($BB$4="O",Sorts!R39,""))</f>
        <v/>
      </c>
      <c r="DJ54" s="748"/>
      <c r="DK54" s="748"/>
      <c r="DL54" s="748" t="str">
        <f>IF($AV$4="O",Sorts!S15,IF($BB$4="O",Sorts!S39,""))</f>
        <v/>
      </c>
      <c r="DM54" s="748"/>
      <c r="DN54" s="748"/>
      <c r="DO54" s="57" t="str">
        <f>IF($AV$4="O",Sorts!T15,IF($BB$4="O",Sorts!T39,""))</f>
        <v/>
      </c>
      <c r="DP54" s="57" t="str">
        <f>IF($AV$4="O",Sorts!U15,IF($BB$4="O",Sorts!U39,""))</f>
        <v/>
      </c>
      <c r="DQ54" s="58" t="str">
        <f>IF($AV$4="O",Sorts!V15,IF($BB$4="O",Sorts!V39,""))</f>
        <v/>
      </c>
      <c r="DR54" s="57"/>
      <c r="DS54" s="757" t="s">
        <v>1204</v>
      </c>
      <c r="DT54" s="747"/>
      <c r="DU54" s="57">
        <v>12</v>
      </c>
      <c r="DV54" s="758" t="str">
        <f>IF(OR($AV$6="O1",$AV$6="O2",$AV$6="O3"),Sorts!Q86,IF(OR($BB$6="O1",$BB$6="O2"),Sorts!Q148,""))</f>
        <v>Intermittence</v>
      </c>
      <c r="DW54" s="744"/>
      <c r="DX54" s="744"/>
      <c r="DY54" s="744"/>
      <c r="DZ54" s="744"/>
      <c r="EA54" s="744"/>
      <c r="EB54" s="744"/>
      <c r="EC54" s="744"/>
      <c r="ED54" s="744"/>
      <c r="EE54" s="744"/>
      <c r="EF54" s="744"/>
      <c r="EG54" s="744"/>
      <c r="EH54" s="744"/>
      <c r="EI54" s="744">
        <v>0</v>
      </c>
      <c r="EJ54" s="745"/>
      <c r="EK54" s="746">
        <f>IF(OR($AV$6="O1",$AV$6="O2",$AV$6="O3"),Sorts!R86,IF(OR($BB$6="O1",$BB$6="O2"),Sorts!R148,""))</f>
        <v>0</v>
      </c>
      <c r="EL54" s="747"/>
      <c r="EM54" s="748" t="str">
        <f>IF(OR($AV$6="O1",$AV$6="O2",$AV$6="O3"),Sorts!S86,IF(OR($BB$6="O1",$BB$6="O2"),Sorts!S148,""))</f>
        <v>1r/n</v>
      </c>
      <c r="EN54" s="748"/>
      <c r="EO54" s="748"/>
      <c r="EP54" s="57" t="str">
        <f>IF(OR($AV$6="O1",$AV$6="O2",$AV$6="O3"),Sorts!T86,IF(OR($BB$6="O1",$BB$6="O2"),Sorts!T148,""))</f>
        <v>X</v>
      </c>
      <c r="EQ54" s="57" t="str">
        <f>IF(OR($AV$6="O1",$AV$6="O2",$AV$6="O3"),Sorts!U86,IF(OR($BB$6="O1",$BB$6="O2"),Sorts!U148,""))</f>
        <v>X</v>
      </c>
      <c r="ER54" s="58" t="str">
        <f>IF(OR($AV$6="O1",$AV$6="O2",$AV$6="O3"),Sorts!V86,IF(OR($BB$6="O1",$BB$6="O2"),Sorts!V148,""))</f>
        <v>/</v>
      </c>
      <c r="ES54" s="60"/>
      <c r="EU54" s="56">
        <v>16</v>
      </c>
      <c r="EV54" s="754" t="str">
        <f>IF($AV$4="O",Sorts!AC19,IF($BB$4="O",Sorts!AC43,""))</f>
        <v/>
      </c>
      <c r="EW54" s="754"/>
      <c r="EX54" s="754"/>
      <c r="EY54" s="754"/>
      <c r="EZ54" s="754"/>
      <c r="FA54" s="754"/>
      <c r="FB54" s="754"/>
      <c r="FC54" s="754"/>
      <c r="FD54" s="754"/>
      <c r="FE54" s="754"/>
      <c r="FF54" s="754"/>
      <c r="FG54" s="754"/>
      <c r="FH54" s="755"/>
      <c r="FI54" s="756">
        <v>0</v>
      </c>
      <c r="FJ54" s="747"/>
      <c r="FK54" s="748" t="str">
        <f>IF($AV$4="O",Sorts!AD19,IF($BB$4="O",Sorts!AD43,""))</f>
        <v/>
      </c>
      <c r="FL54" s="748"/>
      <c r="FM54" s="748"/>
      <c r="FN54" s="748" t="str">
        <f>IF($AV$4="O",Sorts!AE19,IF($BB$4="O",Sorts!AE43,""))</f>
        <v/>
      </c>
      <c r="FO54" s="748"/>
      <c r="FP54" s="748"/>
      <c r="FQ54" s="57" t="str">
        <f>IF($AV$4="O",Sorts!AF19,IF($BB$4="O",Sorts!AF43,""))</f>
        <v/>
      </c>
      <c r="FR54" s="57" t="str">
        <f>IF($AV$4="O",Sorts!AG19,IF($BB$4="O",Sorts!AG43,""))</f>
        <v/>
      </c>
      <c r="FS54" s="58" t="str">
        <f>IF($AV$4="O",Sorts!AH19,IF($BB$4="O",Sorts!AH43,""))</f>
        <v/>
      </c>
      <c r="FT54" s="57"/>
      <c r="FU54" s="757" t="s">
        <v>1204</v>
      </c>
      <c r="FV54" s="747"/>
      <c r="FW54" s="57">
        <v>16</v>
      </c>
      <c r="FX54" s="758" t="str">
        <f>IF(OR($AV$6="O1",$AV$6="O2",$AV$6="O3"),Sorts!AC90,IF(OR($BB$6="O1",$BB$6="O2"),Sorts!AC152,""))</f>
        <v>Lamentable discussion de Léomund</v>
      </c>
      <c r="FY54" s="744"/>
      <c r="FZ54" s="744"/>
      <c r="GA54" s="744"/>
      <c r="GB54" s="744"/>
      <c r="GC54" s="744"/>
      <c r="GD54" s="744"/>
      <c r="GE54" s="744"/>
      <c r="GF54" s="744"/>
      <c r="GG54" s="744"/>
      <c r="GH54" s="744"/>
      <c r="GI54" s="744"/>
      <c r="GJ54" s="744"/>
      <c r="GK54" s="744">
        <v>0</v>
      </c>
      <c r="GL54" s="745"/>
      <c r="GM54" s="746" t="str">
        <f>IF(OR($AV$6="O1",$AV$6="O2",$AV$6="O3"),Sorts!AD90,IF(OR($BB$6="O1",$BB$6="O2"),Sorts!AD152,""))</f>
        <v>1''</v>
      </c>
      <c r="GN54" s="747"/>
      <c r="GO54" s="748" t="str">
        <f>IF(OR($AV$6="O1",$AV$6="O2",$AV$6="O3"),Sorts!AE90,IF(OR($BB$6="O1",$BB$6="O2"),Sorts!AE152,""))</f>
        <v>S</v>
      </c>
      <c r="GP54" s="748"/>
      <c r="GQ54" s="748"/>
      <c r="GR54" s="57" t="str">
        <f>IF(OR($AV$6="O1",$AV$6="O2",$AV$6="O3"),Sorts!AF90,IF(OR($BB$6="O1",$BB$6="O2"),Sorts!AF152,""))</f>
        <v>X</v>
      </c>
      <c r="GS54" s="57" t="str">
        <f>IF(OR($AV$6="O1",$AV$6="O2",$AV$6="O3"),Sorts!AG90,IF(OR($BB$6="O1",$BB$6="O2"),Sorts!AG152,""))</f>
        <v>/</v>
      </c>
      <c r="GT54" s="58" t="str">
        <f>IF(OR($AV$6="O1",$AV$6="O2",$AV$6="O3"),Sorts!AH90,IF(OR($BB$6="O1",$BB$6="O2"),Sorts!AH152,""))</f>
        <v>/</v>
      </c>
      <c r="GU54" s="60"/>
      <c r="GW54" s="56">
        <v>18</v>
      </c>
      <c r="GX54" s="754"/>
      <c r="GY54" s="754"/>
      <c r="GZ54" s="754"/>
      <c r="HA54" s="754"/>
      <c r="HB54" s="754"/>
      <c r="HC54" s="754"/>
      <c r="HD54" s="754"/>
      <c r="HE54" s="754"/>
      <c r="HF54" s="754"/>
      <c r="HG54" s="754"/>
      <c r="HH54" s="754"/>
      <c r="HI54" s="754"/>
      <c r="HJ54" s="755"/>
      <c r="HK54" s="756"/>
      <c r="HL54" s="747"/>
      <c r="HM54" s="748"/>
      <c r="HN54" s="748"/>
      <c r="HO54" s="748"/>
      <c r="HP54" s="748"/>
      <c r="HQ54" s="748"/>
      <c r="HR54" s="748"/>
      <c r="HS54" s="57"/>
      <c r="HT54" s="57"/>
      <c r="HU54" s="58"/>
      <c r="HV54" s="57"/>
      <c r="HW54" s="757" t="s">
        <v>1204</v>
      </c>
      <c r="HX54" s="747"/>
      <c r="HY54" s="57">
        <v>18</v>
      </c>
      <c r="HZ54" s="758" t="str">
        <f>IF(OR($AV$6="O1",$AV$6="O2",$AV$6="O3"),Sorts!AO92,IF(OR($BB$6="O1",$BB$6="O2"),Sorts!AO154,""))</f>
        <v>Renvoi</v>
      </c>
      <c r="IA54" s="744"/>
      <c r="IB54" s="744"/>
      <c r="IC54" s="744"/>
      <c r="ID54" s="744"/>
      <c r="IE54" s="744"/>
      <c r="IF54" s="744"/>
      <c r="IG54" s="744"/>
      <c r="IH54" s="744"/>
      <c r="II54" s="744"/>
      <c r="IJ54" s="744"/>
      <c r="IK54" s="744"/>
      <c r="IL54" s="744"/>
      <c r="IM54" s="744">
        <v>0</v>
      </c>
      <c r="IN54" s="745"/>
      <c r="IO54" s="746" t="str">
        <f>IF(OR($AV$6="O1",$AV$6="O2",$AV$6="O3"),Sorts!AP92,IF(OR($BB$6="O1",$BB$6="O2"),Sorts!AP154,""))</f>
        <v>S</v>
      </c>
      <c r="IP54" s="747"/>
      <c r="IQ54" s="748" t="str">
        <f>IF(OR($AV$6="O1",$AV$6="O2",$AV$6="O3"),Sorts!AQ92,IF(OR($BB$6="O1",$BB$6="O2"),Sorts!AQ154,""))</f>
        <v>S</v>
      </c>
      <c r="IR54" s="748"/>
      <c r="IS54" s="748"/>
      <c r="IT54" s="57" t="str">
        <f>IF(OR($AV$6="O1",$AV$6="O2",$AV$6="O3"),Sorts!AR92,IF(OR($BB$6="O1",$BB$6="O2"),Sorts!AR154,""))</f>
        <v>X</v>
      </c>
      <c r="IU54" s="57" t="str">
        <f>IF(OR($AV$6="O1",$AV$6="O2",$AV$6="O3"),Sorts!AS92,IF(OR($BB$6="O1",$BB$6="O2"),Sorts!AS154,""))</f>
        <v>X</v>
      </c>
      <c r="IV54" s="58" t="str">
        <f>IF(OR($AV$6="O1",$AV$6="O2",$AV$6="O3"),Sorts!AT92,IF(OR($BB$6="O1",$BB$6="O2"),Sorts!AT154,""))</f>
        <v>X</v>
      </c>
      <c r="IW54" s="60"/>
      <c r="IY54" s="70"/>
      <c r="KX54" s="71"/>
    </row>
    <row r="55" spans="2:310" ht="18" customHeight="1" thickTop="1" x14ac:dyDescent="0.25">
      <c r="B55" s="532" t="s">
        <v>1868</v>
      </c>
      <c r="C55" s="21"/>
      <c r="D55" s="21"/>
      <c r="E55" s="21"/>
      <c r="F55" s="21"/>
      <c r="G55" s="21"/>
      <c r="H55" s="21"/>
      <c r="I55" s="21"/>
      <c r="J55" s="21"/>
      <c r="K55" s="21"/>
      <c r="L55" s="21"/>
      <c r="M55" s="21"/>
      <c r="N55" s="21"/>
      <c r="O55" s="21"/>
      <c r="P55" s="21"/>
      <c r="Q55" s="21"/>
      <c r="R55" s="21"/>
      <c r="S55" s="21"/>
      <c r="T55" s="21"/>
      <c r="U55" s="21"/>
      <c r="V55" s="21"/>
      <c r="W55" s="21"/>
      <c r="X55" s="21"/>
      <c r="Y55" s="21"/>
      <c r="Z55" s="21"/>
      <c r="AA55" s="21"/>
      <c r="AB55" s="21"/>
      <c r="AC55" s="21"/>
      <c r="AD55" s="21"/>
      <c r="AE55" s="21"/>
      <c r="AF55" s="21"/>
      <c r="AG55" s="21"/>
      <c r="AH55" s="21"/>
      <c r="AI55" s="21"/>
      <c r="AJ55" s="21"/>
      <c r="AK55" s="21"/>
      <c r="AL55" s="21"/>
      <c r="AM55" s="21"/>
      <c r="AN55" s="21"/>
      <c r="AO55" s="68"/>
      <c r="AQ55" s="4"/>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69"/>
      <c r="CQ55" s="60"/>
      <c r="CS55" s="56">
        <v>13</v>
      </c>
      <c r="CT55" s="754" t="str">
        <f>IF($AV$4="O",Sorts!Q16,IF($BB$4="O",Sorts!Q40,""))</f>
        <v/>
      </c>
      <c r="CU55" s="754"/>
      <c r="CV55" s="754"/>
      <c r="CW55" s="754"/>
      <c r="CX55" s="754"/>
      <c r="CY55" s="754"/>
      <c r="CZ55" s="754"/>
      <c r="DA55" s="754"/>
      <c r="DB55" s="754"/>
      <c r="DC55" s="754"/>
      <c r="DD55" s="754"/>
      <c r="DE55" s="754"/>
      <c r="DF55" s="755"/>
      <c r="DG55" s="756">
        <v>0</v>
      </c>
      <c r="DH55" s="747"/>
      <c r="DI55" s="748" t="str">
        <f>IF($AV$4="O",Sorts!R16,IF($BB$4="O",Sorts!R40,""))</f>
        <v/>
      </c>
      <c r="DJ55" s="748"/>
      <c r="DK55" s="748"/>
      <c r="DL55" s="748" t="str">
        <f>IF($AV$4="O",Sorts!S16,IF($BB$4="O",Sorts!S40,""))</f>
        <v/>
      </c>
      <c r="DM55" s="748"/>
      <c r="DN55" s="748"/>
      <c r="DO55" s="57" t="str">
        <f>IF($AV$4="O",Sorts!T16,IF($BB$4="O",Sorts!T40,""))</f>
        <v/>
      </c>
      <c r="DP55" s="57" t="str">
        <f>IF($AV$4="O",Sorts!U16,IF($BB$4="O",Sorts!U40,""))</f>
        <v/>
      </c>
      <c r="DQ55" s="58" t="str">
        <f>IF($AV$4="O",Sorts!V16,IF($BB$4="O",Sorts!V40,""))</f>
        <v/>
      </c>
      <c r="DR55" s="57"/>
      <c r="DS55" s="757" t="s">
        <v>1204</v>
      </c>
      <c r="DT55" s="747"/>
      <c r="DU55" s="57">
        <v>13</v>
      </c>
      <c r="DV55" s="758" t="str">
        <f>IF(OR($AV$6="O1",$AV$6="O2",$AV$6="O3"),Sorts!Q87,IF(OR($BB$6="O1",$BB$6="O2"),Sorts!Q149,""))</f>
        <v>Invisibilité sur 3 Mètres</v>
      </c>
      <c r="DW55" s="744"/>
      <c r="DX55" s="744"/>
      <c r="DY55" s="744"/>
      <c r="DZ55" s="744"/>
      <c r="EA55" s="744"/>
      <c r="EB55" s="744"/>
      <c r="EC55" s="744"/>
      <c r="ED55" s="744"/>
      <c r="EE55" s="744"/>
      <c r="EF55" s="744"/>
      <c r="EG55" s="744"/>
      <c r="EH55" s="744"/>
      <c r="EI55" s="744">
        <v>0</v>
      </c>
      <c r="EJ55" s="745"/>
      <c r="EK55" s="746" t="str">
        <f>IF(OR($AV$6="O1",$AV$6="O2",$AV$6="O3"),Sorts!R87,IF(OR($BB$6="O1",$BB$6="O2"),Sorts!R149,""))</f>
        <v>T</v>
      </c>
      <c r="EL55" s="747"/>
      <c r="EM55" s="748" t="str">
        <f>IF(OR($AV$6="O1",$AV$6="O2",$AV$6="O3"),Sorts!S87,IF(OR($BB$6="O1",$BB$6="O2"),Sorts!S149,""))</f>
        <v>S</v>
      </c>
      <c r="EN55" s="748"/>
      <c r="EO55" s="748"/>
      <c r="EP55" s="57" t="str">
        <f>IF(OR($AV$6="O1",$AV$6="O2",$AV$6="O3"),Sorts!T87,IF(OR($BB$6="O1",$BB$6="O2"),Sorts!T149,""))</f>
        <v>X</v>
      </c>
      <c r="EQ55" s="57" t="str">
        <f>IF(OR($AV$6="O1",$AV$6="O2",$AV$6="O3"),Sorts!U87,IF(OR($BB$6="O1",$BB$6="O2"),Sorts!U149,""))</f>
        <v>X</v>
      </c>
      <c r="ER55" s="58" t="str">
        <f>IF(OR($AV$6="O1",$AV$6="O2",$AV$6="O3"),Sorts!V87,IF(OR($BB$6="O1",$BB$6="O2"),Sorts!V149,""))</f>
        <v>X</v>
      </c>
      <c r="ES55" s="60"/>
      <c r="EU55" s="56">
        <v>17</v>
      </c>
      <c r="EV55" s="754"/>
      <c r="EW55" s="754"/>
      <c r="EX55" s="754"/>
      <c r="EY55" s="754"/>
      <c r="EZ55" s="754"/>
      <c r="FA55" s="754"/>
      <c r="FB55" s="754"/>
      <c r="FC55" s="754"/>
      <c r="FD55" s="754"/>
      <c r="FE55" s="754"/>
      <c r="FF55" s="754"/>
      <c r="FG55" s="754"/>
      <c r="FH55" s="755"/>
      <c r="FI55" s="756"/>
      <c r="FJ55" s="747"/>
      <c r="FK55" s="748"/>
      <c r="FL55" s="748"/>
      <c r="FM55" s="748"/>
      <c r="FN55" s="748"/>
      <c r="FO55" s="748"/>
      <c r="FP55" s="748"/>
      <c r="FQ55" s="57"/>
      <c r="FR55" s="57"/>
      <c r="FS55" s="58"/>
      <c r="FT55" s="57"/>
      <c r="FU55" s="757" t="s">
        <v>1204</v>
      </c>
      <c r="FV55" s="747"/>
      <c r="FW55" s="57">
        <v>17</v>
      </c>
      <c r="FX55" s="758" t="str">
        <f>IF(OR($AV$6="O1",$AV$6="O2",$AV$6="O3"),Sorts!AC91,IF(OR($BB$6="O1",$BB$6="O2"),Sorts!AC153,""))</f>
        <v>Lithomorphose</v>
      </c>
      <c r="FY55" s="744"/>
      <c r="FZ55" s="744"/>
      <c r="GA55" s="744"/>
      <c r="GB55" s="744"/>
      <c r="GC55" s="744"/>
      <c r="GD55" s="744"/>
      <c r="GE55" s="744"/>
      <c r="GF55" s="744"/>
      <c r="GG55" s="744"/>
      <c r="GH55" s="744"/>
      <c r="GI55" s="744"/>
      <c r="GJ55" s="744"/>
      <c r="GK55" s="744">
        <v>0</v>
      </c>
      <c r="GL55" s="745"/>
      <c r="GM55" s="746" t="str">
        <f>IF(OR($AV$6="O1",$AV$6="O2",$AV$6="O3"),Sorts!AD91,IF(OR($BB$6="O1",$BB$6="O2"),Sorts!AD153,""))</f>
        <v>T</v>
      </c>
      <c r="GN55" s="747"/>
      <c r="GO55" s="748" t="str">
        <f>IF(OR($AV$6="O1",$AV$6="O2",$AV$6="O3"),Sorts!AE91,IF(OR($BB$6="O1",$BB$6="O2"),Sorts!AE153,""))</f>
        <v>P</v>
      </c>
      <c r="GP55" s="748"/>
      <c r="GQ55" s="748"/>
      <c r="GR55" s="57" t="str">
        <f>IF(OR($AV$6="O1",$AV$6="O2",$AV$6="O3"),Sorts!AF91,IF(OR($BB$6="O1",$BB$6="O2"),Sorts!AF153,""))</f>
        <v>X</v>
      </c>
      <c r="GS55" s="57" t="str">
        <f>IF(OR($AV$6="O1",$AV$6="O2",$AV$6="O3"),Sorts!AG91,IF(OR($BB$6="O1",$BB$6="O2"),Sorts!AG153,""))</f>
        <v>X</v>
      </c>
      <c r="GT55" s="58" t="str">
        <f>IF(OR($AV$6="O1",$AV$6="O2",$AV$6="O3"),Sorts!AH91,IF(OR($BB$6="O1",$BB$6="O2"),Sorts!AH153,""))</f>
        <v>X</v>
      </c>
      <c r="GU55" s="60"/>
      <c r="GW55" s="56">
        <v>19</v>
      </c>
      <c r="GX55" s="754"/>
      <c r="GY55" s="754"/>
      <c r="GZ55" s="754"/>
      <c r="HA55" s="754"/>
      <c r="HB55" s="754"/>
      <c r="HC55" s="754"/>
      <c r="HD55" s="754"/>
      <c r="HE55" s="754"/>
      <c r="HF55" s="754"/>
      <c r="HG55" s="754"/>
      <c r="HH55" s="754"/>
      <c r="HI55" s="754"/>
      <c r="HJ55" s="755"/>
      <c r="HK55" s="756"/>
      <c r="HL55" s="747"/>
      <c r="HM55" s="748"/>
      <c r="HN55" s="748"/>
      <c r="HO55" s="748"/>
      <c r="HP55" s="748"/>
      <c r="HQ55" s="748"/>
      <c r="HR55" s="748"/>
      <c r="HS55" s="57"/>
      <c r="HT55" s="57"/>
      <c r="HU55" s="58"/>
      <c r="HV55" s="57"/>
      <c r="HW55" s="757" t="s">
        <v>1204</v>
      </c>
      <c r="HX55" s="747"/>
      <c r="HY55" s="57">
        <v>19</v>
      </c>
      <c r="HZ55" s="758" t="str">
        <f>IF(OR($AV$6="O1",$AV$6="O2",$AV$6="O3"),Sorts!AO93,IF(OR($BB$6="O1",$BB$6="O2"),Sorts!AO155,""))</f>
        <v>Simulacre</v>
      </c>
      <c r="IA55" s="744"/>
      <c r="IB55" s="744"/>
      <c r="IC55" s="744"/>
      <c r="ID55" s="744"/>
      <c r="IE55" s="744"/>
      <c r="IF55" s="744"/>
      <c r="IG55" s="744"/>
      <c r="IH55" s="744"/>
      <c r="II55" s="744"/>
      <c r="IJ55" s="744"/>
      <c r="IK55" s="744"/>
      <c r="IL55" s="744"/>
      <c r="IM55" s="744">
        <v>0</v>
      </c>
      <c r="IN55" s="745"/>
      <c r="IO55" s="746" t="str">
        <f>IF(OR($AV$6="O1",$AV$6="O2",$AV$6="O3"),Sorts!AP93,IF(OR($BB$6="O1",$BB$6="O2"),Sorts!AP155,""))</f>
        <v>T</v>
      </c>
      <c r="IP55" s="747"/>
      <c r="IQ55" s="748" t="str">
        <f>IF(OR($AV$6="O1",$AV$6="O2",$AV$6="O3"),Sorts!AQ93,IF(OR($BB$6="O1",$BB$6="O2"),Sorts!AQ155,""))</f>
        <v>P</v>
      </c>
      <c r="IR55" s="748"/>
      <c r="IS55" s="748"/>
      <c r="IT55" s="57" t="str">
        <f>IF(OR($AV$6="O1",$AV$6="O2",$AV$6="O3"),Sorts!AR93,IF(OR($BB$6="O1",$BB$6="O2"),Sorts!AR155,""))</f>
        <v>X</v>
      </c>
      <c r="IU55" s="57" t="str">
        <f>IF(OR($AV$6="O1",$AV$6="O2",$AV$6="O3"),Sorts!AS93,IF(OR($BB$6="O1",$BB$6="O2"),Sorts!AS155,""))</f>
        <v>X</v>
      </c>
      <c r="IV55" s="58" t="str">
        <f>IF(OR($AV$6="O1",$AV$6="O2",$AV$6="O3"),Sorts!AT93,IF(OR($BB$6="O1",$BB$6="O2"),Sorts!AT155,""))</f>
        <v>X</v>
      </c>
      <c r="IW55" s="60"/>
      <c r="IY55" s="70"/>
      <c r="KX55" s="71"/>
    </row>
    <row r="56" spans="2:310" ht="18" customHeight="1" x14ac:dyDescent="0.25">
      <c r="B56" s="4"/>
      <c r="AO56" s="69"/>
      <c r="AQ56" s="4"/>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69"/>
      <c r="CQ56" s="25"/>
      <c r="CS56" s="56">
        <v>14</v>
      </c>
      <c r="CT56" s="754" t="str">
        <f>IF($AV$4="O",Sorts!Q17,IF($BB$4="O",Sorts!Q41,""))</f>
        <v/>
      </c>
      <c r="CU56" s="754"/>
      <c r="CV56" s="754"/>
      <c r="CW56" s="754"/>
      <c r="CX56" s="754"/>
      <c r="CY56" s="754"/>
      <c r="CZ56" s="754"/>
      <c r="DA56" s="754"/>
      <c r="DB56" s="754"/>
      <c r="DC56" s="754"/>
      <c r="DD56" s="754"/>
      <c r="DE56" s="754"/>
      <c r="DF56" s="755"/>
      <c r="DG56" s="756">
        <v>0</v>
      </c>
      <c r="DH56" s="747"/>
      <c r="DI56" s="748" t="str">
        <f>IF($AV$4="O",Sorts!R17,IF($BB$4="O",Sorts!R41,""))</f>
        <v/>
      </c>
      <c r="DJ56" s="748"/>
      <c r="DK56" s="748"/>
      <c r="DL56" s="748" t="str">
        <f>IF($AV$4="O",Sorts!S17,IF($BB$4="O",Sorts!S41,""))</f>
        <v/>
      </c>
      <c r="DM56" s="748"/>
      <c r="DN56" s="748"/>
      <c r="DO56" s="57" t="str">
        <f>IF($AV$4="O",Sorts!T17,IF($BB$4="O",Sorts!T41,""))</f>
        <v/>
      </c>
      <c r="DP56" s="57" t="str">
        <f>IF($AV$4="O",Sorts!U17,IF($BB$4="O",Sorts!U41,""))</f>
        <v/>
      </c>
      <c r="DQ56" s="58" t="str">
        <f>IF($AV$4="O",Sorts!V17,IF($BB$4="O",Sorts!V41,""))</f>
        <v/>
      </c>
      <c r="DR56" s="57"/>
      <c r="DS56" s="757" t="s">
        <v>1204</v>
      </c>
      <c r="DT56" s="747"/>
      <c r="DU56" s="57">
        <v>14</v>
      </c>
      <c r="DV56" s="758" t="str">
        <f>IF(OR($AV$6="O1",$AV$6="O2",$AV$6="O3"),Sorts!Q88,IF(OR($BB$6="O1",$BB$6="O2"),Sorts!Q150,""))</f>
        <v>Invocation de Monstre I</v>
      </c>
      <c r="DW56" s="744"/>
      <c r="DX56" s="744"/>
      <c r="DY56" s="744"/>
      <c r="DZ56" s="744"/>
      <c r="EA56" s="744"/>
      <c r="EB56" s="744"/>
      <c r="EC56" s="744"/>
      <c r="ED56" s="744"/>
      <c r="EE56" s="744"/>
      <c r="EF56" s="744"/>
      <c r="EG56" s="744"/>
      <c r="EH56" s="744"/>
      <c r="EI56" s="744">
        <v>0</v>
      </c>
      <c r="EJ56" s="745"/>
      <c r="EK56" s="746" t="str">
        <f>IF(OR($AV$6="O1",$AV$6="O2",$AV$6="O3"),Sorts!R88,IF(OR($BB$6="O1",$BB$6="O2"),Sorts!R150,""))</f>
        <v>3''</v>
      </c>
      <c r="EL56" s="747"/>
      <c r="EM56" s="748" t="str">
        <f>IF(OR($AV$6="O1",$AV$6="O2",$AV$6="O3"),Sorts!S88,IF(OR($BB$6="O1",$BB$6="O2"),Sorts!S150,""))</f>
        <v>2r+1/n</v>
      </c>
      <c r="EN56" s="748"/>
      <c r="EO56" s="748"/>
      <c r="EP56" s="57" t="str">
        <f>IF(OR($AV$6="O1",$AV$6="O2",$AV$6="O3"),Sorts!T88,IF(OR($BB$6="O1",$BB$6="O2"),Sorts!T150,""))</f>
        <v>X</v>
      </c>
      <c r="EQ56" s="57" t="str">
        <f>IF(OR($AV$6="O1",$AV$6="O2",$AV$6="O3"),Sorts!U88,IF(OR($BB$6="O1",$BB$6="O2"),Sorts!U150,""))</f>
        <v>X</v>
      </c>
      <c r="ER56" s="58" t="str">
        <f>IF(OR($AV$6="O1",$AV$6="O2",$AV$6="O3"),Sorts!V88,IF(OR($BB$6="O1",$BB$6="O2"),Sorts!V150,""))</f>
        <v>X</v>
      </c>
      <c r="ES56" s="25"/>
      <c r="EU56" s="56">
        <v>18</v>
      </c>
      <c r="EV56" s="754"/>
      <c r="EW56" s="754"/>
      <c r="EX56" s="754"/>
      <c r="EY56" s="754"/>
      <c r="EZ56" s="754"/>
      <c r="FA56" s="754"/>
      <c r="FB56" s="754"/>
      <c r="FC56" s="754"/>
      <c r="FD56" s="754"/>
      <c r="FE56" s="754"/>
      <c r="FF56" s="754"/>
      <c r="FG56" s="754"/>
      <c r="FH56" s="755"/>
      <c r="FI56" s="756"/>
      <c r="FJ56" s="747"/>
      <c r="FK56" s="748"/>
      <c r="FL56" s="748"/>
      <c r="FM56" s="748"/>
      <c r="FN56" s="748"/>
      <c r="FO56" s="748"/>
      <c r="FP56" s="748"/>
      <c r="FQ56" s="57"/>
      <c r="FR56" s="57"/>
      <c r="FS56" s="58"/>
      <c r="FT56" s="57"/>
      <c r="FU56" s="757" t="s">
        <v>1204</v>
      </c>
      <c r="FV56" s="747"/>
      <c r="FW56" s="57">
        <v>18</v>
      </c>
      <c r="FX56" s="758" t="str">
        <f>IF(OR($AV$6="O1",$AV$6="O2",$AV$6="O3"),Sorts!AC92,IF(OR($BB$6="O1",$BB$6="O2"),Sorts!AC154,""))</f>
        <v>Main d’Interposition de Bigby</v>
      </c>
      <c r="FY56" s="744"/>
      <c r="FZ56" s="744"/>
      <c r="GA56" s="744"/>
      <c r="GB56" s="744"/>
      <c r="GC56" s="744"/>
      <c r="GD56" s="744"/>
      <c r="GE56" s="744"/>
      <c r="GF56" s="744"/>
      <c r="GG56" s="744"/>
      <c r="GH56" s="744"/>
      <c r="GI56" s="744"/>
      <c r="GJ56" s="744"/>
      <c r="GK56" s="744">
        <v>0</v>
      </c>
      <c r="GL56" s="745"/>
      <c r="GM56" s="746" t="str">
        <f>IF(OR($AV$6="O1",$AV$6="O2",$AV$6="O3"),Sorts!AD92,IF(OR($BB$6="O1",$BB$6="O2"),Sorts!AD154,""))</f>
        <v>1''/n</v>
      </c>
      <c r="GN56" s="747"/>
      <c r="GO56" s="748" t="str">
        <f>IF(OR($AV$6="O1",$AV$6="O2",$AV$6="O3"),Sorts!AE92,IF(OR($BB$6="O1",$BB$6="O2"),Sorts!AE154,""))</f>
        <v>1r/n</v>
      </c>
      <c r="GP56" s="748"/>
      <c r="GQ56" s="748"/>
      <c r="GR56" s="57" t="str">
        <f>IF(OR($AV$6="O1",$AV$6="O2",$AV$6="O3"),Sorts!AF92,IF(OR($BB$6="O1",$BB$6="O2"),Sorts!AF154,""))</f>
        <v>X</v>
      </c>
      <c r="GS56" s="57" t="str">
        <f>IF(OR($AV$6="O1",$AV$6="O2",$AV$6="O3"),Sorts!AG92,IF(OR($BB$6="O1",$BB$6="O2"),Sorts!AG154,""))</f>
        <v>X</v>
      </c>
      <c r="GT56" s="58" t="str">
        <f>IF(OR($AV$6="O1",$AV$6="O2",$AV$6="O3"),Sorts!AH92,IF(OR($BB$6="O1",$BB$6="O2"),Sorts!AH154,""))</f>
        <v>X</v>
      </c>
      <c r="GU56" s="25"/>
      <c r="GW56" s="56">
        <v>20</v>
      </c>
      <c r="GX56" s="754"/>
      <c r="GY56" s="754"/>
      <c r="GZ56" s="754"/>
      <c r="HA56" s="754"/>
      <c r="HB56" s="754"/>
      <c r="HC56" s="754"/>
      <c r="HD56" s="754"/>
      <c r="HE56" s="754"/>
      <c r="HF56" s="754"/>
      <c r="HG56" s="754"/>
      <c r="HH56" s="754"/>
      <c r="HI56" s="754"/>
      <c r="HJ56" s="755"/>
      <c r="HK56" s="756"/>
      <c r="HL56" s="747"/>
      <c r="HM56" s="748"/>
      <c r="HN56" s="748"/>
      <c r="HO56" s="748"/>
      <c r="HP56" s="748"/>
      <c r="HQ56" s="748"/>
      <c r="HR56" s="748"/>
      <c r="HS56" s="57"/>
      <c r="HT56" s="57"/>
      <c r="HU56" s="58"/>
      <c r="HV56" s="57"/>
      <c r="HW56" s="757" t="s">
        <v>1204</v>
      </c>
      <c r="HX56" s="747"/>
      <c r="HY56" s="57">
        <v>20</v>
      </c>
      <c r="HZ56" s="758" t="str">
        <f>IF(OR($AV$6="O1",$AV$6="O2",$AV$6="O3"),Sorts!AO94,IF(OR($BB$6="O1",$BB$6="O2"),Sorts!AO156,""))</f>
        <v>Souhait Mineur</v>
      </c>
      <c r="IA56" s="744"/>
      <c r="IB56" s="744"/>
      <c r="IC56" s="744"/>
      <c r="ID56" s="744"/>
      <c r="IE56" s="744"/>
      <c r="IF56" s="744"/>
      <c r="IG56" s="744"/>
      <c r="IH56" s="744"/>
      <c r="II56" s="744"/>
      <c r="IJ56" s="744"/>
      <c r="IK56" s="744"/>
      <c r="IL56" s="744"/>
      <c r="IM56" s="744">
        <v>0</v>
      </c>
      <c r="IN56" s="745"/>
      <c r="IO56" s="746" t="str">
        <f>IF(OR($AV$6="O1",$AV$6="O2",$AV$6="O3"),Sorts!AP94,IF(OR($BB$6="O1",$BB$6="O2"),Sorts!AP156,""))</f>
        <v>Ill</v>
      </c>
      <c r="IP56" s="747"/>
      <c r="IQ56" s="748" t="str">
        <f>IF(OR($AV$6="O1",$AV$6="O2",$AV$6="O3"),Sorts!AQ94,IF(OR($BB$6="O1",$BB$6="O2"),Sorts!AQ156,""))</f>
        <v>S</v>
      </c>
      <c r="IR56" s="748"/>
      <c r="IS56" s="748"/>
      <c r="IT56" s="57" t="str">
        <f>IF(OR($AV$6="O1",$AV$6="O2",$AV$6="O3"),Sorts!AR94,IF(OR($BB$6="O1",$BB$6="O2"),Sorts!AR156,""))</f>
        <v>X</v>
      </c>
      <c r="IU56" s="57" t="str">
        <f>IF(OR($AV$6="O1",$AV$6="O2",$AV$6="O3"),Sorts!AS94,IF(OR($BB$6="O1",$BB$6="O2"),Sorts!AS156,""))</f>
        <v>/</v>
      </c>
      <c r="IV56" s="58" t="str">
        <f>IF(OR($AV$6="O1",$AV$6="O2",$AV$6="O3"),Sorts!AT94,IF(OR($BB$6="O1",$BB$6="O2"),Sorts!AT156,""))</f>
        <v>/</v>
      </c>
      <c r="IW56" s="25"/>
      <c r="IY56" s="70"/>
      <c r="KX56" s="71"/>
    </row>
    <row r="57" spans="2:310" ht="18" customHeight="1" x14ac:dyDescent="0.25">
      <c r="B57" s="4"/>
      <c r="C57" s="61"/>
      <c r="D57" s="61"/>
      <c r="E57" s="61"/>
      <c r="F57" s="61"/>
      <c r="H57" s="234"/>
      <c r="I57" s="234"/>
      <c r="J57" s="234"/>
      <c r="L57" s="533"/>
      <c r="M57" s="533"/>
      <c r="N57" s="533"/>
      <c r="O57" s="533"/>
      <c r="P57" s="533"/>
      <c r="Q57" s="533"/>
      <c r="R57" s="533"/>
      <c r="S57" s="533"/>
      <c r="T57" s="533"/>
      <c r="U57" s="533"/>
      <c r="V57" s="533"/>
      <c r="W57" s="533"/>
      <c r="X57" s="533"/>
      <c r="Y57" s="533"/>
      <c r="Z57" s="533"/>
      <c r="AA57" s="533"/>
      <c r="AB57" s="533"/>
      <c r="AC57" s="533"/>
      <c r="AD57" s="533"/>
      <c r="AE57" s="533"/>
      <c r="AO57" s="69"/>
      <c r="AQ57" s="4"/>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69"/>
      <c r="CQ57" s="60"/>
      <c r="CS57" s="56">
        <v>15</v>
      </c>
      <c r="CT57" s="754" t="str">
        <f>IF($AV$4="O",Sorts!Q18,IF($BB$4="O",Sorts!Q42,""))</f>
        <v/>
      </c>
      <c r="CU57" s="754"/>
      <c r="CV57" s="754"/>
      <c r="CW57" s="754"/>
      <c r="CX57" s="754"/>
      <c r="CY57" s="754"/>
      <c r="CZ57" s="754"/>
      <c r="DA57" s="754"/>
      <c r="DB57" s="754"/>
      <c r="DC57" s="754"/>
      <c r="DD57" s="754"/>
      <c r="DE57" s="754"/>
      <c r="DF57" s="755"/>
      <c r="DG57" s="756">
        <v>0</v>
      </c>
      <c r="DH57" s="747"/>
      <c r="DI57" s="748" t="str">
        <f>IF($AV$4="O",Sorts!R18,IF($BB$4="O",Sorts!R42,""))</f>
        <v/>
      </c>
      <c r="DJ57" s="748"/>
      <c r="DK57" s="748"/>
      <c r="DL57" s="748" t="str">
        <f>IF($AV$4="O",Sorts!S18,IF($BB$4="O",Sorts!S42,""))</f>
        <v/>
      </c>
      <c r="DM57" s="748"/>
      <c r="DN57" s="748"/>
      <c r="DO57" s="57" t="str">
        <f>IF($AV$4="O",Sorts!T18,IF($BB$4="O",Sorts!T42,""))</f>
        <v/>
      </c>
      <c r="DP57" s="57" t="str">
        <f>IF($AV$4="O",Sorts!U18,IF($BB$4="O",Sorts!U42,""))</f>
        <v/>
      </c>
      <c r="DQ57" s="58" t="str">
        <f>IF($AV$4="O",Sorts!V18,IF($BB$4="O",Sorts!V42,""))</f>
        <v/>
      </c>
      <c r="DR57" s="57"/>
      <c r="DS57" s="757" t="s">
        <v>1204</v>
      </c>
      <c r="DT57" s="747"/>
      <c r="DU57" s="57">
        <v>15</v>
      </c>
      <c r="DV57" s="758" t="str">
        <f>IF(OR($AV$6="O1",$AV$6="O2",$AV$6="O3"),Sorts!Q89,IF(OR($BB$6="O1",$BB$6="O2"),Sorts!Q151,""))</f>
        <v>Langues</v>
      </c>
      <c r="DW57" s="744"/>
      <c r="DX57" s="744"/>
      <c r="DY57" s="744"/>
      <c r="DZ57" s="744"/>
      <c r="EA57" s="744"/>
      <c r="EB57" s="744"/>
      <c r="EC57" s="744"/>
      <c r="ED57" s="744"/>
      <c r="EE57" s="744"/>
      <c r="EF57" s="744"/>
      <c r="EG57" s="744"/>
      <c r="EH57" s="744"/>
      <c r="EI57" s="744">
        <v>0</v>
      </c>
      <c r="EJ57" s="745"/>
      <c r="EK57" s="746">
        <f>IF(OR($AV$6="O1",$AV$6="O2",$AV$6="O3"),Sorts!R89,IF(OR($BB$6="O1",$BB$6="O2"),Sorts!R151,""))</f>
        <v>0</v>
      </c>
      <c r="EL57" s="747"/>
      <c r="EM57" s="748" t="str">
        <f>IF(OR($AV$6="O1",$AV$6="O2",$AV$6="O3"),Sorts!S89,IF(OR($BB$6="O1",$BB$6="O2"),Sorts!S151,""))</f>
        <v>1r/n</v>
      </c>
      <c r="EN57" s="748"/>
      <c r="EO57" s="748"/>
      <c r="EP57" s="57" t="str">
        <f>IF(OR($AV$6="O1",$AV$6="O2",$AV$6="O3"),Sorts!T89,IF(OR($BB$6="O1",$BB$6="O2"),Sorts!T151,""))</f>
        <v>X</v>
      </c>
      <c r="EQ57" s="57" t="str">
        <f>IF(OR($AV$6="O1",$AV$6="O2",$AV$6="O3"),Sorts!U89,IF(OR($BB$6="O1",$BB$6="O2"),Sorts!U151,""))</f>
        <v>/</v>
      </c>
      <c r="ER57" s="58" t="str">
        <f>IF(OR($AV$6="O1",$AV$6="O2",$AV$6="O3"),Sorts!V89,IF(OR($BB$6="O1",$BB$6="O2"),Sorts!V151,""))</f>
        <v>X</v>
      </c>
      <c r="ES57" s="60"/>
      <c r="EU57" s="56">
        <v>19</v>
      </c>
      <c r="EV57" s="754"/>
      <c r="EW57" s="754"/>
      <c r="EX57" s="754"/>
      <c r="EY57" s="754"/>
      <c r="EZ57" s="754"/>
      <c r="FA57" s="754"/>
      <c r="FB57" s="754"/>
      <c r="FC57" s="754"/>
      <c r="FD57" s="754"/>
      <c r="FE57" s="754"/>
      <c r="FF57" s="754"/>
      <c r="FG57" s="754"/>
      <c r="FH57" s="755"/>
      <c r="FI57" s="756"/>
      <c r="FJ57" s="747"/>
      <c r="FK57" s="748"/>
      <c r="FL57" s="748"/>
      <c r="FM57" s="748"/>
      <c r="FN57" s="748"/>
      <c r="FO57" s="748"/>
      <c r="FP57" s="748"/>
      <c r="FQ57" s="57"/>
      <c r="FR57" s="57"/>
      <c r="FS57" s="58"/>
      <c r="FT57" s="57"/>
      <c r="FU57" s="757" t="s">
        <v>1204</v>
      </c>
      <c r="FV57" s="747"/>
      <c r="FW57" s="57">
        <v>19</v>
      </c>
      <c r="FX57" s="758" t="str">
        <f>IF(OR($AV$6="O1",$AV$6="O2",$AV$6="O3"),Sorts!AC93,IF(OR($BB$6="O1",$BB$6="O2"),Sorts!AC155,""))</f>
        <v>Métempsycose</v>
      </c>
      <c r="FY57" s="744"/>
      <c r="FZ57" s="744"/>
      <c r="GA57" s="744"/>
      <c r="GB57" s="744"/>
      <c r="GC57" s="744"/>
      <c r="GD57" s="744"/>
      <c r="GE57" s="744"/>
      <c r="GF57" s="744"/>
      <c r="GG57" s="744"/>
      <c r="GH57" s="744"/>
      <c r="GI57" s="744"/>
      <c r="GJ57" s="744"/>
      <c r="GK57" s="744">
        <v>0</v>
      </c>
      <c r="GL57" s="745"/>
      <c r="GM57" s="746" t="str">
        <f>IF(OR($AV$6="O1",$AV$6="O2",$AV$6="O3"),Sorts!AD93,IF(OR($BB$6="O1",$BB$6="O2"),Sorts!AD155,""))</f>
        <v>1''/n</v>
      </c>
      <c r="GN57" s="747"/>
      <c r="GO57" s="748" t="str">
        <f>IF(OR($AV$6="O1",$AV$6="O2",$AV$6="O3"),Sorts!AE93,IF(OR($BB$6="O1",$BB$6="O2"),Sorts!AE155,""))</f>
        <v>S</v>
      </c>
      <c r="GP57" s="748"/>
      <c r="GQ57" s="748"/>
      <c r="GR57" s="57" t="str">
        <f>IF(OR($AV$6="O1",$AV$6="O2",$AV$6="O3"),Sorts!AF93,IF(OR($BB$6="O1",$BB$6="O2"),Sorts!AF155,""))</f>
        <v>X</v>
      </c>
      <c r="GS57" s="57" t="str">
        <f>IF(OR($AV$6="O1",$AV$6="O2",$AV$6="O3"),Sorts!AG93,IF(OR($BB$6="O1",$BB$6="O2"),Sorts!AG155,""))</f>
        <v>X</v>
      </c>
      <c r="GT57" s="58" t="str">
        <f>IF(OR($AV$6="O1",$AV$6="O2",$AV$6="O3"),Sorts!AH93,IF(OR($BB$6="O1",$BB$6="O2"),Sorts!AH155,""))</f>
        <v>X</v>
      </c>
      <c r="GU57" s="60"/>
      <c r="GW57" s="56">
        <v>21</v>
      </c>
      <c r="GX57" s="754"/>
      <c r="GY57" s="754"/>
      <c r="GZ57" s="754"/>
      <c r="HA57" s="754"/>
      <c r="HB57" s="754"/>
      <c r="HC57" s="754"/>
      <c r="HD57" s="754"/>
      <c r="HE57" s="754"/>
      <c r="HF57" s="754"/>
      <c r="HG57" s="754"/>
      <c r="HH57" s="754"/>
      <c r="HI57" s="754"/>
      <c r="HJ57" s="755"/>
      <c r="HK57" s="756"/>
      <c r="HL57" s="747"/>
      <c r="HM57" s="748"/>
      <c r="HN57" s="748"/>
      <c r="HO57" s="748"/>
      <c r="HP57" s="748"/>
      <c r="HQ57" s="748"/>
      <c r="HR57" s="748"/>
      <c r="HS57" s="57"/>
      <c r="HT57" s="57"/>
      <c r="HU57" s="58"/>
      <c r="HV57" s="57"/>
      <c r="HW57" s="757" t="s">
        <v>1204</v>
      </c>
      <c r="HX57" s="747"/>
      <c r="HY57" s="57">
        <v>21</v>
      </c>
      <c r="HZ57" s="758" t="str">
        <f>IF(OR($AV$6="O1",$AV$6="O2",$AV$6="O3"),Sorts!AO95,IF(OR($BB$6="O1",$BB$6="O2"),Sorts!AO157,""))</f>
        <v>Statue</v>
      </c>
      <c r="IA57" s="744"/>
      <c r="IB57" s="744"/>
      <c r="IC57" s="744"/>
      <c r="ID57" s="744"/>
      <c r="IE57" s="744"/>
      <c r="IF57" s="744"/>
      <c r="IG57" s="744"/>
      <c r="IH57" s="744"/>
      <c r="II57" s="744"/>
      <c r="IJ57" s="744"/>
      <c r="IK57" s="744"/>
      <c r="IL57" s="744"/>
      <c r="IM57" s="744">
        <v>0</v>
      </c>
      <c r="IN57" s="745"/>
      <c r="IO57" s="746" t="str">
        <f>IF(OR($AV$6="O1",$AV$6="O2",$AV$6="O3"),Sorts!AP95,IF(OR($BB$6="O1",$BB$6="O2"),Sorts!AP157,""))</f>
        <v>T</v>
      </c>
      <c r="IP57" s="747"/>
      <c r="IQ57" s="748" t="str">
        <f>IF(OR($AV$6="O1",$AV$6="O2",$AV$6="O3"),Sorts!AQ95,IF(OR($BB$6="O1",$BB$6="O2"),Sorts!AQ157,""))</f>
        <v>6t/n</v>
      </c>
      <c r="IR57" s="748"/>
      <c r="IS57" s="748"/>
      <c r="IT57" s="57" t="str">
        <f>IF(OR($AV$6="O1",$AV$6="O2",$AV$6="O3"),Sorts!AR95,IF(OR($BB$6="O1",$BB$6="O2"),Sorts!AR157,""))</f>
        <v>X</v>
      </c>
      <c r="IU57" s="57" t="str">
        <f>IF(OR($AV$6="O1",$AV$6="O2",$AV$6="O3"),Sorts!AS95,IF(OR($BB$6="O1",$BB$6="O2"),Sorts!AS157,""))</f>
        <v>X</v>
      </c>
      <c r="IV57" s="58" t="str">
        <f>IF(OR($AV$6="O1",$AV$6="O2",$AV$6="O3"),Sorts!AT95,IF(OR($BB$6="O1",$BB$6="O2"),Sorts!AT157,""))</f>
        <v>X</v>
      </c>
      <c r="IW57" s="60"/>
      <c r="IY57" s="70"/>
      <c r="KX57" s="71"/>
    </row>
    <row r="58" spans="2:310" ht="18" customHeight="1" x14ac:dyDescent="0.25">
      <c r="B58" s="4"/>
      <c r="H58" s="234"/>
      <c r="L58" s="533"/>
      <c r="M58" s="533"/>
      <c r="N58" s="533"/>
      <c r="S58" s="533"/>
      <c r="T58" s="533"/>
      <c r="U58" s="533"/>
      <c r="V58" s="533"/>
      <c r="W58" s="533"/>
      <c r="X58" s="533"/>
      <c r="Y58" s="533"/>
      <c r="Z58" s="533"/>
      <c r="AA58" s="533"/>
      <c r="AB58" s="533"/>
      <c r="AC58" s="533"/>
      <c r="AD58" s="533"/>
      <c r="AE58" s="533"/>
      <c r="AO58" s="69"/>
      <c r="AQ58" s="4"/>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69"/>
      <c r="CQ58" s="60"/>
      <c r="CS58" s="56">
        <v>16</v>
      </c>
      <c r="CT58" s="754" t="str">
        <f>IF($AV$4="O",Sorts!Q19,IF($BB$4="O",Sorts!Q43,""))</f>
        <v/>
      </c>
      <c r="CU58" s="754"/>
      <c r="CV58" s="754"/>
      <c r="CW58" s="754"/>
      <c r="CX58" s="754"/>
      <c r="CY58" s="754"/>
      <c r="CZ58" s="754"/>
      <c r="DA58" s="754"/>
      <c r="DB58" s="754"/>
      <c r="DC58" s="754"/>
      <c r="DD58" s="754"/>
      <c r="DE58" s="754"/>
      <c r="DF58" s="755"/>
      <c r="DG58" s="756">
        <v>0</v>
      </c>
      <c r="DH58" s="747"/>
      <c r="DI58" s="748" t="str">
        <f>IF($AV$4="O",Sorts!R19,IF($BB$4="O",Sorts!R43,""))</f>
        <v/>
      </c>
      <c r="DJ58" s="748"/>
      <c r="DK58" s="748"/>
      <c r="DL58" s="748" t="str">
        <f>IF($AV$4="O",Sorts!S19,IF($BB$4="O",Sorts!S43,""))</f>
        <v/>
      </c>
      <c r="DM58" s="748"/>
      <c r="DN58" s="748"/>
      <c r="DO58" s="57" t="str">
        <f>IF($AV$4="O",Sorts!T19,IF($BB$4="O",Sorts!T43,""))</f>
        <v/>
      </c>
      <c r="DP58" s="57" t="str">
        <f>IF($AV$4="O",Sorts!U19,IF($BB$4="O",Sorts!U43,""))</f>
        <v/>
      </c>
      <c r="DQ58" s="58" t="str">
        <f>IF($AV$4="O",Sorts!V19,IF($BB$4="O",Sorts!V43,""))</f>
        <v/>
      </c>
      <c r="DR58" s="57"/>
      <c r="DS58" s="757" t="s">
        <v>1204</v>
      </c>
      <c r="DT58" s="747"/>
      <c r="DU58" s="57">
        <v>16</v>
      </c>
      <c r="DV58" s="758" t="str">
        <f>IF(OR($AV$6="O1",$AV$6="O2",$AV$6="O3"),Sorts!Q90,IF(OR($BB$6="O1",$BB$6="O2"),Sorts!Q152,""))</f>
        <v>Matière</v>
      </c>
      <c r="DW58" s="744"/>
      <c r="DX58" s="744"/>
      <c r="DY58" s="744"/>
      <c r="DZ58" s="744"/>
      <c r="EA58" s="744"/>
      <c r="EB58" s="744"/>
      <c r="EC58" s="744"/>
      <c r="ED58" s="744"/>
      <c r="EE58" s="744"/>
      <c r="EF58" s="744"/>
      <c r="EG58" s="744"/>
      <c r="EH58" s="744"/>
      <c r="EI58" s="744">
        <v>0</v>
      </c>
      <c r="EJ58" s="745"/>
      <c r="EK58" s="746" t="str">
        <f>IF(OR($AV$6="O1",$AV$6="O2",$AV$6="O3"),Sorts!R90,IF(OR($BB$6="O1",$BB$6="O2"),Sorts!R152,""))</f>
        <v>1''</v>
      </c>
      <c r="EL58" s="747"/>
      <c r="EM58" s="748" t="str">
        <f>IF(OR($AV$6="O1",$AV$6="O2",$AV$6="O3"),Sorts!S90,IF(OR($BB$6="O1",$BB$6="O2"),Sorts!S152,""))</f>
        <v>P</v>
      </c>
      <c r="EN58" s="748"/>
      <c r="EO58" s="748"/>
      <c r="EP58" s="57" t="str">
        <f>IF(OR($AV$6="O1",$AV$6="O2",$AV$6="O3"),Sorts!T90,IF(OR($BB$6="O1",$BB$6="O2"),Sorts!T152,""))</f>
        <v>X</v>
      </c>
      <c r="EQ58" s="57" t="str">
        <f>IF(OR($AV$6="O1",$AV$6="O2",$AV$6="O3"),Sorts!U90,IF(OR($BB$6="O1",$BB$6="O2"),Sorts!U152,""))</f>
        <v>X</v>
      </c>
      <c r="ER58" s="58" t="str">
        <f>IF(OR($AV$6="O1",$AV$6="O2",$AV$6="O3"),Sorts!V90,IF(OR($BB$6="O1",$BB$6="O2"),Sorts!V152,""))</f>
        <v>/</v>
      </c>
      <c r="ES58" s="60"/>
      <c r="EU58" s="56">
        <v>20</v>
      </c>
      <c r="EV58" s="754"/>
      <c r="EW58" s="754"/>
      <c r="EX58" s="754"/>
      <c r="EY58" s="754"/>
      <c r="EZ58" s="754"/>
      <c r="FA58" s="754"/>
      <c r="FB58" s="754"/>
      <c r="FC58" s="754"/>
      <c r="FD58" s="754"/>
      <c r="FE58" s="754"/>
      <c r="FF58" s="754"/>
      <c r="FG58" s="754"/>
      <c r="FH58" s="755"/>
      <c r="FI58" s="756"/>
      <c r="FJ58" s="747"/>
      <c r="FK58" s="748"/>
      <c r="FL58" s="748"/>
      <c r="FM58" s="748"/>
      <c r="FN58" s="748"/>
      <c r="FO58" s="748"/>
      <c r="FP58" s="748"/>
      <c r="FQ58" s="57"/>
      <c r="FR58" s="57"/>
      <c r="FS58" s="58"/>
      <c r="FT58" s="57"/>
      <c r="FU58" s="757" t="s">
        <v>1204</v>
      </c>
      <c r="FV58" s="747"/>
      <c r="FW58" s="57">
        <v>20</v>
      </c>
      <c r="FX58" s="758" t="str">
        <f>IF(OR($AV$6="O1",$AV$6="O2",$AV$6="O3"),Sorts!AC94,IF(OR($BB$6="O1",$BB$6="O2"),Sorts!AC156,""))</f>
        <v>Mur de Fer</v>
      </c>
      <c r="FY58" s="744"/>
      <c r="FZ58" s="744"/>
      <c r="GA58" s="744"/>
      <c r="GB58" s="744"/>
      <c r="GC58" s="744"/>
      <c r="GD58" s="744"/>
      <c r="GE58" s="744"/>
      <c r="GF58" s="744"/>
      <c r="GG58" s="744"/>
      <c r="GH58" s="744"/>
      <c r="GI58" s="744"/>
      <c r="GJ58" s="744"/>
      <c r="GK58" s="744">
        <v>0</v>
      </c>
      <c r="GL58" s="745"/>
      <c r="GM58" s="746" t="str">
        <f>IF(OR($AV$6="O1",$AV$6="O2",$AV$6="O3"),Sorts!AD94,IF(OR($BB$6="O1",$BB$6="O2"),Sorts!AD156,""))</f>
        <v>0,5''/n</v>
      </c>
      <c r="GN58" s="747"/>
      <c r="GO58" s="748" t="str">
        <f>IF(OR($AV$6="O1",$AV$6="O2",$AV$6="O3"),Sorts!AE94,IF(OR($BB$6="O1",$BB$6="O2"),Sorts!AE156,""))</f>
        <v>P</v>
      </c>
      <c r="GP58" s="748"/>
      <c r="GQ58" s="748"/>
      <c r="GR58" s="57" t="str">
        <f>IF(OR($AV$6="O1",$AV$6="O2",$AV$6="O3"),Sorts!AF94,IF(OR($BB$6="O1",$BB$6="O2"),Sorts!AF156,""))</f>
        <v>X</v>
      </c>
      <c r="GS58" s="57" t="str">
        <f>IF(OR($AV$6="O1",$AV$6="O2",$AV$6="O3"),Sorts!AG94,IF(OR($BB$6="O1",$BB$6="O2"),Sorts!AG156,""))</f>
        <v>X</v>
      </c>
      <c r="GT58" s="58" t="str">
        <f>IF(OR($AV$6="O1",$AV$6="O2",$AV$6="O3"),Sorts!AH94,IF(OR($BB$6="O1",$BB$6="O2"),Sorts!AH156,""))</f>
        <v>X</v>
      </c>
      <c r="GU58" s="60"/>
      <c r="GW58" s="56">
        <v>22</v>
      </c>
      <c r="GX58" s="754"/>
      <c r="GY58" s="754"/>
      <c r="GZ58" s="754"/>
      <c r="HA58" s="754"/>
      <c r="HB58" s="754"/>
      <c r="HC58" s="754"/>
      <c r="HD58" s="754"/>
      <c r="HE58" s="754"/>
      <c r="HF58" s="754"/>
      <c r="HG58" s="754"/>
      <c r="HH58" s="754"/>
      <c r="HI58" s="754"/>
      <c r="HJ58" s="755"/>
      <c r="HK58" s="756"/>
      <c r="HL58" s="747"/>
      <c r="HM58" s="748"/>
      <c r="HN58" s="748"/>
      <c r="HO58" s="748"/>
      <c r="HP58" s="748"/>
      <c r="HQ58" s="748"/>
      <c r="HR58" s="748"/>
      <c r="HS58" s="57"/>
      <c r="HT58" s="57"/>
      <c r="HU58" s="58"/>
      <c r="HV58" s="57"/>
      <c r="HW58" s="757" t="s">
        <v>1204</v>
      </c>
      <c r="HX58" s="747"/>
      <c r="HY58" s="57">
        <v>22</v>
      </c>
      <c r="HZ58" s="758" t="str">
        <f>IF(OR($AV$6="O1",$AV$6="O2",$AV$6="O3"),Sorts!AO96,IF(OR($BB$6="O1",$BB$6="O2"),Sorts!AO158,""))</f>
        <v>Téléportation Sans Erreur</v>
      </c>
      <c r="IA58" s="744"/>
      <c r="IB58" s="744"/>
      <c r="IC58" s="744"/>
      <c r="ID58" s="744"/>
      <c r="IE58" s="744"/>
      <c r="IF58" s="744"/>
      <c r="IG58" s="744"/>
      <c r="IH58" s="744"/>
      <c r="II58" s="744"/>
      <c r="IJ58" s="744"/>
      <c r="IK58" s="744"/>
      <c r="IL58" s="744"/>
      <c r="IM58" s="744">
        <v>0</v>
      </c>
      <c r="IN58" s="745"/>
      <c r="IO58" s="746" t="str">
        <f>IF(OR($AV$6="O1",$AV$6="O2",$AV$6="O3"),Sorts!AP96,IF(OR($BB$6="O1",$BB$6="O2"),Sorts!AP158,""))</f>
        <v>T</v>
      </c>
      <c r="IP58" s="747"/>
      <c r="IQ58" s="748" t="str">
        <f>IF(OR($AV$6="O1",$AV$6="O2",$AV$6="O3"),Sorts!AQ96,IF(OR($BB$6="O1",$BB$6="O2"),Sorts!AQ158,""))</f>
        <v>I</v>
      </c>
      <c r="IR58" s="748"/>
      <c r="IS58" s="748"/>
      <c r="IT58" s="57" t="str">
        <f>IF(OR($AV$6="O1",$AV$6="O2",$AV$6="O3"),Sorts!AR96,IF(OR($BB$6="O1",$BB$6="O2"),Sorts!AR158,""))</f>
        <v>X</v>
      </c>
      <c r="IU58" s="57" t="str">
        <f>IF(OR($AV$6="O1",$AV$6="O2",$AV$6="O3"),Sorts!AS96,IF(OR($BB$6="O1",$BB$6="O2"),Sorts!AS158,""))</f>
        <v>/</v>
      </c>
      <c r="IV58" s="58" t="str">
        <f>IF(OR($AV$6="O1",$AV$6="O2",$AV$6="O3"),Sorts!AT96,IF(OR($BB$6="O1",$BB$6="O2"),Sorts!AT158,""))</f>
        <v>/</v>
      </c>
      <c r="IW58" s="60"/>
      <c r="IY58" s="70"/>
      <c r="KX58" s="71"/>
    </row>
    <row r="59" spans="2:310" ht="18" customHeight="1" x14ac:dyDescent="0.25">
      <c r="B59" s="4"/>
      <c r="D59" s="534"/>
      <c r="E59" s="534"/>
      <c r="H59" s="234"/>
      <c r="L59" s="533"/>
      <c r="M59" s="533"/>
      <c r="N59" s="533"/>
      <c r="S59" s="533"/>
      <c r="T59" s="533"/>
      <c r="U59" s="533"/>
      <c r="V59" s="533"/>
      <c r="W59" s="533"/>
      <c r="X59" s="533"/>
      <c r="Y59" s="533"/>
      <c r="Z59" s="533"/>
      <c r="AA59" s="533"/>
      <c r="AB59" s="533"/>
      <c r="AC59" s="533"/>
      <c r="AD59" s="533"/>
      <c r="AE59" s="533"/>
      <c r="AO59" s="69"/>
      <c r="AQ59" s="4"/>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69"/>
      <c r="CQ59" s="60"/>
      <c r="CS59" s="56">
        <v>17</v>
      </c>
      <c r="CT59" s="754" t="str">
        <f>IF($AV$4="O",Sorts!Q20,IF($BB$4="O",Sorts!Q44,""))</f>
        <v/>
      </c>
      <c r="CU59" s="754"/>
      <c r="CV59" s="754"/>
      <c r="CW59" s="754"/>
      <c r="CX59" s="754"/>
      <c r="CY59" s="754"/>
      <c r="CZ59" s="754"/>
      <c r="DA59" s="754"/>
      <c r="DB59" s="754"/>
      <c r="DC59" s="754"/>
      <c r="DD59" s="754"/>
      <c r="DE59" s="754"/>
      <c r="DF59" s="755"/>
      <c r="DG59" s="756">
        <v>0</v>
      </c>
      <c r="DH59" s="747"/>
      <c r="DI59" s="748" t="str">
        <f>IF($AV$4="O",Sorts!R20,IF($BB$4="O",Sorts!R44,""))</f>
        <v/>
      </c>
      <c r="DJ59" s="748"/>
      <c r="DK59" s="748"/>
      <c r="DL59" s="748" t="str">
        <f>IF($AV$4="O",Sorts!S20,IF($BB$4="O",Sorts!S44,""))</f>
        <v/>
      </c>
      <c r="DM59" s="748"/>
      <c r="DN59" s="748"/>
      <c r="DO59" s="57" t="str">
        <f>IF($AV$4="O",Sorts!T20,IF($BB$4="O",Sorts!T44,""))</f>
        <v/>
      </c>
      <c r="DP59" s="57" t="str">
        <f>IF($AV$4="O",Sorts!U20,IF($BB$4="O",Sorts!U44,""))</f>
        <v/>
      </c>
      <c r="DQ59" s="58" t="str">
        <f>IF($AV$4="O",Sorts!V20,IF($BB$4="O",Sorts!V44,""))</f>
        <v/>
      </c>
      <c r="DR59" s="57"/>
      <c r="DS59" s="757" t="s">
        <v>1204</v>
      </c>
      <c r="DT59" s="747"/>
      <c r="DU59" s="57">
        <v>17</v>
      </c>
      <c r="DV59" s="758" t="str">
        <f>IF(OR($AV$6="O1",$AV$6="O2",$AV$6="O3"),Sorts!Q91,IF(OR($BB$6="O1",$BB$6="O2"),Sorts!Q153,""))</f>
        <v>Minuscules Météores de Melf</v>
      </c>
      <c r="DW59" s="744"/>
      <c r="DX59" s="744"/>
      <c r="DY59" s="744"/>
      <c r="DZ59" s="744"/>
      <c r="EA59" s="744"/>
      <c r="EB59" s="744"/>
      <c r="EC59" s="744"/>
      <c r="ED59" s="744"/>
      <c r="EE59" s="744"/>
      <c r="EF59" s="744"/>
      <c r="EG59" s="744"/>
      <c r="EH59" s="744"/>
      <c r="EI59" s="744">
        <v>0</v>
      </c>
      <c r="EJ59" s="745"/>
      <c r="EK59" s="746" t="str">
        <f>IF(OR($AV$6="O1",$AV$6="O2",$AV$6="O3"),Sorts!R91,IF(OR($BB$6="O1",$BB$6="O2"),Sorts!R153,""))</f>
        <v>1''/n</v>
      </c>
      <c r="EL59" s="747"/>
      <c r="EM59" s="748" t="str">
        <f>IF(OR($AV$6="O1",$AV$6="O2",$AV$6="O3"),Sorts!S91,IF(OR($BB$6="O1",$BB$6="O2"),Sorts!S153,""))</f>
        <v>S</v>
      </c>
      <c r="EN59" s="748"/>
      <c r="EO59" s="748"/>
      <c r="EP59" s="57" t="str">
        <f>IF(OR($AV$6="O1",$AV$6="O2",$AV$6="O3"),Sorts!T91,IF(OR($BB$6="O1",$BB$6="O2"),Sorts!T153,""))</f>
        <v>X</v>
      </c>
      <c r="EQ59" s="57" t="str">
        <f>IF(OR($AV$6="O1",$AV$6="O2",$AV$6="O3"),Sorts!U91,IF(OR($BB$6="O1",$BB$6="O2"),Sorts!U153,""))</f>
        <v>X</v>
      </c>
      <c r="ER59" s="58" t="str">
        <f>IF(OR($AV$6="O1",$AV$6="O2",$AV$6="O3"),Sorts!V91,IF(OR($BB$6="O1",$BB$6="O2"),Sorts!V153,""))</f>
        <v>X</v>
      </c>
      <c r="ES59" s="60"/>
      <c r="EU59" s="56">
        <v>21</v>
      </c>
      <c r="EV59" s="754"/>
      <c r="EW59" s="754"/>
      <c r="EX59" s="754"/>
      <c r="EY59" s="754"/>
      <c r="EZ59" s="754"/>
      <c r="FA59" s="754"/>
      <c r="FB59" s="754"/>
      <c r="FC59" s="754"/>
      <c r="FD59" s="754"/>
      <c r="FE59" s="754"/>
      <c r="FF59" s="754"/>
      <c r="FG59" s="754"/>
      <c r="FH59" s="755"/>
      <c r="FI59" s="756"/>
      <c r="FJ59" s="747"/>
      <c r="FK59" s="748"/>
      <c r="FL59" s="748"/>
      <c r="FM59" s="748"/>
      <c r="FN59" s="748"/>
      <c r="FO59" s="748"/>
      <c r="FP59" s="748"/>
      <c r="FQ59" s="57"/>
      <c r="FR59" s="57"/>
      <c r="FS59" s="58"/>
      <c r="FT59" s="57"/>
      <c r="FU59" s="757" t="s">
        <v>1204</v>
      </c>
      <c r="FV59" s="747"/>
      <c r="FW59" s="57">
        <v>21</v>
      </c>
      <c r="FX59" s="758" t="str">
        <f>IF(OR($AV$6="O1",$AV$6="O2",$AV$6="O3"),Sorts!AC95,IF(OR($BB$6="O1",$BB$6="O2"),Sorts!AC157,""))</f>
        <v>Mur de Force</v>
      </c>
      <c r="FY59" s="744"/>
      <c r="FZ59" s="744"/>
      <c r="GA59" s="744"/>
      <c r="GB59" s="744"/>
      <c r="GC59" s="744"/>
      <c r="GD59" s="744"/>
      <c r="GE59" s="744"/>
      <c r="GF59" s="744"/>
      <c r="GG59" s="744"/>
      <c r="GH59" s="744"/>
      <c r="GI59" s="744"/>
      <c r="GJ59" s="744"/>
      <c r="GK59" s="744">
        <v>0</v>
      </c>
      <c r="GL59" s="745"/>
      <c r="GM59" s="746" t="str">
        <f>IF(OR($AV$6="O1",$AV$6="O2",$AV$6="O3"),Sorts!AD95,IF(OR($BB$6="O1",$BB$6="O2"),Sorts!AD157,""))</f>
        <v>3''</v>
      </c>
      <c r="GN59" s="747"/>
      <c r="GO59" s="748" t="str">
        <f>IF(OR($AV$6="O1",$AV$6="O2",$AV$6="O3"),Sorts!AE95,IF(OR($BB$6="O1",$BB$6="O2"),Sorts!AE157,""))</f>
        <v>1t+1r/n</v>
      </c>
      <c r="GP59" s="748"/>
      <c r="GQ59" s="748"/>
      <c r="GR59" s="57" t="str">
        <f>IF(OR($AV$6="O1",$AV$6="O2",$AV$6="O3"),Sorts!AF95,IF(OR($BB$6="O1",$BB$6="O2"),Sorts!AF157,""))</f>
        <v>X</v>
      </c>
      <c r="GS59" s="57" t="str">
        <f>IF(OR($AV$6="O1",$AV$6="O2",$AV$6="O3"),Sorts!AG95,IF(OR($BB$6="O1",$BB$6="O2"),Sorts!AG157,""))</f>
        <v>X</v>
      </c>
      <c r="GT59" s="58" t="str">
        <f>IF(OR($AV$6="O1",$AV$6="O2",$AV$6="O3"),Sorts!AH95,IF(OR($BB$6="O1",$BB$6="O2"),Sorts!AH157,""))</f>
        <v>X</v>
      </c>
      <c r="GU59" s="60"/>
      <c r="GW59" s="56">
        <v>23</v>
      </c>
      <c r="GX59" s="754"/>
      <c r="GY59" s="754"/>
      <c r="GZ59" s="754"/>
      <c r="HA59" s="754"/>
      <c r="HB59" s="754"/>
      <c r="HC59" s="754"/>
      <c r="HD59" s="754"/>
      <c r="HE59" s="754"/>
      <c r="HF59" s="754"/>
      <c r="HG59" s="754"/>
      <c r="HH59" s="754"/>
      <c r="HI59" s="754"/>
      <c r="HJ59" s="755"/>
      <c r="HK59" s="756"/>
      <c r="HL59" s="747"/>
      <c r="HM59" s="748"/>
      <c r="HN59" s="748"/>
      <c r="HO59" s="748"/>
      <c r="HP59" s="748"/>
      <c r="HQ59" s="748"/>
      <c r="HR59" s="748"/>
      <c r="HS59" s="57"/>
      <c r="HT59" s="57"/>
      <c r="HU59" s="58"/>
      <c r="HV59" s="57"/>
      <c r="HW59" s="757" t="s">
        <v>1204</v>
      </c>
      <c r="HX59" s="747"/>
      <c r="HY59" s="57">
        <v>23</v>
      </c>
      <c r="HZ59" s="758" t="str">
        <f>IF(OR($AV$6="O1",$AV$6="O2",$AV$6="O3"),Sorts!AO97,IF(OR($BB$6="O1",$BB$6="O2"),Sorts!AO159,""))</f>
        <v>Tourment</v>
      </c>
      <c r="IA59" s="744"/>
      <c r="IB59" s="744"/>
      <c r="IC59" s="744"/>
      <c r="ID59" s="744"/>
      <c r="IE59" s="744"/>
      <c r="IF59" s="744"/>
      <c r="IG59" s="744"/>
      <c r="IH59" s="744"/>
      <c r="II59" s="744"/>
      <c r="IJ59" s="744"/>
      <c r="IK59" s="744"/>
      <c r="IL59" s="744"/>
      <c r="IM59" s="744">
        <v>0</v>
      </c>
      <c r="IN59" s="745"/>
      <c r="IO59" s="746" t="str">
        <f>IF(OR($AV$6="O1",$AV$6="O2",$AV$6="O3"),Sorts!AP97,IF(OR($BB$6="O1",$BB$6="O2"),Sorts!AP159,""))</f>
        <v>1''</v>
      </c>
      <c r="IP59" s="747"/>
      <c r="IQ59" s="748" t="str">
        <f>IF(OR($AV$6="O1",$AV$6="O2",$AV$6="O3"),Sorts!AQ97,IF(OR($BB$6="O1",$BB$6="O2"),Sorts!AQ159,""))</f>
        <v>S</v>
      </c>
      <c r="IR59" s="748"/>
      <c r="IS59" s="748"/>
      <c r="IT59" s="57" t="str">
        <f>IF(OR($AV$6="O1",$AV$6="O2",$AV$6="O3"),Sorts!AR97,IF(OR($BB$6="O1",$BB$6="O2"),Sorts!AR159,""))</f>
        <v>X</v>
      </c>
      <c r="IU59" s="57" t="str">
        <f>IF(OR($AV$6="O1",$AV$6="O2",$AV$6="O3"),Sorts!AS97,IF(OR($BB$6="O1",$BB$6="O2"),Sorts!AS159,""))</f>
        <v>X</v>
      </c>
      <c r="IV59" s="58" t="str">
        <f>IF(OR($AV$6="O1",$AV$6="O2",$AV$6="O3"),Sorts!AT97,IF(OR($BB$6="O1",$BB$6="O2"),Sorts!AT159,""))</f>
        <v>X</v>
      </c>
      <c r="IW59" s="60"/>
      <c r="IY59" s="70"/>
      <c r="KX59" s="71"/>
    </row>
    <row r="60" spans="2:310" ht="18" customHeight="1" thickBot="1" x14ac:dyDescent="0.3">
      <c r="B60" s="4"/>
      <c r="D60" s="534"/>
      <c r="E60" s="534"/>
      <c r="L60" s="533"/>
      <c r="M60" s="533"/>
      <c r="N60" s="533"/>
      <c r="S60" s="533"/>
      <c r="T60" s="533"/>
      <c r="U60" s="533"/>
      <c r="V60" s="533"/>
      <c r="W60" s="533"/>
      <c r="X60" s="533"/>
      <c r="Y60" s="533"/>
      <c r="Z60" s="533"/>
      <c r="AA60" s="533"/>
      <c r="AB60" s="533"/>
      <c r="AC60" s="533"/>
      <c r="AD60" s="533"/>
      <c r="AE60" s="533"/>
      <c r="AO60" s="69"/>
      <c r="AQ60" s="4"/>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69"/>
      <c r="CQ60" s="60"/>
      <c r="CS60" s="56">
        <v>18</v>
      </c>
      <c r="CT60" s="754" t="str">
        <f>IF($AV$4="O",Sorts!Q21,IF($BB$4="O",Sorts!Q45,""))</f>
        <v/>
      </c>
      <c r="CU60" s="754"/>
      <c r="CV60" s="754"/>
      <c r="CW60" s="754"/>
      <c r="CX60" s="754"/>
      <c r="CY60" s="754"/>
      <c r="CZ60" s="754"/>
      <c r="DA60" s="754"/>
      <c r="DB60" s="754"/>
      <c r="DC60" s="754"/>
      <c r="DD60" s="754"/>
      <c r="DE60" s="754"/>
      <c r="DF60" s="755"/>
      <c r="DG60" s="756">
        <v>0</v>
      </c>
      <c r="DH60" s="747"/>
      <c r="DI60" s="748" t="str">
        <f>IF($AV$4="O",Sorts!R21,IF($BB$4="O",Sorts!R45,""))</f>
        <v/>
      </c>
      <c r="DJ60" s="748"/>
      <c r="DK60" s="748"/>
      <c r="DL60" s="748" t="str">
        <f>IF($AV$4="O",Sorts!S21,IF($BB$4="O",Sorts!S45,""))</f>
        <v/>
      </c>
      <c r="DM60" s="748"/>
      <c r="DN60" s="748"/>
      <c r="DO60" s="57" t="str">
        <f>IF($AV$4="O",Sorts!T21,IF($BB$4="O",Sorts!T45,""))</f>
        <v/>
      </c>
      <c r="DP60" s="57" t="str">
        <f>IF($AV$4="O",Sorts!U21,IF($BB$4="O",Sorts!U45,""))</f>
        <v/>
      </c>
      <c r="DQ60" s="58" t="str">
        <f>IF($AV$4="O",Sorts!V21,IF($BB$4="O",Sorts!V45,""))</f>
        <v/>
      </c>
      <c r="DR60" s="57"/>
      <c r="DS60" s="757" t="s">
        <v>1204</v>
      </c>
      <c r="DT60" s="747"/>
      <c r="DU60" s="57">
        <v>18</v>
      </c>
      <c r="DV60" s="758" t="str">
        <f>IF(OR($AV$6="O1",$AV$6="O2",$AV$6="O3"),Sorts!Q92,IF(OR($BB$6="O1",$BB$6="O2"),Sorts!Q154,""))</f>
        <v>Mur de Vent</v>
      </c>
      <c r="DW60" s="744"/>
      <c r="DX60" s="744"/>
      <c r="DY60" s="744"/>
      <c r="DZ60" s="744"/>
      <c r="EA60" s="744"/>
      <c r="EB60" s="744"/>
      <c r="EC60" s="744"/>
      <c r="ED60" s="744"/>
      <c r="EE60" s="744"/>
      <c r="EF60" s="744"/>
      <c r="EG60" s="744"/>
      <c r="EH60" s="744"/>
      <c r="EI60" s="744">
        <v>0</v>
      </c>
      <c r="EJ60" s="745"/>
      <c r="EK60" s="746" t="str">
        <f>IF(OR($AV$6="O1",$AV$6="O2",$AV$6="O3"),Sorts!R92,IF(OR($BB$6="O1",$BB$6="O2"),Sorts!R154,""))</f>
        <v>1''/n</v>
      </c>
      <c r="EL60" s="747"/>
      <c r="EM60" s="748" t="str">
        <f>IF(OR($AV$6="O1",$AV$6="O2",$AV$6="O3"),Sorts!S92,IF(OR($BB$6="O1",$BB$6="O2"),Sorts!S154,""))</f>
        <v>1r/n</v>
      </c>
      <c r="EN60" s="748"/>
      <c r="EO60" s="748"/>
      <c r="EP60" s="57" t="str">
        <f>IF(OR($AV$6="O1",$AV$6="O2",$AV$6="O3"),Sorts!T92,IF(OR($BB$6="O1",$BB$6="O2"),Sorts!T154,""))</f>
        <v>X</v>
      </c>
      <c r="EQ60" s="57" t="str">
        <f>IF(OR($AV$6="O1",$AV$6="O2",$AV$6="O3"),Sorts!U92,IF(OR($BB$6="O1",$BB$6="O2"),Sorts!U154,""))</f>
        <v>X</v>
      </c>
      <c r="ER60" s="58" t="str">
        <f>IF(OR($AV$6="O1",$AV$6="O2",$AV$6="O3"),Sorts!V92,IF(OR($BB$6="O1",$BB$6="O2"),Sorts!V154,""))</f>
        <v>X</v>
      </c>
      <c r="ES60" s="60"/>
      <c r="EU60" s="56">
        <v>22</v>
      </c>
      <c r="EV60" s="754"/>
      <c r="EW60" s="754"/>
      <c r="EX60" s="754"/>
      <c r="EY60" s="754"/>
      <c r="EZ60" s="754"/>
      <c r="FA60" s="754"/>
      <c r="FB60" s="754"/>
      <c r="FC60" s="754"/>
      <c r="FD60" s="754"/>
      <c r="FE60" s="754"/>
      <c r="FF60" s="754"/>
      <c r="FG60" s="754"/>
      <c r="FH60" s="755"/>
      <c r="FI60" s="756"/>
      <c r="FJ60" s="747"/>
      <c r="FK60" s="748"/>
      <c r="FL60" s="748"/>
      <c r="FM60" s="748"/>
      <c r="FN60" s="748"/>
      <c r="FO60" s="748"/>
      <c r="FP60" s="748"/>
      <c r="FQ60" s="57"/>
      <c r="FR60" s="57"/>
      <c r="FS60" s="58"/>
      <c r="FT60" s="57"/>
      <c r="FU60" s="757" t="s">
        <v>1204</v>
      </c>
      <c r="FV60" s="747"/>
      <c r="FW60" s="57">
        <v>22</v>
      </c>
      <c r="FX60" s="758" t="str">
        <f>IF(OR($AV$6="O1",$AV$6="O2",$AV$6="O3"),Sorts!AC96,IF(OR($BB$6="O1",$BB$6="O2"),Sorts!AC158,""))</f>
        <v>Mur de Roc</v>
      </c>
      <c r="FY60" s="744"/>
      <c r="FZ60" s="744"/>
      <c r="GA60" s="744"/>
      <c r="GB60" s="744"/>
      <c r="GC60" s="744"/>
      <c r="GD60" s="744"/>
      <c r="GE60" s="744"/>
      <c r="GF60" s="744"/>
      <c r="GG60" s="744"/>
      <c r="GH60" s="744"/>
      <c r="GI60" s="744"/>
      <c r="GJ60" s="744"/>
      <c r="GK60" s="744">
        <v>0</v>
      </c>
      <c r="GL60" s="745"/>
      <c r="GM60" s="746" t="str">
        <f>IF(OR($AV$6="O1",$AV$6="O2",$AV$6="O3"),Sorts!AD96,IF(OR($BB$6="O1",$BB$6="O2"),Sorts!AD158,""))</f>
        <v>0,5''/n</v>
      </c>
      <c r="GN60" s="747"/>
      <c r="GO60" s="748" t="str">
        <f>IF(OR($AV$6="O1",$AV$6="O2",$AV$6="O3"),Sorts!AE96,IF(OR($BB$6="O1",$BB$6="O2"),Sorts!AE158,""))</f>
        <v>P</v>
      </c>
      <c r="GP60" s="748"/>
      <c r="GQ60" s="748"/>
      <c r="GR60" s="57" t="str">
        <f>IF(OR($AV$6="O1",$AV$6="O2",$AV$6="O3"),Sorts!AF96,IF(OR($BB$6="O1",$BB$6="O2"),Sorts!AF158,""))</f>
        <v>X</v>
      </c>
      <c r="GS60" s="57" t="str">
        <f>IF(OR($AV$6="O1",$AV$6="O2",$AV$6="O3"),Sorts!AG96,IF(OR($BB$6="O1",$BB$6="O2"),Sorts!AG158,""))</f>
        <v>X</v>
      </c>
      <c r="GT60" s="58" t="str">
        <f>IF(OR($AV$6="O1",$AV$6="O2",$AV$6="O3"),Sorts!AH96,IF(OR($BB$6="O1",$BB$6="O2"),Sorts!AH158,""))</f>
        <v>X</v>
      </c>
      <c r="GU60" s="60"/>
      <c r="GW60" s="56">
        <v>24</v>
      </c>
      <c r="GX60" s="754"/>
      <c r="GY60" s="754"/>
      <c r="GZ60" s="754"/>
      <c r="HA60" s="754"/>
      <c r="HB60" s="754"/>
      <c r="HC60" s="754"/>
      <c r="HD60" s="754"/>
      <c r="HE60" s="754"/>
      <c r="HF60" s="754"/>
      <c r="HG60" s="754"/>
      <c r="HH60" s="754"/>
      <c r="HI60" s="754"/>
      <c r="HJ60" s="755"/>
      <c r="HK60" s="756"/>
      <c r="HL60" s="747"/>
      <c r="HM60" s="748"/>
      <c r="HN60" s="748"/>
      <c r="HO60" s="748"/>
      <c r="HP60" s="748"/>
      <c r="HQ60" s="748"/>
      <c r="HR60" s="748"/>
      <c r="HS60" s="57"/>
      <c r="HT60" s="57"/>
      <c r="HU60" s="58"/>
      <c r="HV60" s="57"/>
      <c r="HW60" s="757" t="s">
        <v>1204</v>
      </c>
      <c r="HX60" s="747"/>
      <c r="HY60" s="57">
        <v>24</v>
      </c>
      <c r="HZ60" s="758" t="str">
        <f>IF(OR($AV$6="O1",$AV$6="O2",$AV$6="O3"),Sorts!AO98,IF(OR($BB$6="O1",$BB$6="O2"),Sorts!AO160,""))</f>
        <v>Véritable Nom</v>
      </c>
      <c r="IA60" s="744"/>
      <c r="IB60" s="744"/>
      <c r="IC60" s="744"/>
      <c r="ID60" s="744"/>
      <c r="IE60" s="744"/>
      <c r="IF60" s="744"/>
      <c r="IG60" s="744"/>
      <c r="IH60" s="744"/>
      <c r="II60" s="744"/>
      <c r="IJ60" s="744"/>
      <c r="IK60" s="744"/>
      <c r="IL60" s="744"/>
      <c r="IM60" s="744">
        <v>0</v>
      </c>
      <c r="IN60" s="745"/>
      <c r="IO60" s="746" t="str">
        <f>IF(OR($AV$6="O1",$AV$6="O2",$AV$6="O3"),Sorts!AP98,IF(OR($BB$6="O1",$BB$6="O2"),Sorts!AP160,""))</f>
        <v>3''</v>
      </c>
      <c r="IP60" s="747"/>
      <c r="IQ60" s="748" t="str">
        <f>IF(OR($AV$6="O1",$AV$6="O2",$AV$6="O3"),Sorts!AQ98,IF(OR($BB$6="O1",$BB$6="O2"),Sorts!AQ160,""))</f>
        <v>S</v>
      </c>
      <c r="IR60" s="748"/>
      <c r="IS60" s="748"/>
      <c r="IT60" s="57" t="str">
        <f>IF(OR($AV$6="O1",$AV$6="O2",$AV$6="O3"),Sorts!AR98,IF(OR($BB$6="O1",$BB$6="O2"),Sorts!AR160,""))</f>
        <v>X</v>
      </c>
      <c r="IU60" s="57" t="str">
        <f>IF(OR($AV$6="O1",$AV$6="O2",$AV$6="O3"),Sorts!AS98,IF(OR($BB$6="O1",$BB$6="O2"),Sorts!AS160,""))</f>
        <v>X</v>
      </c>
      <c r="IV60" s="58" t="str">
        <f>IF(OR($AV$6="O1",$AV$6="O2",$AV$6="O3"),Sorts!AT98,IF(OR($BB$6="O1",$BB$6="O2"),Sorts!AT160,""))</f>
        <v>/</v>
      </c>
      <c r="IW60" s="60"/>
      <c r="IY60" s="70"/>
      <c r="KX60" s="71"/>
    </row>
    <row r="61" spans="2:310" ht="18" customHeight="1" thickTop="1" thickBot="1" x14ac:dyDescent="0.3">
      <c r="B61" s="4"/>
      <c r="L61" s="533"/>
      <c r="M61" s="533"/>
      <c r="N61" s="533"/>
      <c r="S61" s="533"/>
      <c r="T61" s="533"/>
      <c r="U61" s="533"/>
      <c r="V61" s="533"/>
      <c r="W61" s="533"/>
      <c r="X61" s="533"/>
      <c r="Y61" s="533"/>
      <c r="Z61" s="533"/>
      <c r="AA61" s="533"/>
      <c r="AB61" s="533"/>
      <c r="AC61" s="533"/>
      <c r="AD61" s="533"/>
      <c r="AE61" s="533"/>
      <c r="AO61" s="69"/>
      <c r="AQ61" s="4"/>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69"/>
      <c r="CQ61" s="60"/>
      <c r="CS61" s="56">
        <v>19</v>
      </c>
      <c r="CT61" s="754" t="str">
        <f>IF($AV$4="O",Sorts!Q22,IF($BB$4="O",Sorts!Q46,""))</f>
        <v/>
      </c>
      <c r="CU61" s="754"/>
      <c r="CV61" s="754"/>
      <c r="CW61" s="754"/>
      <c r="CX61" s="754"/>
      <c r="CY61" s="754"/>
      <c r="CZ61" s="754"/>
      <c r="DA61" s="754"/>
      <c r="DB61" s="754"/>
      <c r="DC61" s="754"/>
      <c r="DD61" s="754"/>
      <c r="DE61" s="754"/>
      <c r="DF61" s="755"/>
      <c r="DG61" s="756">
        <v>0</v>
      </c>
      <c r="DH61" s="747"/>
      <c r="DI61" s="748" t="str">
        <f>IF($AV$4="O",Sorts!R22,IF($BB$4="O",Sorts!R46,""))</f>
        <v/>
      </c>
      <c r="DJ61" s="748"/>
      <c r="DK61" s="748"/>
      <c r="DL61" s="748" t="str">
        <f>IF($AV$4="O",Sorts!S22,IF($BB$4="O",Sorts!S46,""))</f>
        <v/>
      </c>
      <c r="DM61" s="748"/>
      <c r="DN61" s="748"/>
      <c r="DO61" s="57" t="str">
        <f>IF($AV$4="O",Sorts!T22,IF($BB$4="O",Sorts!T46,""))</f>
        <v/>
      </c>
      <c r="DP61" s="57" t="str">
        <f>IF($AV$4="O",Sorts!U22,IF($BB$4="O",Sorts!U46,""))</f>
        <v/>
      </c>
      <c r="DQ61" s="58" t="str">
        <f>IF($AV$4="O",Sorts!V22,IF($BB$4="O",Sorts!V46,""))</f>
        <v/>
      </c>
      <c r="DR61" s="57"/>
      <c r="DS61" s="757" t="s">
        <v>1204</v>
      </c>
      <c r="DT61" s="747"/>
      <c r="DU61" s="57">
        <v>19</v>
      </c>
      <c r="DV61" s="758" t="str">
        <f>IF(OR($AV$6="O1",$AV$6="O2",$AV$6="O3"),Sorts!Q93,IF(OR($BB$6="O1",$BB$6="O2"),Sorts!Q155,""))</f>
        <v>Objet</v>
      </c>
      <c r="DW61" s="744"/>
      <c r="DX61" s="744"/>
      <c r="DY61" s="744"/>
      <c r="DZ61" s="744"/>
      <c r="EA61" s="744"/>
      <c r="EB61" s="744"/>
      <c r="EC61" s="744"/>
      <c r="ED61" s="744"/>
      <c r="EE61" s="744"/>
      <c r="EF61" s="744"/>
      <c r="EG61" s="744"/>
      <c r="EH61" s="744"/>
      <c r="EI61" s="744">
        <v>0</v>
      </c>
      <c r="EJ61" s="745"/>
      <c r="EK61" s="746" t="str">
        <f>IF(OR($AV$6="O1",$AV$6="O2",$AV$6="O3"),Sorts!R93,IF(OR($BB$6="O1",$BB$6="O2"),Sorts!R155,""))</f>
        <v>T</v>
      </c>
      <c r="EL61" s="747"/>
      <c r="EM61" s="748" t="str">
        <f>IF(OR($AV$6="O1",$AV$6="O2",$AV$6="O3"),Sorts!S93,IF(OR($BB$6="O1",$BB$6="O2"),Sorts!S155,""))</f>
        <v>6ou24t/n</v>
      </c>
      <c r="EN61" s="748"/>
      <c r="EO61" s="748"/>
      <c r="EP61" s="57" t="str">
        <f>IF(OR($AV$6="O1",$AV$6="O2",$AV$6="O3"),Sorts!T93,IF(OR($BB$6="O1",$BB$6="O2"),Sorts!T155,""))</f>
        <v>X</v>
      </c>
      <c r="EQ61" s="57" t="str">
        <f>IF(OR($AV$6="O1",$AV$6="O2",$AV$6="O3"),Sorts!U93,IF(OR($BB$6="O1",$BB$6="O2"),Sorts!U155,""))</f>
        <v>X</v>
      </c>
      <c r="ER61" s="58" t="str">
        <f>IF(OR($AV$6="O1",$AV$6="O2",$AV$6="O3"),Sorts!V93,IF(OR($BB$6="O1",$BB$6="O2"),Sorts!V155,""))</f>
        <v>X</v>
      </c>
      <c r="ES61" s="60"/>
      <c r="EU61" s="56">
        <v>23</v>
      </c>
      <c r="EV61" s="754"/>
      <c r="EW61" s="754"/>
      <c r="EX61" s="754"/>
      <c r="EY61" s="754"/>
      <c r="EZ61" s="754"/>
      <c r="FA61" s="754"/>
      <c r="FB61" s="754"/>
      <c r="FC61" s="754"/>
      <c r="FD61" s="754"/>
      <c r="FE61" s="754"/>
      <c r="FF61" s="754"/>
      <c r="FG61" s="754"/>
      <c r="FH61" s="755"/>
      <c r="FI61" s="756"/>
      <c r="FJ61" s="747"/>
      <c r="FK61" s="748"/>
      <c r="FL61" s="748"/>
      <c r="FM61" s="748"/>
      <c r="FN61" s="748"/>
      <c r="FO61" s="748"/>
      <c r="FP61" s="748"/>
      <c r="FQ61" s="57"/>
      <c r="FR61" s="57"/>
      <c r="FS61" s="58"/>
      <c r="FT61" s="57"/>
      <c r="FU61" s="757" t="s">
        <v>1204</v>
      </c>
      <c r="FV61" s="747"/>
      <c r="FW61" s="57">
        <v>23</v>
      </c>
      <c r="FX61" s="758" t="str">
        <f>IF(OR($AV$6="O1",$AV$6="O2",$AV$6="O3"),Sorts!AC97,IF(OR($BB$6="O1",$BB$6="O2"),Sorts!AC159,""))</f>
        <v>Nécro-Animation</v>
      </c>
      <c r="FY61" s="744"/>
      <c r="FZ61" s="744"/>
      <c r="GA61" s="744"/>
      <c r="GB61" s="744"/>
      <c r="GC61" s="744"/>
      <c r="GD61" s="744"/>
      <c r="GE61" s="744"/>
      <c r="GF61" s="744"/>
      <c r="GG61" s="744"/>
      <c r="GH61" s="744"/>
      <c r="GI61" s="744"/>
      <c r="GJ61" s="744"/>
      <c r="GK61" s="744">
        <v>0</v>
      </c>
      <c r="GL61" s="745"/>
      <c r="GM61" s="746" t="str">
        <f>IF(OR($AV$6="O1",$AV$6="O2",$AV$6="O3"),Sorts!AD97,IF(OR($BB$6="O1",$BB$6="O2"),Sorts!AD159,""))</f>
        <v>1''</v>
      </c>
      <c r="GN61" s="747"/>
      <c r="GO61" s="748" t="str">
        <f>IF(OR($AV$6="O1",$AV$6="O2",$AV$6="O3"),Sorts!AE97,IF(OR($BB$6="O1",$BB$6="O2"),Sorts!AE159,""))</f>
        <v>P</v>
      </c>
      <c r="GP61" s="748"/>
      <c r="GQ61" s="748"/>
      <c r="GR61" s="57" t="str">
        <f>IF(OR($AV$6="O1",$AV$6="O2",$AV$6="O3"),Sorts!AF97,IF(OR($BB$6="O1",$BB$6="O2"),Sorts!AF159,""))</f>
        <v>X</v>
      </c>
      <c r="GS61" s="57" t="str">
        <f>IF(OR($AV$6="O1",$AV$6="O2",$AV$6="O3"),Sorts!AG97,IF(OR($BB$6="O1",$BB$6="O2"),Sorts!AG159,""))</f>
        <v>X</v>
      </c>
      <c r="GT61" s="58" t="str">
        <f>IF(OR($AV$6="O1",$AV$6="O2",$AV$6="O3"),Sorts!AH97,IF(OR($BB$6="O1",$BB$6="O2"),Sorts!AH159,""))</f>
        <v>X</v>
      </c>
      <c r="GU61" s="60"/>
      <c r="GW61" s="628" t="s">
        <v>269</v>
      </c>
      <c r="GX61" s="629"/>
      <c r="GY61" s="629"/>
      <c r="GZ61" s="629"/>
      <c r="HA61" s="629"/>
      <c r="HB61" s="629"/>
      <c r="HC61" s="629"/>
      <c r="HD61" s="629"/>
      <c r="HE61" s="629"/>
      <c r="HF61" s="629"/>
      <c r="HG61" s="629"/>
      <c r="HH61" s="629"/>
      <c r="HI61" s="629"/>
      <c r="HJ61" s="629"/>
      <c r="HK61" s="629"/>
      <c r="HL61" s="629"/>
      <c r="HM61" s="629"/>
      <c r="HN61" s="629"/>
      <c r="HO61" s="629"/>
      <c r="HP61" s="629"/>
      <c r="HQ61" s="629"/>
      <c r="HR61" s="629"/>
      <c r="HS61" s="629"/>
      <c r="HT61" s="629"/>
      <c r="HU61" s="629"/>
      <c r="HV61" s="629"/>
      <c r="HW61" s="629"/>
      <c r="HX61" s="629"/>
      <c r="HY61" s="629"/>
      <c r="HZ61" s="629"/>
      <c r="IA61" s="629"/>
      <c r="IB61" s="629"/>
      <c r="IC61" s="629"/>
      <c r="ID61" s="629"/>
      <c r="IE61" s="629"/>
      <c r="IF61" s="629"/>
      <c r="IG61" s="629"/>
      <c r="IH61" s="629"/>
      <c r="II61" s="629"/>
      <c r="IJ61" s="629"/>
      <c r="IK61" s="629"/>
      <c r="IL61" s="629"/>
      <c r="IM61" s="629"/>
      <c r="IN61" s="629"/>
      <c r="IO61" s="629"/>
      <c r="IP61" s="629"/>
      <c r="IQ61" s="629"/>
      <c r="IR61" s="629"/>
      <c r="IS61" s="629"/>
      <c r="IT61" s="629"/>
      <c r="IU61" s="629"/>
      <c r="IV61" s="749"/>
      <c r="IW61" s="60"/>
      <c r="IY61" s="70"/>
      <c r="KX61" s="71"/>
    </row>
    <row r="62" spans="2:310" ht="18" customHeight="1" thickTop="1" x14ac:dyDescent="0.25">
      <c r="B62" s="4"/>
      <c r="H62" s="535"/>
      <c r="I62" s="535"/>
      <c r="J62" s="535"/>
      <c r="L62" s="533"/>
      <c r="M62" s="533"/>
      <c r="N62" s="533"/>
      <c r="O62" s="533"/>
      <c r="P62" s="533"/>
      <c r="Q62" s="533"/>
      <c r="R62" s="533"/>
      <c r="S62" s="533"/>
      <c r="T62" s="533"/>
      <c r="U62" s="533"/>
      <c r="V62" s="533"/>
      <c r="W62" s="533"/>
      <c r="X62" s="533"/>
      <c r="Y62" s="533"/>
      <c r="Z62" s="533"/>
      <c r="AA62" s="533"/>
      <c r="AB62" s="533"/>
      <c r="AC62" s="533"/>
      <c r="AD62" s="533"/>
      <c r="AE62" s="533"/>
      <c r="AO62" s="69"/>
      <c r="AQ62" s="4"/>
      <c r="AR62" s="7"/>
      <c r="AS62" s="7"/>
      <c r="AT62" s="7"/>
      <c r="AU62" s="7"/>
      <c r="AV62" s="7"/>
      <c r="AW62" s="7"/>
      <c r="AX62" s="7"/>
      <c r="AY62" s="7"/>
      <c r="AZ62" s="660"/>
      <c r="BA62" s="660"/>
      <c r="BB62" s="7"/>
      <c r="BC62" s="7"/>
      <c r="BD62" s="7"/>
      <c r="BE62" s="7"/>
      <c r="BF62" s="660"/>
      <c r="BG62" s="660"/>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69"/>
      <c r="CQ62" s="60"/>
      <c r="CS62" s="56">
        <v>20</v>
      </c>
      <c r="CT62" s="754" t="str">
        <f>IF($AV$4="O",Sorts!Q23,IF($BB$4="O",Sorts!Q47,""))</f>
        <v/>
      </c>
      <c r="CU62" s="754"/>
      <c r="CV62" s="754"/>
      <c r="CW62" s="754"/>
      <c r="CX62" s="754"/>
      <c r="CY62" s="754"/>
      <c r="CZ62" s="754"/>
      <c r="DA62" s="754"/>
      <c r="DB62" s="754"/>
      <c r="DC62" s="754"/>
      <c r="DD62" s="754"/>
      <c r="DE62" s="754"/>
      <c r="DF62" s="755"/>
      <c r="DG62" s="756">
        <v>0</v>
      </c>
      <c r="DH62" s="747"/>
      <c r="DI62" s="748" t="str">
        <f>IF($AV$4="O",Sorts!R23,IF($BB$4="O",Sorts!R47,""))</f>
        <v/>
      </c>
      <c r="DJ62" s="748"/>
      <c r="DK62" s="748"/>
      <c r="DL62" s="748" t="str">
        <f>IF($AV$4="O",Sorts!S23,IF($BB$4="O",Sorts!S47,""))</f>
        <v/>
      </c>
      <c r="DM62" s="748"/>
      <c r="DN62" s="748"/>
      <c r="DO62" s="57" t="str">
        <f>IF($AV$4="O",Sorts!T23,IF($BB$4="O",Sorts!T47,""))</f>
        <v/>
      </c>
      <c r="DP62" s="57" t="str">
        <f>IF($AV$4="O",Sorts!U23,IF($BB$4="O",Sorts!U47,""))</f>
        <v/>
      </c>
      <c r="DQ62" s="58" t="str">
        <f>IF($AV$4="O",Sorts!V23,IF($BB$4="O",Sorts!V47,""))</f>
        <v/>
      </c>
      <c r="DR62" s="57"/>
      <c r="DS62" s="757" t="s">
        <v>1204</v>
      </c>
      <c r="DT62" s="747"/>
      <c r="DU62" s="57">
        <v>20</v>
      </c>
      <c r="DV62" s="758" t="str">
        <f>IF(OR($AV$6="O1",$AV$6="O2",$AV$6="O3"),Sorts!Q94,IF(OR($BB$6="O1",$BB$6="O2"),Sorts!Q156,""))</f>
        <v>Page Secrète</v>
      </c>
      <c r="DW62" s="744"/>
      <c r="DX62" s="744"/>
      <c r="DY62" s="744"/>
      <c r="DZ62" s="744"/>
      <c r="EA62" s="744"/>
      <c r="EB62" s="744"/>
      <c r="EC62" s="744"/>
      <c r="ED62" s="744"/>
      <c r="EE62" s="744"/>
      <c r="EF62" s="744"/>
      <c r="EG62" s="744"/>
      <c r="EH62" s="744"/>
      <c r="EI62" s="744">
        <v>0</v>
      </c>
      <c r="EJ62" s="745"/>
      <c r="EK62" s="746" t="str">
        <f>IF(OR($AV$6="O1",$AV$6="O2",$AV$6="O3"),Sorts!R94,IF(OR($BB$6="O1",$BB$6="O2"),Sorts!R156,""))</f>
        <v>T</v>
      </c>
      <c r="EL62" s="747"/>
      <c r="EM62" s="748" t="str">
        <f>IF(OR($AV$6="O1",$AV$6="O2",$AV$6="O3"),Sorts!S94,IF(OR($BB$6="O1",$BB$6="O2"),Sorts!S156,""))</f>
        <v>Diss</v>
      </c>
      <c r="EN62" s="748"/>
      <c r="EO62" s="748"/>
      <c r="EP62" s="57" t="str">
        <f>IF(OR($AV$6="O1",$AV$6="O2",$AV$6="O3"),Sorts!T94,IF(OR($BB$6="O1",$BB$6="O2"),Sorts!T156,""))</f>
        <v>X</v>
      </c>
      <c r="EQ62" s="57" t="str">
        <f>IF(OR($AV$6="O1",$AV$6="O2",$AV$6="O3"),Sorts!U94,IF(OR($BB$6="O1",$BB$6="O2"),Sorts!U156,""))</f>
        <v>X</v>
      </c>
      <c r="ER62" s="58" t="str">
        <f>IF(OR($AV$6="O1",$AV$6="O2",$AV$6="O3"),Sorts!V94,IF(OR($BB$6="O1",$BB$6="O2"),Sorts!V156,""))</f>
        <v>X</v>
      </c>
      <c r="ES62" s="60"/>
      <c r="EU62" s="56">
        <v>24</v>
      </c>
      <c r="EV62" s="754"/>
      <c r="EW62" s="754"/>
      <c r="EX62" s="754"/>
      <c r="EY62" s="754"/>
      <c r="EZ62" s="754"/>
      <c r="FA62" s="754"/>
      <c r="FB62" s="754"/>
      <c r="FC62" s="754"/>
      <c r="FD62" s="754"/>
      <c r="FE62" s="754"/>
      <c r="FF62" s="754"/>
      <c r="FG62" s="754"/>
      <c r="FH62" s="755"/>
      <c r="FI62" s="756"/>
      <c r="FJ62" s="747"/>
      <c r="FK62" s="748"/>
      <c r="FL62" s="748"/>
      <c r="FM62" s="748"/>
      <c r="FN62" s="748"/>
      <c r="FO62" s="748"/>
      <c r="FP62" s="748"/>
      <c r="FQ62" s="57"/>
      <c r="FR62" s="57"/>
      <c r="FS62" s="58"/>
      <c r="FT62" s="57"/>
      <c r="FU62" s="757" t="s">
        <v>1204</v>
      </c>
      <c r="FV62" s="747"/>
      <c r="FW62" s="57">
        <v>24</v>
      </c>
      <c r="FX62" s="758" t="str">
        <f>IF(OR($AV$6="O1",$AV$6="O2",$AV$6="O3"),Sorts!AC98,IF(OR($BB$6="O1",$BB$6="O2"),Sorts!AC160,""))</f>
        <v>Nuage Létal</v>
      </c>
      <c r="FY62" s="744"/>
      <c r="FZ62" s="744"/>
      <c r="GA62" s="744"/>
      <c r="GB62" s="744"/>
      <c r="GC62" s="744"/>
      <c r="GD62" s="744"/>
      <c r="GE62" s="744"/>
      <c r="GF62" s="744"/>
      <c r="GG62" s="744"/>
      <c r="GH62" s="744"/>
      <c r="GI62" s="744"/>
      <c r="GJ62" s="744"/>
      <c r="GK62" s="744">
        <v>0</v>
      </c>
      <c r="GL62" s="745"/>
      <c r="GM62" s="746" t="str">
        <f>IF(OR($AV$6="O1",$AV$6="O2",$AV$6="O3"),Sorts!AD98,IF(OR($BB$6="O1",$BB$6="O2"),Sorts!AD160,""))</f>
        <v>1''</v>
      </c>
      <c r="GN62" s="747"/>
      <c r="GO62" s="748" t="str">
        <f>IF(OR($AV$6="O1",$AV$6="O2",$AV$6="O3"),Sorts!AE98,IF(OR($BB$6="O1",$BB$6="O2"),Sorts!AE160,""))</f>
        <v>1r/n</v>
      </c>
      <c r="GP62" s="748"/>
      <c r="GQ62" s="748"/>
      <c r="GR62" s="57" t="str">
        <f>IF(OR($AV$6="O1",$AV$6="O2",$AV$6="O3"),Sorts!AF98,IF(OR($BB$6="O1",$BB$6="O2"),Sorts!AF160,""))</f>
        <v>X</v>
      </c>
      <c r="GS62" s="57" t="str">
        <f>IF(OR($AV$6="O1",$AV$6="O2",$AV$6="O3"),Sorts!AG98,IF(OR($BB$6="O1",$BB$6="O2"),Sorts!AG160,""))</f>
        <v>X</v>
      </c>
      <c r="GT62" s="58" t="str">
        <f>IF(OR($AV$6="O1",$AV$6="O2",$AV$6="O3"),Sorts!AH98,IF(OR($BB$6="O1",$BB$6="O2"),Sorts!AH160,""))</f>
        <v>/</v>
      </c>
      <c r="GU62" s="60"/>
      <c r="GW62" s="70"/>
      <c r="IV62" s="71"/>
      <c r="IW62" s="60"/>
      <c r="IY62" s="70"/>
      <c r="KX62" s="71"/>
    </row>
    <row r="63" spans="2:310" ht="18" customHeight="1" x14ac:dyDescent="0.25">
      <c r="B63" s="4"/>
      <c r="G63" s="535"/>
      <c r="H63" s="535"/>
      <c r="I63" s="535"/>
      <c r="J63" s="535"/>
      <c r="L63" s="533"/>
      <c r="M63" s="533"/>
      <c r="N63" s="533"/>
      <c r="O63" s="533"/>
      <c r="P63" s="533"/>
      <c r="Q63" s="533"/>
      <c r="R63" s="533"/>
      <c r="S63" s="533"/>
      <c r="T63" s="533"/>
      <c r="U63" s="533"/>
      <c r="V63" s="5"/>
      <c r="W63" s="5"/>
      <c r="X63" s="533"/>
      <c r="Y63" s="533"/>
      <c r="Z63" s="533"/>
      <c r="AA63" s="533"/>
      <c r="AB63" s="533"/>
      <c r="AC63" s="533"/>
      <c r="AD63" s="533"/>
      <c r="AE63" s="533"/>
      <c r="AO63" s="69"/>
      <c r="AQ63" s="4"/>
      <c r="AR63" s="7"/>
      <c r="AS63" s="7"/>
      <c r="AT63" s="7"/>
      <c r="AU63" s="7"/>
      <c r="AV63" s="7"/>
      <c r="AW63" s="7"/>
      <c r="AX63" s="7"/>
      <c r="AY63" s="7"/>
      <c r="AZ63" s="660"/>
      <c r="BA63" s="660"/>
      <c r="BB63" s="7"/>
      <c r="BC63" s="7"/>
      <c r="BD63" s="7"/>
      <c r="BE63" s="7"/>
      <c r="BF63" s="660"/>
      <c r="BG63" s="660"/>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69"/>
      <c r="CQ63" s="60"/>
      <c r="CS63" s="56">
        <v>21</v>
      </c>
      <c r="CT63" s="754"/>
      <c r="CU63" s="754"/>
      <c r="CV63" s="754"/>
      <c r="CW63" s="754"/>
      <c r="CX63" s="754"/>
      <c r="CY63" s="754"/>
      <c r="CZ63" s="754"/>
      <c r="DA63" s="754"/>
      <c r="DB63" s="754"/>
      <c r="DC63" s="754"/>
      <c r="DD63" s="754"/>
      <c r="DE63" s="754"/>
      <c r="DF63" s="755"/>
      <c r="DG63" s="756">
        <v>0</v>
      </c>
      <c r="DH63" s="747"/>
      <c r="DI63" s="748"/>
      <c r="DJ63" s="748"/>
      <c r="DK63" s="748"/>
      <c r="DL63" s="748"/>
      <c r="DM63" s="748"/>
      <c r="DN63" s="748"/>
      <c r="DO63" s="57"/>
      <c r="DP63" s="57"/>
      <c r="DQ63" s="58"/>
      <c r="DR63" s="57"/>
      <c r="DS63" s="757" t="s">
        <v>1204</v>
      </c>
      <c r="DT63" s="747"/>
      <c r="DU63" s="57">
        <v>21</v>
      </c>
      <c r="DV63" s="758" t="str">
        <f>IF(OR($AV$6="O1",$AV$6="O2",$AV$6="O3"),Sorts!Q95,IF(OR($BB$6="O1",$BB$6="O2"),Sorts!Q157,""))</f>
        <v>Paralysie</v>
      </c>
      <c r="DW63" s="744"/>
      <c r="DX63" s="744"/>
      <c r="DY63" s="744"/>
      <c r="DZ63" s="744"/>
      <c r="EA63" s="744"/>
      <c r="EB63" s="744"/>
      <c r="EC63" s="744"/>
      <c r="ED63" s="744"/>
      <c r="EE63" s="744"/>
      <c r="EF63" s="744"/>
      <c r="EG63" s="744"/>
      <c r="EH63" s="744"/>
      <c r="EI63" s="744">
        <v>0</v>
      </c>
      <c r="EJ63" s="745"/>
      <c r="EK63" s="746" t="str">
        <f>IF(OR($AV$6="O1",$AV$6="O2",$AV$6="O3"),Sorts!R95,IF(OR($BB$6="O1",$BB$6="O2"),Sorts!R157,""))</f>
        <v>12''</v>
      </c>
      <c r="EL63" s="747"/>
      <c r="EM63" s="748" t="str">
        <f>IF(OR($AV$6="O1",$AV$6="O2",$AV$6="O3"),Sorts!S95,IF(OR($BB$6="O1",$BB$6="O2"),Sorts!S157,""))</f>
        <v>2r/n</v>
      </c>
      <c r="EN63" s="748"/>
      <c r="EO63" s="748"/>
      <c r="EP63" s="57" t="str">
        <f>IF(OR($AV$6="O1",$AV$6="O2",$AV$6="O3"),Sorts!T95,IF(OR($BB$6="O1",$BB$6="O2"),Sorts!T157,""))</f>
        <v>X</v>
      </c>
      <c r="EQ63" s="57" t="str">
        <f>IF(OR($AV$6="O1",$AV$6="O2",$AV$6="O3"),Sorts!U95,IF(OR($BB$6="O1",$BB$6="O2"),Sorts!U157,""))</f>
        <v>/</v>
      </c>
      <c r="ER63" s="58" t="str">
        <f>IF(OR($AV$6="O1",$AV$6="O2",$AV$6="O3"),Sorts!V95,IF(OR($BB$6="O1",$BB$6="O2"),Sorts!V157,""))</f>
        <v>/</v>
      </c>
      <c r="ES63" s="60"/>
      <c r="EU63" s="56">
        <v>25</v>
      </c>
      <c r="EV63" s="754"/>
      <c r="EW63" s="754"/>
      <c r="EX63" s="754"/>
      <c r="EY63" s="754"/>
      <c r="EZ63" s="754"/>
      <c r="FA63" s="754"/>
      <c r="FB63" s="754"/>
      <c r="FC63" s="754"/>
      <c r="FD63" s="754"/>
      <c r="FE63" s="754"/>
      <c r="FF63" s="754"/>
      <c r="FG63" s="754"/>
      <c r="FH63" s="755"/>
      <c r="FI63" s="756"/>
      <c r="FJ63" s="747"/>
      <c r="FK63" s="748"/>
      <c r="FL63" s="748"/>
      <c r="FM63" s="748"/>
      <c r="FN63" s="748"/>
      <c r="FO63" s="748"/>
      <c r="FP63" s="748"/>
      <c r="FQ63" s="57"/>
      <c r="FR63" s="57"/>
      <c r="FS63" s="58"/>
      <c r="FT63" s="57"/>
      <c r="FU63" s="757" t="s">
        <v>1204</v>
      </c>
      <c r="FV63" s="747"/>
      <c r="FW63" s="57">
        <v>25</v>
      </c>
      <c r="FX63" s="758" t="str">
        <f>IF(OR($AV$6="O1",$AV$6="O2",$AV$6="O3"),Sorts!AC99,IF(OR($BB$6="O1",$BB$6="O2"),Sorts!AC161,""))</f>
        <v>Paralysie des Monstres</v>
      </c>
      <c r="FY63" s="744"/>
      <c r="FZ63" s="744"/>
      <c r="GA63" s="744"/>
      <c r="GB63" s="744"/>
      <c r="GC63" s="744"/>
      <c r="GD63" s="744"/>
      <c r="GE63" s="744"/>
      <c r="GF63" s="744"/>
      <c r="GG63" s="744"/>
      <c r="GH63" s="744"/>
      <c r="GI63" s="744"/>
      <c r="GJ63" s="744"/>
      <c r="GK63" s="744">
        <v>0</v>
      </c>
      <c r="GL63" s="745"/>
      <c r="GM63" s="746" t="str">
        <f>IF(OR($AV$6="O1",$AV$6="O2",$AV$6="O3"),Sorts!AD99,IF(OR($BB$6="O1",$BB$6="O2"),Sorts!AD161,""))</f>
        <v>0,5''/n</v>
      </c>
      <c r="GN63" s="747"/>
      <c r="GO63" s="748" t="str">
        <f>IF(OR($AV$6="O1",$AV$6="O2",$AV$6="O3"),Sorts!AE99,IF(OR($BB$6="O1",$BB$6="O2"),Sorts!AE161,""))</f>
        <v>1r/n</v>
      </c>
      <c r="GP63" s="748"/>
      <c r="GQ63" s="748"/>
      <c r="GR63" s="57" t="str">
        <f>IF(OR($AV$6="O1",$AV$6="O2",$AV$6="O3"),Sorts!AF99,IF(OR($BB$6="O1",$BB$6="O2"),Sorts!AF161,""))</f>
        <v>X</v>
      </c>
      <c r="GS63" s="57" t="str">
        <f>IF(OR($AV$6="O1",$AV$6="O2",$AV$6="O3"),Sorts!AG99,IF(OR($BB$6="O1",$BB$6="O2"),Sorts!AG161,""))</f>
        <v>X</v>
      </c>
      <c r="GT63" s="58" t="str">
        <f>IF(OR($AV$6="O1",$AV$6="O2",$AV$6="O3"),Sorts!AH99,IF(OR($BB$6="O1",$BB$6="O2"),Sorts!AH161,""))</f>
        <v>X</v>
      </c>
      <c r="GU63" s="60"/>
      <c r="GW63" s="70"/>
      <c r="IV63" s="71"/>
      <c r="IW63" s="60"/>
      <c r="IY63" s="70"/>
      <c r="KX63" s="71"/>
    </row>
    <row r="64" spans="2:310" ht="18" customHeight="1" thickBot="1" x14ac:dyDescent="0.3">
      <c r="B64" s="76"/>
      <c r="C64" s="24"/>
      <c r="D64" s="24"/>
      <c r="E64" s="24"/>
      <c r="F64" s="24"/>
      <c r="G64" s="24"/>
      <c r="H64" s="24"/>
      <c r="I64" s="24"/>
      <c r="J64" s="24"/>
      <c r="K64" s="24"/>
      <c r="L64" s="24"/>
      <c r="M64" s="24"/>
      <c r="N64" s="24"/>
      <c r="O64" s="24"/>
      <c r="P64" s="24"/>
      <c r="Q64" s="24"/>
      <c r="R64" s="24"/>
      <c r="S64" s="24"/>
      <c r="T64" s="24"/>
      <c r="U64" s="24"/>
      <c r="V64" s="24"/>
      <c r="W64" s="24"/>
      <c r="X64" s="24"/>
      <c r="Y64" s="24"/>
      <c r="Z64" s="24"/>
      <c r="AA64" s="24"/>
      <c r="AB64" s="24"/>
      <c r="AC64" s="24"/>
      <c r="AD64" s="24"/>
      <c r="AE64" s="24"/>
      <c r="AF64" s="24"/>
      <c r="AG64" s="24"/>
      <c r="AH64" s="24"/>
      <c r="AI64" s="24"/>
      <c r="AJ64" s="24"/>
      <c r="AK64" s="24"/>
      <c r="AL64" s="24"/>
      <c r="AM64" s="24"/>
      <c r="AN64" s="24"/>
      <c r="AO64" s="72"/>
      <c r="AQ64" s="4"/>
      <c r="AR64" s="7"/>
      <c r="AS64" s="7"/>
      <c r="AT64" s="7"/>
      <c r="AU64" s="7"/>
      <c r="AV64" s="7"/>
      <c r="AW64" s="7"/>
      <c r="AX64" s="7"/>
      <c r="AY64" s="7"/>
      <c r="AZ64" s="660"/>
      <c r="BA64" s="660"/>
      <c r="BB64" s="7"/>
      <c r="BC64" s="7"/>
      <c r="BD64" s="7"/>
      <c r="BE64" s="7"/>
      <c r="BF64" s="660"/>
      <c r="BG64" s="660"/>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69"/>
      <c r="CQ64" s="25"/>
      <c r="CS64" s="56">
        <v>22</v>
      </c>
      <c r="CT64" s="754"/>
      <c r="CU64" s="754"/>
      <c r="CV64" s="754"/>
      <c r="CW64" s="754"/>
      <c r="CX64" s="754"/>
      <c r="CY64" s="754"/>
      <c r="CZ64" s="754"/>
      <c r="DA64" s="754"/>
      <c r="DB64" s="754"/>
      <c r="DC64" s="754"/>
      <c r="DD64" s="754"/>
      <c r="DE64" s="754"/>
      <c r="DF64" s="755"/>
      <c r="DG64" s="756">
        <v>0</v>
      </c>
      <c r="DH64" s="747"/>
      <c r="DI64" s="748"/>
      <c r="DJ64" s="748"/>
      <c r="DK64" s="748"/>
      <c r="DL64" s="748"/>
      <c r="DM64" s="748"/>
      <c r="DN64" s="748"/>
      <c r="DO64" s="57"/>
      <c r="DP64" s="57"/>
      <c r="DQ64" s="58"/>
      <c r="DR64" s="57"/>
      <c r="DS64" s="757" t="s">
        <v>1204</v>
      </c>
      <c r="DT64" s="747"/>
      <c r="DU64" s="57">
        <v>22</v>
      </c>
      <c r="DV64" s="758" t="str">
        <f>IF(OR($AV$6="O1",$AV$6="O2",$AV$6="O3"),Sorts!Q96,IF(OR($BB$6="O1",$BB$6="O2"),Sorts!Q158,""))</f>
        <v>Protection contre le Mal sur 3 mètres</v>
      </c>
      <c r="DW64" s="744"/>
      <c r="DX64" s="744"/>
      <c r="DY64" s="744"/>
      <c r="DZ64" s="744"/>
      <c r="EA64" s="744"/>
      <c r="EB64" s="744"/>
      <c r="EC64" s="744"/>
      <c r="ED64" s="744"/>
      <c r="EE64" s="744"/>
      <c r="EF64" s="744"/>
      <c r="EG64" s="744"/>
      <c r="EH64" s="744"/>
      <c r="EI64" s="744">
        <v>0</v>
      </c>
      <c r="EJ64" s="745"/>
      <c r="EK64" s="746" t="str">
        <f>IF(OR($AV$6="O1",$AV$6="O2",$AV$6="O3"),Sorts!R96,IF(OR($BB$6="O1",$BB$6="O2"),Sorts!R158,""))</f>
        <v>T</v>
      </c>
      <c r="EL64" s="747"/>
      <c r="EM64" s="748" t="str">
        <f>IF(OR($AV$6="O1",$AV$6="O2",$AV$6="O3"),Sorts!S96,IF(OR($BB$6="O1",$BB$6="O2"),Sorts!S158,""))</f>
        <v>2r/n</v>
      </c>
      <c r="EN64" s="748"/>
      <c r="EO64" s="748"/>
      <c r="EP64" s="57" t="str">
        <f>IF(OR($AV$6="O1",$AV$6="O2",$AV$6="O3"),Sorts!T96,IF(OR($BB$6="O1",$BB$6="O2"),Sorts!T158,""))</f>
        <v>X</v>
      </c>
      <c r="EQ64" s="57" t="str">
        <f>IF(OR($AV$6="O1",$AV$6="O2",$AV$6="O3"),Sorts!U96,IF(OR($BB$6="O1",$BB$6="O2"),Sorts!U158,""))</f>
        <v>X</v>
      </c>
      <c r="ER64" s="58" t="str">
        <f>IF(OR($AV$6="O1",$AV$6="O2",$AV$6="O3"),Sorts!V96,IF(OR($BB$6="O1",$BB$6="O2"),Sorts!V158,""))</f>
        <v>X</v>
      </c>
      <c r="ES64" s="25"/>
      <c r="EU64" s="56">
        <v>26</v>
      </c>
      <c r="EV64" s="754"/>
      <c r="EW64" s="754"/>
      <c r="EX64" s="754"/>
      <c r="EY64" s="754"/>
      <c r="EZ64" s="754"/>
      <c r="FA64" s="754"/>
      <c r="FB64" s="754"/>
      <c r="FC64" s="754"/>
      <c r="FD64" s="754"/>
      <c r="FE64" s="754"/>
      <c r="FF64" s="754"/>
      <c r="FG64" s="754"/>
      <c r="FH64" s="755"/>
      <c r="FI64" s="756"/>
      <c r="FJ64" s="747"/>
      <c r="FK64" s="748"/>
      <c r="FL64" s="748"/>
      <c r="FM64" s="748"/>
      <c r="FN64" s="748"/>
      <c r="FO64" s="748"/>
      <c r="FP64" s="748"/>
      <c r="FQ64" s="57"/>
      <c r="FR64" s="57"/>
      <c r="FS64" s="58"/>
      <c r="FT64" s="57"/>
      <c r="FU64" s="757" t="s">
        <v>1204</v>
      </c>
      <c r="FV64" s="747"/>
      <c r="FW64" s="57">
        <v>26</v>
      </c>
      <c r="FX64" s="758" t="str">
        <f>IF(OR($AV$6="O1",$AV$6="O2",$AV$6="O3"),Sorts!AC100,IF(OR($BB$6="O1",$BB$6="O2"),Sorts!AC162,""))</f>
        <v>Passe-Muraille</v>
      </c>
      <c r="FY64" s="744"/>
      <c r="FZ64" s="744"/>
      <c r="GA64" s="744"/>
      <c r="GB64" s="744"/>
      <c r="GC64" s="744"/>
      <c r="GD64" s="744"/>
      <c r="GE64" s="744"/>
      <c r="GF64" s="744"/>
      <c r="GG64" s="744"/>
      <c r="GH64" s="744"/>
      <c r="GI64" s="744"/>
      <c r="GJ64" s="744"/>
      <c r="GK64" s="744">
        <v>0</v>
      </c>
      <c r="GL64" s="745"/>
      <c r="GM64" s="746" t="str">
        <f>IF(OR($AV$6="O1",$AV$6="O2",$AV$6="O3"),Sorts!AD100,IF(OR($BB$6="O1",$BB$6="O2"),Sorts!AD162,""))</f>
        <v>3''</v>
      </c>
      <c r="GN64" s="747"/>
      <c r="GO64" s="748" t="str">
        <f>IF(OR($AV$6="O1",$AV$6="O2",$AV$6="O3"),Sorts!AE100,IF(OR($BB$6="O1",$BB$6="O2"),Sorts!AE162,""))</f>
        <v>6t+1t/n</v>
      </c>
      <c r="GP64" s="748"/>
      <c r="GQ64" s="748"/>
      <c r="GR64" s="57" t="str">
        <f>IF(OR($AV$6="O1",$AV$6="O2",$AV$6="O3"),Sorts!AF100,IF(OR($BB$6="O1",$BB$6="O2"),Sorts!AF162,""))</f>
        <v>X</v>
      </c>
      <c r="GS64" s="57" t="str">
        <f>IF(OR($AV$6="O1",$AV$6="O2",$AV$6="O3"),Sorts!AG100,IF(OR($BB$6="O1",$BB$6="O2"),Sorts!AG162,""))</f>
        <v>X</v>
      </c>
      <c r="GT64" s="58" t="str">
        <f>IF(OR($AV$6="O1",$AV$6="O2",$AV$6="O3"),Sorts!AH100,IF(OR($BB$6="O1",$BB$6="O2"),Sorts!AH162,""))</f>
        <v>X</v>
      </c>
      <c r="GU64" s="25"/>
      <c r="GW64" s="70"/>
      <c r="IV64" s="71"/>
      <c r="IW64" s="25"/>
      <c r="IY64" s="70"/>
      <c r="KX64" s="71"/>
    </row>
    <row r="65" spans="2:310" ht="18" customHeight="1" thickTop="1" thickBot="1" x14ac:dyDescent="0.3">
      <c r="AQ65" s="4"/>
      <c r="AR65" s="7"/>
      <c r="AS65" s="7"/>
      <c r="AT65" s="7"/>
      <c r="AU65" s="7"/>
      <c r="AV65" s="7"/>
      <c r="AW65" s="7"/>
      <c r="AX65" s="7"/>
      <c r="AY65" s="7"/>
      <c r="AZ65" s="660"/>
      <c r="BA65" s="660"/>
      <c r="BB65" s="7"/>
      <c r="BC65" s="7"/>
      <c r="BD65" s="7"/>
      <c r="BE65" s="7"/>
      <c r="BF65" s="660"/>
      <c r="BG65" s="660"/>
      <c r="BH65" s="7"/>
      <c r="BI65" s="7"/>
      <c r="BJ65" s="7"/>
      <c r="BK65" s="7"/>
      <c r="BL65" s="7"/>
      <c r="BM65" s="7"/>
      <c r="BN65" s="7"/>
      <c r="BO65" s="7"/>
      <c r="BP65" s="7"/>
      <c r="BQ65" s="7"/>
      <c r="BR65" s="7"/>
      <c r="BS65" s="7"/>
      <c r="BT65" s="7"/>
      <c r="BU65" s="7"/>
      <c r="BV65" s="7"/>
      <c r="BW65" s="7"/>
      <c r="BX65" s="7"/>
      <c r="BY65" s="7"/>
      <c r="BZ65" s="7"/>
      <c r="CA65" s="7"/>
      <c r="CB65" s="7"/>
      <c r="CC65" s="7"/>
      <c r="CD65" s="7"/>
      <c r="CE65" s="7"/>
      <c r="CF65" s="7"/>
      <c r="CG65" s="7"/>
      <c r="CH65" s="7"/>
      <c r="CI65" s="7"/>
      <c r="CJ65" s="7"/>
      <c r="CK65" s="7"/>
      <c r="CL65" s="7"/>
      <c r="CM65" s="7"/>
      <c r="CN65" s="7"/>
      <c r="CO65" s="7"/>
      <c r="CP65" s="69"/>
      <c r="CQ65" s="60"/>
      <c r="CS65" s="56">
        <v>23</v>
      </c>
      <c r="CT65" s="754"/>
      <c r="CU65" s="754"/>
      <c r="CV65" s="754"/>
      <c r="CW65" s="754"/>
      <c r="CX65" s="754"/>
      <c r="CY65" s="754"/>
      <c r="CZ65" s="754"/>
      <c r="DA65" s="754"/>
      <c r="DB65" s="754"/>
      <c r="DC65" s="754"/>
      <c r="DD65" s="754"/>
      <c r="DE65" s="754"/>
      <c r="DF65" s="755"/>
      <c r="DG65" s="756">
        <v>0</v>
      </c>
      <c r="DH65" s="747"/>
      <c r="DI65" s="748"/>
      <c r="DJ65" s="748"/>
      <c r="DK65" s="748"/>
      <c r="DL65" s="748"/>
      <c r="DM65" s="748"/>
      <c r="DN65" s="748"/>
      <c r="DO65" s="57"/>
      <c r="DP65" s="57"/>
      <c r="DQ65" s="58"/>
      <c r="DR65" s="57"/>
      <c r="DS65" s="757" t="s">
        <v>1204</v>
      </c>
      <c r="DT65" s="747"/>
      <c r="DU65" s="57">
        <v>23</v>
      </c>
      <c r="DV65" s="758" t="str">
        <f>IF(OR($AV$6="O1",$AV$6="O2",$AV$6="O3"),Sorts!Q97,IF(OR($BB$6="O1",$BB$6="O2"),Sorts!Q159,""))</f>
        <v>Protection contre les Projectiles Normaux</v>
      </c>
      <c r="DW65" s="744"/>
      <c r="DX65" s="744"/>
      <c r="DY65" s="744"/>
      <c r="DZ65" s="744"/>
      <c r="EA65" s="744"/>
      <c r="EB65" s="744"/>
      <c r="EC65" s="744"/>
      <c r="ED65" s="744"/>
      <c r="EE65" s="744"/>
      <c r="EF65" s="744"/>
      <c r="EG65" s="744"/>
      <c r="EH65" s="744"/>
      <c r="EI65" s="744">
        <v>0</v>
      </c>
      <c r="EJ65" s="745"/>
      <c r="EK65" s="746" t="str">
        <f>IF(OR($AV$6="O1",$AV$6="O2",$AV$6="O3"),Sorts!R97,IF(OR($BB$6="O1",$BB$6="O2"),Sorts!R159,""))</f>
        <v>T</v>
      </c>
      <c r="EL65" s="747"/>
      <c r="EM65" s="748" t="str">
        <f>IF(OR($AV$6="O1",$AV$6="O2",$AV$6="O3"),Sorts!S97,IF(OR($BB$6="O1",$BB$6="O2"),Sorts!S159,""))</f>
        <v>1r/n</v>
      </c>
      <c r="EN65" s="748"/>
      <c r="EO65" s="748"/>
      <c r="EP65" s="57" t="str">
        <f>IF(OR($AV$6="O1",$AV$6="O2",$AV$6="O3"),Sorts!T97,IF(OR($BB$6="O1",$BB$6="O2"),Sorts!T159,""))</f>
        <v>X</v>
      </c>
      <c r="EQ65" s="57" t="str">
        <f>IF(OR($AV$6="O1",$AV$6="O2",$AV$6="O3"),Sorts!U97,IF(OR($BB$6="O1",$BB$6="O2"),Sorts!U159,""))</f>
        <v>X</v>
      </c>
      <c r="ER65" s="58" t="str">
        <f>IF(OR($AV$6="O1",$AV$6="O2",$AV$6="O3"),Sorts!V97,IF(OR($BB$6="O1",$BB$6="O2"),Sorts!V159,""))</f>
        <v>X</v>
      </c>
      <c r="ES65" s="60"/>
      <c r="EU65" s="56">
        <v>27</v>
      </c>
      <c r="EV65" s="754"/>
      <c r="EW65" s="754"/>
      <c r="EX65" s="754"/>
      <c r="EY65" s="754"/>
      <c r="EZ65" s="754"/>
      <c r="FA65" s="754"/>
      <c r="FB65" s="754"/>
      <c r="FC65" s="754"/>
      <c r="FD65" s="754"/>
      <c r="FE65" s="754"/>
      <c r="FF65" s="754"/>
      <c r="FG65" s="754"/>
      <c r="FH65" s="755"/>
      <c r="FI65" s="756"/>
      <c r="FJ65" s="747"/>
      <c r="FK65" s="748"/>
      <c r="FL65" s="748"/>
      <c r="FM65" s="748"/>
      <c r="FN65" s="748"/>
      <c r="FO65" s="748"/>
      <c r="FP65" s="748"/>
      <c r="FQ65" s="57"/>
      <c r="FR65" s="57"/>
      <c r="FS65" s="58"/>
      <c r="FT65" s="57"/>
      <c r="FU65" s="757" t="s">
        <v>1204</v>
      </c>
      <c r="FV65" s="747"/>
      <c r="FW65" s="57">
        <v>27</v>
      </c>
      <c r="FX65" s="758" t="str">
        <f>IF(OR($AV$6="O1",$AV$6="O2",$AV$6="O3"),Sorts!AC101,IF(OR($BB$6="O1",$BB$6="O2"),Sorts!AC163,""))</f>
        <v>Révocation</v>
      </c>
      <c r="FY65" s="744"/>
      <c r="FZ65" s="744"/>
      <c r="GA65" s="744"/>
      <c r="GB65" s="744"/>
      <c r="GC65" s="744"/>
      <c r="GD65" s="744"/>
      <c r="GE65" s="744"/>
      <c r="GF65" s="744"/>
      <c r="GG65" s="744"/>
      <c r="GH65" s="744"/>
      <c r="GI65" s="744"/>
      <c r="GJ65" s="744"/>
      <c r="GK65" s="744">
        <v>0</v>
      </c>
      <c r="GL65" s="745"/>
      <c r="GM65" s="746" t="str">
        <f>IF(OR($AV$6="O1",$AV$6="O2",$AV$6="O3"),Sorts!AD101,IF(OR($BB$6="O1",$BB$6="O2"),Sorts!AD163,""))</f>
        <v>1''</v>
      </c>
      <c r="GN65" s="747"/>
      <c r="GO65" s="748" t="str">
        <f>IF(OR($AV$6="O1",$AV$6="O2",$AV$6="O3"),Sorts!AE101,IF(OR($BB$6="O1",$BB$6="O2"),Sorts!AE163,""))</f>
        <v>P</v>
      </c>
      <c r="GP65" s="748"/>
      <c r="GQ65" s="748"/>
      <c r="GR65" s="57" t="str">
        <f>IF(OR($AV$6="O1",$AV$6="O2",$AV$6="O3"),Sorts!AF101,IF(OR($BB$6="O1",$BB$6="O2"),Sorts!AF163,""))</f>
        <v>X</v>
      </c>
      <c r="GS65" s="57" t="str">
        <f>IF(OR($AV$6="O1",$AV$6="O2",$AV$6="O3"),Sorts!AG101,IF(OR($BB$6="O1",$BB$6="O2"),Sorts!AG163,""))</f>
        <v>X</v>
      </c>
      <c r="GT65" s="58" t="str">
        <f>IF(OR($AV$6="O1",$AV$6="O2",$AV$6="O3"),Sorts!AH101,IF(OR($BB$6="O1",$BB$6="O2"),Sorts!AH163,""))</f>
        <v>X</v>
      </c>
      <c r="GU65" s="60"/>
      <c r="GW65" s="70"/>
      <c r="IV65" s="71"/>
      <c r="IW65" s="60"/>
      <c r="IY65" s="70"/>
      <c r="KX65" s="71"/>
    </row>
    <row r="66" spans="2:310" ht="18" customHeight="1" thickTop="1" x14ac:dyDescent="0.25">
      <c r="B66" s="532" t="s">
        <v>1699</v>
      </c>
      <c r="C66" s="67"/>
      <c r="D66" s="67"/>
      <c r="E66" s="67"/>
      <c r="F66" s="67"/>
      <c r="G66" s="67"/>
      <c r="H66" s="67"/>
      <c r="I66" s="67"/>
      <c r="J66" s="67"/>
      <c r="K66" s="67"/>
      <c r="L66" s="67"/>
      <c r="M66" s="67"/>
      <c r="N66" s="67"/>
      <c r="O66" s="67"/>
      <c r="P66" s="67"/>
      <c r="Q66" s="67"/>
      <c r="R66" s="67"/>
      <c r="S66" s="67"/>
      <c r="T66" s="67"/>
      <c r="U66" s="67"/>
      <c r="V66" s="67"/>
      <c r="W66" s="67"/>
      <c r="X66" s="67"/>
      <c r="Y66" s="67"/>
      <c r="Z66" s="67"/>
      <c r="AA66" s="67"/>
      <c r="AB66" s="67"/>
      <c r="AC66" s="67"/>
      <c r="AD66" s="67"/>
      <c r="AE66" s="67"/>
      <c r="AF66" s="21"/>
      <c r="AG66" s="536" t="s">
        <v>1869</v>
      </c>
      <c r="AH66" s="21"/>
      <c r="AI66" s="21"/>
      <c r="AJ66" s="21"/>
      <c r="AK66" s="21"/>
      <c r="AL66" s="21"/>
      <c r="AM66" s="21"/>
      <c r="AN66" s="21"/>
      <c r="AO66" s="68"/>
      <c r="AQ66" s="4"/>
      <c r="AR66" s="7"/>
      <c r="AS66" s="7"/>
      <c r="AT66" s="7"/>
      <c r="AU66" s="7"/>
      <c r="AV66" s="7"/>
      <c r="AW66" s="7"/>
      <c r="AX66" s="7"/>
      <c r="AY66" s="7"/>
      <c r="AZ66" s="660"/>
      <c r="BA66" s="660"/>
      <c r="BB66" s="7"/>
      <c r="BC66" s="7"/>
      <c r="BD66" s="7"/>
      <c r="BE66" s="7"/>
      <c r="BF66" s="660"/>
      <c r="BG66" s="660"/>
      <c r="BH66" s="7"/>
      <c r="BI66" s="7"/>
      <c r="BJ66" s="7"/>
      <c r="BK66" s="7"/>
      <c r="BL66" s="7"/>
      <c r="BM66" s="7"/>
      <c r="BN66" s="7"/>
      <c r="BO66" s="7"/>
      <c r="BP66" s="7"/>
      <c r="BQ66" s="7"/>
      <c r="BR66" s="7"/>
      <c r="BS66" s="7"/>
      <c r="BT66" s="7"/>
      <c r="BU66" s="7"/>
      <c r="BV66" s="7"/>
      <c r="BW66" s="7"/>
      <c r="BX66" s="7"/>
      <c r="BY66" s="7"/>
      <c r="BZ66" s="7"/>
      <c r="CA66" s="7"/>
      <c r="CB66" s="7"/>
      <c r="CC66" s="7"/>
      <c r="CD66" s="7"/>
      <c r="CE66" s="7"/>
      <c r="CF66" s="7"/>
      <c r="CG66" s="7"/>
      <c r="CH66" s="7"/>
      <c r="CI66" s="7"/>
      <c r="CJ66" s="7"/>
      <c r="CK66" s="7"/>
      <c r="CL66" s="7"/>
      <c r="CM66" s="7"/>
      <c r="CN66" s="7"/>
      <c r="CO66" s="7"/>
      <c r="CP66" s="69"/>
      <c r="CQ66" s="60"/>
      <c r="CS66" s="56">
        <v>24</v>
      </c>
      <c r="CT66" s="754"/>
      <c r="CU66" s="754"/>
      <c r="CV66" s="754"/>
      <c r="CW66" s="754"/>
      <c r="CX66" s="754"/>
      <c r="CY66" s="754"/>
      <c r="CZ66" s="754"/>
      <c r="DA66" s="754"/>
      <c r="DB66" s="754"/>
      <c r="DC66" s="754"/>
      <c r="DD66" s="754"/>
      <c r="DE66" s="754"/>
      <c r="DF66" s="755"/>
      <c r="DG66" s="756">
        <v>0</v>
      </c>
      <c r="DH66" s="747"/>
      <c r="DI66" s="748"/>
      <c r="DJ66" s="748"/>
      <c r="DK66" s="748"/>
      <c r="DL66" s="748"/>
      <c r="DM66" s="748"/>
      <c r="DN66" s="748"/>
      <c r="DO66" s="57"/>
      <c r="DP66" s="57"/>
      <c r="DQ66" s="58"/>
      <c r="DR66" s="57"/>
      <c r="DS66" s="757" t="s">
        <v>1204</v>
      </c>
      <c r="DT66" s="747"/>
      <c r="DU66" s="57">
        <v>24</v>
      </c>
      <c r="DV66" s="758" t="str">
        <f>IF(OR($AV$6="O1",$AV$6="O2",$AV$6="O3"),Sorts!Q98,IF(OR($BB$6="O1",$BB$6="O2"),Sorts!Q160,""))</f>
        <v>Rafale de Vent</v>
      </c>
      <c r="DW66" s="744"/>
      <c r="DX66" s="744"/>
      <c r="DY66" s="744"/>
      <c r="DZ66" s="744"/>
      <c r="EA66" s="744"/>
      <c r="EB66" s="744"/>
      <c r="EC66" s="744"/>
      <c r="ED66" s="744"/>
      <c r="EE66" s="744"/>
      <c r="EF66" s="744"/>
      <c r="EG66" s="744"/>
      <c r="EH66" s="744"/>
      <c r="EI66" s="744">
        <v>0</v>
      </c>
      <c r="EJ66" s="745"/>
      <c r="EK66" s="746">
        <f>IF(OR($AV$6="O1",$AV$6="O2",$AV$6="O3"),Sorts!R98,IF(OR($BB$6="O1",$BB$6="O2"),Sorts!R160,""))</f>
        <v>0</v>
      </c>
      <c r="EL66" s="747"/>
      <c r="EM66" s="748" t="str">
        <f>IF(OR($AV$6="O1",$AV$6="O2",$AV$6="O3"),Sorts!S98,IF(OR($BB$6="O1",$BB$6="O2"),Sorts!S160,""))</f>
        <v>1s/n</v>
      </c>
      <c r="EN66" s="748"/>
      <c r="EO66" s="748"/>
      <c r="EP66" s="57" t="str">
        <f>IF(OR($AV$6="O1",$AV$6="O2",$AV$6="O3"),Sorts!T98,IF(OR($BB$6="O1",$BB$6="O2"),Sorts!T160,""))</f>
        <v>X</v>
      </c>
      <c r="EQ66" s="57" t="str">
        <f>IF(OR($AV$6="O1",$AV$6="O2",$AV$6="O3"),Sorts!U98,IF(OR($BB$6="O1",$BB$6="O2"),Sorts!U160,""))</f>
        <v>X</v>
      </c>
      <c r="ER66" s="58" t="str">
        <f>IF(OR($AV$6="O1",$AV$6="O2",$AV$6="O3"),Sorts!V98,IF(OR($BB$6="O1",$BB$6="O2"),Sorts!V160,""))</f>
        <v>X</v>
      </c>
      <c r="ES66" s="60"/>
      <c r="EU66" s="56">
        <v>28</v>
      </c>
      <c r="EV66" s="754"/>
      <c r="EW66" s="754"/>
      <c r="EX66" s="754"/>
      <c r="EY66" s="754"/>
      <c r="EZ66" s="754"/>
      <c r="FA66" s="754"/>
      <c r="FB66" s="754"/>
      <c r="FC66" s="754"/>
      <c r="FD66" s="754"/>
      <c r="FE66" s="754"/>
      <c r="FF66" s="754"/>
      <c r="FG66" s="754"/>
      <c r="FH66" s="755"/>
      <c r="FI66" s="756"/>
      <c r="FJ66" s="747"/>
      <c r="FK66" s="748"/>
      <c r="FL66" s="748"/>
      <c r="FM66" s="748"/>
      <c r="FN66" s="748"/>
      <c r="FO66" s="748"/>
      <c r="FP66" s="748"/>
      <c r="FQ66" s="57"/>
      <c r="FR66" s="57"/>
      <c r="FS66" s="58"/>
      <c r="FT66" s="57"/>
      <c r="FU66" s="757" t="s">
        <v>1204</v>
      </c>
      <c r="FV66" s="747"/>
      <c r="FW66" s="57">
        <v>28</v>
      </c>
      <c r="FX66" s="758" t="str">
        <f>IF(OR($AV$6="O1",$AV$6="O2",$AV$6="O3"),Sorts!AC102,IF(OR($BB$6="O1",$BB$6="O2"),Sorts!AC164,""))</f>
        <v>Télékinésie</v>
      </c>
      <c r="FY66" s="744"/>
      <c r="FZ66" s="744"/>
      <c r="GA66" s="744"/>
      <c r="GB66" s="744"/>
      <c r="GC66" s="744"/>
      <c r="GD66" s="744"/>
      <c r="GE66" s="744"/>
      <c r="GF66" s="744"/>
      <c r="GG66" s="744"/>
      <c r="GH66" s="744"/>
      <c r="GI66" s="744"/>
      <c r="GJ66" s="744"/>
      <c r="GK66" s="744">
        <v>0</v>
      </c>
      <c r="GL66" s="745"/>
      <c r="GM66" s="746" t="str">
        <f>IF(OR($AV$6="O1",$AV$6="O2",$AV$6="O3"),Sorts!AD102,IF(OR($BB$6="O1",$BB$6="O2"),Sorts!AD164,""))</f>
        <v>1''/n</v>
      </c>
      <c r="GN66" s="747"/>
      <c r="GO66" s="748" t="str">
        <f>IF(OR($AV$6="O1",$AV$6="O2",$AV$6="O3"),Sorts!AE102,IF(OR($BB$6="O1",$BB$6="O2"),Sorts!AE164,""))</f>
        <v>2r+1r/n</v>
      </c>
      <c r="GP66" s="748"/>
      <c r="GQ66" s="748"/>
      <c r="GR66" s="57" t="str">
        <f>IF(OR($AV$6="O1",$AV$6="O2",$AV$6="O3"),Sorts!AF102,IF(OR($BB$6="O1",$BB$6="O2"),Sorts!AF164,""))</f>
        <v>X</v>
      </c>
      <c r="GS66" s="57" t="str">
        <f>IF(OR($AV$6="O1",$AV$6="O2",$AV$6="O3"),Sorts!AG102,IF(OR($BB$6="O1",$BB$6="O2"),Sorts!AG164,""))</f>
        <v>X</v>
      </c>
      <c r="GT66" s="58" t="str">
        <f>IF(OR($AV$6="O1",$AV$6="O2",$AV$6="O3"),Sorts!AH102,IF(OR($BB$6="O1",$BB$6="O2"),Sorts!AH164,""))</f>
        <v>/</v>
      </c>
      <c r="GU66" s="60"/>
      <c r="GW66" s="70"/>
      <c r="IV66" s="71"/>
      <c r="IW66" s="60"/>
      <c r="IY66" s="70"/>
      <c r="KX66" s="71"/>
    </row>
    <row r="67" spans="2:310" ht="18" customHeight="1" x14ac:dyDescent="0.25">
      <c r="B67" s="387"/>
      <c r="C67" s="66"/>
      <c r="D67" s="66"/>
      <c r="E67" s="66"/>
      <c r="F67" s="66"/>
      <c r="G67" s="66"/>
      <c r="H67" s="66"/>
      <c r="I67" s="66"/>
      <c r="J67" s="66"/>
      <c r="K67" s="66"/>
      <c r="L67" s="66"/>
      <c r="M67" s="66"/>
      <c r="N67" s="66"/>
      <c r="O67" s="66"/>
      <c r="P67" s="66"/>
      <c r="Q67" s="66"/>
      <c r="R67" s="66"/>
      <c r="S67" s="66"/>
      <c r="T67" s="66"/>
      <c r="U67" s="66"/>
      <c r="V67" s="66"/>
      <c r="W67" s="66"/>
      <c r="X67" s="66"/>
      <c r="Y67" s="66"/>
      <c r="Z67" s="66"/>
      <c r="AA67" s="66"/>
      <c r="AB67" s="66"/>
      <c r="AC67" s="66"/>
      <c r="AD67" s="66"/>
      <c r="AE67" s="66"/>
      <c r="AG67" s="75"/>
      <c r="AO67" s="69"/>
      <c r="AQ67" s="4"/>
      <c r="AR67" s="7"/>
      <c r="AS67" s="7"/>
      <c r="AT67" s="7"/>
      <c r="AU67" s="7"/>
      <c r="AV67" s="7"/>
      <c r="AW67" s="7"/>
      <c r="AX67" s="7"/>
      <c r="AY67" s="7"/>
      <c r="AZ67" s="660"/>
      <c r="BA67" s="660"/>
      <c r="BB67" s="7"/>
      <c r="BC67" s="7"/>
      <c r="BD67" s="7"/>
      <c r="BE67" s="7"/>
      <c r="BF67" s="7"/>
      <c r="BG67" s="7"/>
      <c r="BH67" s="7"/>
      <c r="BI67" s="7"/>
      <c r="BJ67" s="7"/>
      <c r="BK67" s="7"/>
      <c r="BL67" s="7"/>
      <c r="BM67" s="7"/>
      <c r="BN67" s="7"/>
      <c r="BO67" s="7"/>
      <c r="BP67" s="7"/>
      <c r="BQ67" s="7"/>
      <c r="BR67" s="7"/>
      <c r="BS67" s="7"/>
      <c r="BT67" s="7"/>
      <c r="BU67" s="7"/>
      <c r="BV67" s="7"/>
      <c r="BW67" s="7"/>
      <c r="BX67" s="7"/>
      <c r="BY67" s="7"/>
      <c r="BZ67" s="7"/>
      <c r="CA67" s="7"/>
      <c r="CB67" s="7"/>
      <c r="CC67" s="7"/>
      <c r="CD67" s="7"/>
      <c r="CE67" s="7"/>
      <c r="CF67" s="7"/>
      <c r="CG67" s="7"/>
      <c r="CH67" s="7"/>
      <c r="CI67" s="7"/>
      <c r="CJ67" s="7"/>
      <c r="CK67" s="7"/>
      <c r="CL67" s="7"/>
      <c r="CM67" s="7"/>
      <c r="CN67" s="7"/>
      <c r="CO67" s="7"/>
      <c r="CP67" s="69"/>
      <c r="CQ67" s="60"/>
      <c r="CS67" s="56">
        <v>25</v>
      </c>
      <c r="CT67" s="754"/>
      <c r="CU67" s="754"/>
      <c r="CV67" s="754"/>
      <c r="CW67" s="754"/>
      <c r="CX67" s="754"/>
      <c r="CY67" s="754"/>
      <c r="CZ67" s="754"/>
      <c r="DA67" s="754"/>
      <c r="DB67" s="754"/>
      <c r="DC67" s="754"/>
      <c r="DD67" s="754"/>
      <c r="DE67" s="754"/>
      <c r="DF67" s="755"/>
      <c r="DG67" s="756">
        <v>0</v>
      </c>
      <c r="DH67" s="747"/>
      <c r="DI67" s="748"/>
      <c r="DJ67" s="748"/>
      <c r="DK67" s="748"/>
      <c r="DL67" s="748"/>
      <c r="DM67" s="748"/>
      <c r="DN67" s="748"/>
      <c r="DO67" s="57"/>
      <c r="DP67" s="57"/>
      <c r="DQ67" s="58"/>
      <c r="DR67" s="57"/>
      <c r="DS67" s="757" t="s">
        <v>1204</v>
      </c>
      <c r="DT67" s="747"/>
      <c r="DU67" s="57">
        <v>25</v>
      </c>
      <c r="DV67" s="758" t="str">
        <f>IF(OR($AV$6="O1",$AV$6="O2",$AV$6="O3"),Sorts!Q99,IF(OR($BB$6="O1",$BB$6="O2"),Sorts!Q161,""))</f>
        <v>Ralentissement</v>
      </c>
      <c r="DW67" s="744"/>
      <c r="DX67" s="744"/>
      <c r="DY67" s="744"/>
      <c r="DZ67" s="744"/>
      <c r="EA67" s="744"/>
      <c r="EB67" s="744"/>
      <c r="EC67" s="744"/>
      <c r="ED67" s="744"/>
      <c r="EE67" s="744"/>
      <c r="EF67" s="744"/>
      <c r="EG67" s="744"/>
      <c r="EH67" s="744"/>
      <c r="EI67" s="744">
        <v>0</v>
      </c>
      <c r="EJ67" s="745"/>
      <c r="EK67" s="746" t="str">
        <f>IF(OR($AV$6="O1",$AV$6="O2",$AV$6="O3"),Sorts!R99,IF(OR($BB$6="O1",$BB$6="O2"),Sorts!R161,""))</f>
        <v>9''+1/n</v>
      </c>
      <c r="EL67" s="747"/>
      <c r="EM67" s="748" t="str">
        <f>IF(OR($AV$6="O1",$AV$6="O2",$AV$6="O3"),Sorts!S99,IF(OR($BB$6="O1",$BB$6="O2"),Sorts!S161,""))</f>
        <v>3r+1/n</v>
      </c>
      <c r="EN67" s="748"/>
      <c r="EO67" s="748"/>
      <c r="EP67" s="57" t="str">
        <f>IF(OR($AV$6="O1",$AV$6="O2",$AV$6="O3"),Sorts!T99,IF(OR($BB$6="O1",$BB$6="O2"),Sorts!T161,""))</f>
        <v>X</v>
      </c>
      <c r="EQ67" s="57" t="str">
        <f>IF(OR($AV$6="O1",$AV$6="O2",$AV$6="O3"),Sorts!U99,IF(OR($BB$6="O1",$BB$6="O2"),Sorts!U161,""))</f>
        <v>X</v>
      </c>
      <c r="ER67" s="58" t="str">
        <f>IF(OR($AV$6="O1",$AV$6="O2",$AV$6="O3"),Sorts!V99,IF(OR($BB$6="O1",$BB$6="O2"),Sorts!V161,""))</f>
        <v>X</v>
      </c>
      <c r="ES67" s="60"/>
      <c r="EU67" s="56">
        <v>29</v>
      </c>
      <c r="EV67" s="754"/>
      <c r="EW67" s="754"/>
      <c r="EX67" s="754"/>
      <c r="EY67" s="754"/>
      <c r="EZ67" s="754"/>
      <c r="FA67" s="754"/>
      <c r="FB67" s="754"/>
      <c r="FC67" s="754"/>
      <c r="FD67" s="754"/>
      <c r="FE67" s="754"/>
      <c r="FF67" s="754"/>
      <c r="FG67" s="754"/>
      <c r="FH67" s="755"/>
      <c r="FI67" s="756"/>
      <c r="FJ67" s="747"/>
      <c r="FK67" s="748"/>
      <c r="FL67" s="748"/>
      <c r="FM67" s="748"/>
      <c r="FN67" s="748"/>
      <c r="FO67" s="748"/>
      <c r="FP67" s="748"/>
      <c r="FQ67" s="57"/>
      <c r="FR67" s="57"/>
      <c r="FS67" s="58"/>
      <c r="FT67" s="57"/>
      <c r="FU67" s="757" t="s">
        <v>1204</v>
      </c>
      <c r="FV67" s="747"/>
      <c r="FW67" s="57">
        <v>29</v>
      </c>
      <c r="FX67" s="758" t="str">
        <f>IF(OR($AV$6="O1",$AV$6="O2",$AV$6="O3"),Sorts!AC103,IF(OR($BB$6="O1",$BB$6="O2"),Sorts!AC165,""))</f>
        <v>Téléportation</v>
      </c>
      <c r="FY67" s="744"/>
      <c r="FZ67" s="744"/>
      <c r="GA67" s="744"/>
      <c r="GB67" s="744"/>
      <c r="GC67" s="744"/>
      <c r="GD67" s="744"/>
      <c r="GE67" s="744"/>
      <c r="GF67" s="744"/>
      <c r="GG67" s="744"/>
      <c r="GH67" s="744"/>
      <c r="GI67" s="744"/>
      <c r="GJ67" s="744"/>
      <c r="GK67" s="744">
        <v>0</v>
      </c>
      <c r="GL67" s="745"/>
      <c r="GM67" s="746" t="str">
        <f>IF(OR($AV$6="O1",$AV$6="O2",$AV$6="O3"),Sorts!AD103,IF(OR($BB$6="O1",$BB$6="O2"),Sorts!AD165,""))</f>
        <v>T</v>
      </c>
      <c r="GN67" s="747"/>
      <c r="GO67" s="748" t="str">
        <f>IF(OR($AV$6="O1",$AV$6="O2",$AV$6="O3"),Sorts!AE103,IF(OR($BB$6="O1",$BB$6="O2"),Sorts!AE165,""))</f>
        <v>I</v>
      </c>
      <c r="GP67" s="748"/>
      <c r="GQ67" s="748"/>
      <c r="GR67" s="57" t="str">
        <f>IF(OR($AV$6="O1",$AV$6="O2",$AV$6="O3"),Sorts!AF103,IF(OR($BB$6="O1",$BB$6="O2"),Sorts!AF165,""))</f>
        <v>X</v>
      </c>
      <c r="GS67" s="57" t="str">
        <f>IF(OR($AV$6="O1",$AV$6="O2",$AV$6="O3"),Sorts!AG103,IF(OR($BB$6="O1",$BB$6="O2"),Sorts!AG165,""))</f>
        <v>/</v>
      </c>
      <c r="GT67" s="58" t="str">
        <f>IF(OR($AV$6="O1",$AV$6="O2",$AV$6="O3"),Sorts!AH103,IF(OR($BB$6="O1",$BB$6="O2"),Sorts!AH165,""))</f>
        <v>/</v>
      </c>
      <c r="GU67" s="60"/>
      <c r="GW67" s="70"/>
      <c r="IV67" s="71"/>
      <c r="IW67" s="60"/>
      <c r="IY67" s="70"/>
      <c r="KX67" s="71"/>
    </row>
    <row r="68" spans="2:310" ht="18" customHeight="1" thickBot="1" x14ac:dyDescent="0.3">
      <c r="B68" s="387"/>
      <c r="C68" s="66"/>
      <c r="D68" s="66"/>
      <c r="E68" s="66"/>
      <c r="F68" s="66"/>
      <c r="G68" s="66"/>
      <c r="H68" s="66"/>
      <c r="I68" s="66"/>
      <c r="J68" s="66"/>
      <c r="K68" s="66"/>
      <c r="L68" s="66"/>
      <c r="M68" s="66"/>
      <c r="N68" s="66"/>
      <c r="O68" s="66"/>
      <c r="P68" s="66"/>
      <c r="Q68" s="66"/>
      <c r="R68" s="66"/>
      <c r="S68" s="66"/>
      <c r="T68" s="66"/>
      <c r="U68" s="66"/>
      <c r="V68" s="66"/>
      <c r="W68" s="66"/>
      <c r="X68" s="66"/>
      <c r="Y68" s="66"/>
      <c r="Z68" s="66"/>
      <c r="AA68" s="66"/>
      <c r="AB68" s="66"/>
      <c r="AC68" s="66"/>
      <c r="AD68" s="66"/>
      <c r="AE68" s="66"/>
      <c r="AG68" s="75"/>
      <c r="AO68" s="69"/>
      <c r="AQ68" s="4"/>
      <c r="AR68" s="7"/>
      <c r="AS68" s="7"/>
      <c r="AT68" s="7"/>
      <c r="AU68" s="7"/>
      <c r="AV68" s="7"/>
      <c r="AW68" s="7"/>
      <c r="AX68" s="7"/>
      <c r="AY68" s="7"/>
      <c r="AZ68" s="660"/>
      <c r="BA68" s="660"/>
      <c r="BB68" s="7"/>
      <c r="BC68" s="7"/>
      <c r="BD68" s="7"/>
      <c r="BE68" s="7"/>
      <c r="BF68" s="7"/>
      <c r="BG68" s="7"/>
      <c r="BH68" s="7"/>
      <c r="BI68" s="7"/>
      <c r="BJ68" s="7"/>
      <c r="BK68" s="7"/>
      <c r="BL68" s="7"/>
      <c r="BM68" s="7"/>
      <c r="BN68" s="7"/>
      <c r="BO68" s="7"/>
      <c r="BP68" s="7"/>
      <c r="BQ68" s="7"/>
      <c r="BR68" s="7"/>
      <c r="BS68" s="7"/>
      <c r="BT68" s="7"/>
      <c r="BU68" s="7"/>
      <c r="BV68" s="7"/>
      <c r="BW68" s="7"/>
      <c r="BX68" s="7"/>
      <c r="BY68" s="7"/>
      <c r="BZ68" s="7"/>
      <c r="CA68" s="7"/>
      <c r="CB68" s="7"/>
      <c r="CC68" s="7"/>
      <c r="CD68" s="7"/>
      <c r="CE68" s="7"/>
      <c r="CF68" s="7"/>
      <c r="CG68" s="7"/>
      <c r="CH68" s="7"/>
      <c r="CI68" s="7"/>
      <c r="CJ68" s="7"/>
      <c r="CK68" s="7"/>
      <c r="CL68" s="7"/>
      <c r="CM68" s="7"/>
      <c r="CN68" s="7"/>
      <c r="CO68" s="7"/>
      <c r="CP68" s="69"/>
      <c r="CQ68" s="60"/>
      <c r="CS68" s="56">
        <v>26</v>
      </c>
      <c r="CT68" s="754"/>
      <c r="CU68" s="754"/>
      <c r="CV68" s="754"/>
      <c r="CW68" s="754"/>
      <c r="CX68" s="754"/>
      <c r="CY68" s="754"/>
      <c r="CZ68" s="754"/>
      <c r="DA68" s="754"/>
      <c r="DB68" s="754"/>
      <c r="DC68" s="754"/>
      <c r="DD68" s="754"/>
      <c r="DE68" s="754"/>
      <c r="DF68" s="755"/>
      <c r="DG68" s="756">
        <v>0</v>
      </c>
      <c r="DH68" s="747"/>
      <c r="DI68" s="748"/>
      <c r="DJ68" s="748"/>
      <c r="DK68" s="748"/>
      <c r="DL68" s="748"/>
      <c r="DM68" s="748"/>
      <c r="DN68" s="748"/>
      <c r="DO68" s="57"/>
      <c r="DP68" s="57"/>
      <c r="DQ68" s="58"/>
      <c r="DR68" s="57"/>
      <c r="DS68" s="757" t="s">
        <v>1204</v>
      </c>
      <c r="DT68" s="747"/>
      <c r="DU68" s="57">
        <v>26</v>
      </c>
      <c r="DV68" s="758" t="str">
        <f>IF(OR($AV$6="O1",$AV$6="O2",$AV$6="O3"),Sorts!Q100,IF(OR($BB$6="O1",$BB$6="O2"),Sorts!Q162,""))</f>
        <v>Rapidité</v>
      </c>
      <c r="DW68" s="744"/>
      <c r="DX68" s="744"/>
      <c r="DY68" s="744"/>
      <c r="DZ68" s="744"/>
      <c r="EA68" s="744"/>
      <c r="EB68" s="744"/>
      <c r="EC68" s="744"/>
      <c r="ED68" s="744"/>
      <c r="EE68" s="744"/>
      <c r="EF68" s="744"/>
      <c r="EG68" s="744"/>
      <c r="EH68" s="744"/>
      <c r="EI68" s="744">
        <v>0</v>
      </c>
      <c r="EJ68" s="745"/>
      <c r="EK68" s="746" t="str">
        <f>IF(OR($AV$6="O1",$AV$6="O2",$AV$6="O3"),Sorts!R100,IF(OR($BB$6="O1",$BB$6="O2"),Sorts!R162,""))</f>
        <v>6''+1/n</v>
      </c>
      <c r="EL68" s="747"/>
      <c r="EM68" s="748" t="str">
        <f>IF(OR($AV$6="O1",$AV$6="O2",$AV$6="O3"),Sorts!S100,IF(OR($BB$6="O1",$BB$6="O2"),Sorts!S162,""))</f>
        <v>3r+1/n</v>
      </c>
      <c r="EN68" s="748"/>
      <c r="EO68" s="748"/>
      <c r="EP68" s="57" t="str">
        <f>IF(OR($AV$6="O1",$AV$6="O2",$AV$6="O3"),Sorts!T100,IF(OR($BB$6="O1",$BB$6="O2"),Sorts!T162,""))</f>
        <v>X</v>
      </c>
      <c r="EQ68" s="57" t="str">
        <f>IF(OR($AV$6="O1",$AV$6="O2",$AV$6="O3"),Sorts!U100,IF(OR($BB$6="O1",$BB$6="O2"),Sorts!U162,""))</f>
        <v>X</v>
      </c>
      <c r="ER68" s="58" t="str">
        <f>IF(OR($AV$6="O1",$AV$6="O2",$AV$6="O3"),Sorts!V100,IF(OR($BB$6="O1",$BB$6="O2"),Sorts!V162,""))</f>
        <v>X</v>
      </c>
      <c r="ES68" s="60"/>
      <c r="EU68" s="56">
        <v>30</v>
      </c>
      <c r="EV68" s="754"/>
      <c r="EW68" s="754"/>
      <c r="EX68" s="754"/>
      <c r="EY68" s="754"/>
      <c r="EZ68" s="754"/>
      <c r="FA68" s="754"/>
      <c r="FB68" s="754"/>
      <c r="FC68" s="754"/>
      <c r="FD68" s="754"/>
      <c r="FE68" s="754"/>
      <c r="FF68" s="754"/>
      <c r="FG68" s="754"/>
      <c r="FH68" s="755"/>
      <c r="FI68" s="756"/>
      <c r="FJ68" s="747"/>
      <c r="FK68" s="748"/>
      <c r="FL68" s="748"/>
      <c r="FM68" s="748"/>
      <c r="FN68" s="748"/>
      <c r="FO68" s="748"/>
      <c r="FP68" s="748"/>
      <c r="FQ68" s="57"/>
      <c r="FR68" s="57"/>
      <c r="FS68" s="58"/>
      <c r="FT68" s="57"/>
      <c r="FU68" s="757" t="s">
        <v>1204</v>
      </c>
      <c r="FV68" s="747"/>
      <c r="FW68" s="57">
        <v>30</v>
      </c>
      <c r="FX68" s="758" t="str">
        <f>IF(OR($AV$6="O1",$AV$6="O2",$AV$6="O3"),Sorts!AC104,IF(OR($BB$6="O1",$BB$6="O2"),Sorts!AC166,""))</f>
        <v>Transmutation de Pierre en Boue</v>
      </c>
      <c r="FY68" s="744"/>
      <c r="FZ68" s="744"/>
      <c r="GA68" s="744"/>
      <c r="GB68" s="744"/>
      <c r="GC68" s="744"/>
      <c r="GD68" s="744"/>
      <c r="GE68" s="744"/>
      <c r="GF68" s="744"/>
      <c r="GG68" s="744"/>
      <c r="GH68" s="744"/>
      <c r="GI68" s="744"/>
      <c r="GJ68" s="744"/>
      <c r="GK68" s="744">
        <v>0</v>
      </c>
      <c r="GL68" s="745"/>
      <c r="GM68" s="746" t="str">
        <f>IF(OR($AV$6="O1",$AV$6="O2",$AV$6="O3"),Sorts!AD104,IF(OR($BB$6="O1",$BB$6="O2"),Sorts!AD166,""))</f>
        <v>1''/n</v>
      </c>
      <c r="GN68" s="747"/>
      <c r="GO68" s="748" t="str">
        <f>IF(OR($AV$6="O1",$AV$6="O2",$AV$6="O3"),Sorts!AE104,IF(OR($BB$6="O1",$BB$6="O2"),Sorts!AE166,""))</f>
        <v>S</v>
      </c>
      <c r="GP68" s="748"/>
      <c r="GQ68" s="748"/>
      <c r="GR68" s="57" t="str">
        <f>IF(OR($AV$6="O1",$AV$6="O2",$AV$6="O3"),Sorts!AF104,IF(OR($BB$6="O1",$BB$6="O2"),Sorts!AF166,""))</f>
        <v>X</v>
      </c>
      <c r="GS68" s="57" t="str">
        <f>IF(OR($AV$6="O1",$AV$6="O2",$AV$6="O3"),Sorts!AG104,IF(OR($BB$6="O1",$BB$6="O2"),Sorts!AG166,""))</f>
        <v>X</v>
      </c>
      <c r="GT68" s="58" t="str">
        <f>IF(OR($AV$6="O1",$AV$6="O2",$AV$6="O3"),Sorts!AH104,IF(OR($BB$6="O1",$BB$6="O2"),Sorts!AH166,""))</f>
        <v>X</v>
      </c>
      <c r="GU68" s="60"/>
      <c r="GW68" s="70"/>
      <c r="IV68" s="71"/>
      <c r="IW68" s="60"/>
      <c r="IY68" s="70"/>
      <c r="KX68" s="71"/>
    </row>
    <row r="69" spans="2:310" ht="18" customHeight="1" thickTop="1" thickBot="1" x14ac:dyDescent="0.3">
      <c r="B69" s="387"/>
      <c r="C69" s="66"/>
      <c r="D69" s="66"/>
      <c r="E69" s="66"/>
      <c r="F69" s="66"/>
      <c r="G69" s="66"/>
      <c r="H69" s="66"/>
      <c r="I69" s="66"/>
      <c r="J69" s="66"/>
      <c r="K69" s="66"/>
      <c r="L69" s="66"/>
      <c r="M69" s="66"/>
      <c r="N69" s="66"/>
      <c r="O69" s="66"/>
      <c r="P69" s="66"/>
      <c r="Q69" s="66"/>
      <c r="R69" s="66"/>
      <c r="S69" s="66"/>
      <c r="T69" s="66"/>
      <c r="U69" s="66"/>
      <c r="V69" s="66"/>
      <c r="W69" s="66"/>
      <c r="X69" s="66"/>
      <c r="Y69" s="66"/>
      <c r="Z69" s="66"/>
      <c r="AA69" s="66"/>
      <c r="AB69" s="66"/>
      <c r="AC69" s="66"/>
      <c r="AD69" s="66"/>
      <c r="AE69" s="66"/>
      <c r="AG69" s="75"/>
      <c r="AO69" s="69"/>
      <c r="AQ69" s="4"/>
      <c r="AR69" s="7"/>
      <c r="AS69" s="7"/>
      <c r="AT69" s="7"/>
      <c r="AU69" s="7"/>
      <c r="AV69" s="7"/>
      <c r="AW69" s="7"/>
      <c r="AX69" s="7"/>
      <c r="AY69" s="7"/>
      <c r="AZ69" s="660"/>
      <c r="BA69" s="660"/>
      <c r="BB69" s="7"/>
      <c r="BC69" s="7"/>
      <c r="BD69" s="7"/>
      <c r="BE69" s="7"/>
      <c r="BF69" s="7"/>
      <c r="BG69" s="7"/>
      <c r="BH69" s="7"/>
      <c r="BI69" s="7"/>
      <c r="BJ69" s="7"/>
      <c r="BK69" s="7"/>
      <c r="BL69" s="7"/>
      <c r="BM69" s="7"/>
      <c r="BN69" s="7"/>
      <c r="BO69" s="7"/>
      <c r="BP69" s="7"/>
      <c r="BQ69" s="7"/>
      <c r="BR69" s="7"/>
      <c r="BS69" s="7"/>
      <c r="BT69" s="7"/>
      <c r="BU69" s="7"/>
      <c r="BV69" s="7"/>
      <c r="BW69" s="7"/>
      <c r="BX69" s="7"/>
      <c r="BY69" s="7"/>
      <c r="BZ69" s="7"/>
      <c r="CA69" s="7"/>
      <c r="CB69" s="7"/>
      <c r="CC69" s="7"/>
      <c r="CD69" s="7"/>
      <c r="CE69" s="7"/>
      <c r="CF69" s="7"/>
      <c r="CG69" s="7"/>
      <c r="CH69" s="7"/>
      <c r="CI69" s="7"/>
      <c r="CJ69" s="7"/>
      <c r="CK69" s="7"/>
      <c r="CL69" s="7"/>
      <c r="CM69" s="7"/>
      <c r="CN69" s="7"/>
      <c r="CO69" s="7"/>
      <c r="CP69" s="69"/>
      <c r="CQ69" s="60"/>
      <c r="CS69" s="56">
        <v>27</v>
      </c>
      <c r="CT69" s="754"/>
      <c r="CU69" s="754"/>
      <c r="CV69" s="754"/>
      <c r="CW69" s="754"/>
      <c r="CX69" s="754"/>
      <c r="CY69" s="754"/>
      <c r="CZ69" s="754"/>
      <c r="DA69" s="754"/>
      <c r="DB69" s="754"/>
      <c r="DC69" s="754"/>
      <c r="DD69" s="754"/>
      <c r="DE69" s="754"/>
      <c r="DF69" s="755"/>
      <c r="DG69" s="756">
        <v>0</v>
      </c>
      <c r="DH69" s="747"/>
      <c r="DI69" s="748"/>
      <c r="DJ69" s="748"/>
      <c r="DK69" s="748"/>
      <c r="DL69" s="748"/>
      <c r="DM69" s="748"/>
      <c r="DN69" s="748"/>
      <c r="DO69" s="57"/>
      <c r="DP69" s="57"/>
      <c r="DQ69" s="58"/>
      <c r="DR69" s="57"/>
      <c r="DS69" s="757" t="s">
        <v>1204</v>
      </c>
      <c r="DT69" s="747"/>
      <c r="DU69" s="57">
        <v>27</v>
      </c>
      <c r="DV69" s="758" t="str">
        <f>IF(OR($AV$6="O1",$AV$6="O2",$AV$6="O3"),Sorts!Q101,IF(OR($BB$6="O1",$BB$6="O2"),Sorts!Q163,""))</f>
        <v>Respiration Aquatique</v>
      </c>
      <c r="DW69" s="744"/>
      <c r="DX69" s="744"/>
      <c r="DY69" s="744"/>
      <c r="DZ69" s="744"/>
      <c r="EA69" s="744"/>
      <c r="EB69" s="744"/>
      <c r="EC69" s="744"/>
      <c r="ED69" s="744"/>
      <c r="EE69" s="744"/>
      <c r="EF69" s="744"/>
      <c r="EG69" s="744"/>
      <c r="EH69" s="744"/>
      <c r="EI69" s="744">
        <v>0</v>
      </c>
      <c r="EJ69" s="745"/>
      <c r="EK69" s="746" t="str">
        <f>IF(OR($AV$6="O1",$AV$6="O2",$AV$6="O3"),Sorts!R101,IF(OR($BB$6="O1",$BB$6="O2"),Sorts!R163,""))</f>
        <v>T</v>
      </c>
      <c r="EL69" s="747"/>
      <c r="EM69" s="748" t="str">
        <f>IF(OR($AV$6="O1",$AV$6="O2",$AV$6="O3"),Sorts!S101,IF(OR($BB$6="O1",$BB$6="O2"),Sorts!S163,""))</f>
        <v>3t/n</v>
      </c>
      <c r="EN69" s="748"/>
      <c r="EO69" s="748"/>
      <c r="EP69" s="57" t="str">
        <f>IF(OR($AV$6="O1",$AV$6="O2",$AV$6="O3"),Sorts!T101,IF(OR($BB$6="O1",$BB$6="O2"),Sorts!T163,""))</f>
        <v>X</v>
      </c>
      <c r="EQ69" s="57" t="str">
        <f>IF(OR($AV$6="O1",$AV$6="O2",$AV$6="O3"),Sorts!U101,IF(OR($BB$6="O1",$BB$6="O2"),Sorts!U163,""))</f>
        <v>X</v>
      </c>
      <c r="ER69" s="58" t="str">
        <f>IF(OR($AV$6="O1",$AV$6="O2",$AV$6="O3"),Sorts!V101,IF(OR($BB$6="O1",$BB$6="O2"),Sorts!V163,""))</f>
        <v>X</v>
      </c>
      <c r="ES69" s="60"/>
      <c r="EU69" s="628" t="s">
        <v>269</v>
      </c>
      <c r="EV69" s="629"/>
      <c r="EW69" s="629"/>
      <c r="EX69" s="629"/>
      <c r="EY69" s="629"/>
      <c r="EZ69" s="629"/>
      <c r="FA69" s="629"/>
      <c r="FB69" s="629"/>
      <c r="FC69" s="629"/>
      <c r="FD69" s="629"/>
      <c r="FE69" s="629"/>
      <c r="FF69" s="629"/>
      <c r="FG69" s="629"/>
      <c r="FH69" s="629"/>
      <c r="FI69" s="629"/>
      <c r="FJ69" s="629"/>
      <c r="FK69" s="629"/>
      <c r="FL69" s="629"/>
      <c r="FM69" s="629"/>
      <c r="FN69" s="629"/>
      <c r="FO69" s="629"/>
      <c r="FP69" s="629"/>
      <c r="FQ69" s="629"/>
      <c r="FR69" s="629"/>
      <c r="FS69" s="629"/>
      <c r="FT69" s="629"/>
      <c r="FU69" s="629"/>
      <c r="FV69" s="629"/>
      <c r="FW69" s="629"/>
      <c r="FX69" s="629"/>
      <c r="FY69" s="629"/>
      <c r="FZ69" s="629"/>
      <c r="GA69" s="629"/>
      <c r="GB69" s="629"/>
      <c r="GC69" s="629"/>
      <c r="GD69" s="629"/>
      <c r="GE69" s="629"/>
      <c r="GF69" s="629"/>
      <c r="GG69" s="629"/>
      <c r="GH69" s="629"/>
      <c r="GI69" s="629"/>
      <c r="GJ69" s="629"/>
      <c r="GK69" s="629"/>
      <c r="GL69" s="629"/>
      <c r="GM69" s="629"/>
      <c r="GN69" s="629"/>
      <c r="GO69" s="629"/>
      <c r="GP69" s="629"/>
      <c r="GQ69" s="629"/>
      <c r="GR69" s="629"/>
      <c r="GS69" s="629"/>
      <c r="GT69" s="749"/>
      <c r="GU69" s="60"/>
      <c r="GW69" s="70"/>
      <c r="IV69" s="71"/>
      <c r="IW69" s="60"/>
      <c r="IY69" s="70"/>
      <c r="KX69" s="71"/>
    </row>
    <row r="70" spans="2:310" ht="18" customHeight="1" thickTop="1" thickBot="1" x14ac:dyDescent="0.3">
      <c r="B70" s="387"/>
      <c r="C70" s="66"/>
      <c r="D70" s="66"/>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6"/>
      <c r="AG70" s="78"/>
      <c r="AH70" s="12"/>
      <c r="AI70" s="12"/>
      <c r="AJ70" s="12"/>
      <c r="AK70" s="12"/>
      <c r="AL70" s="12"/>
      <c r="AM70" s="12"/>
      <c r="AN70" s="12"/>
      <c r="AO70" s="79"/>
      <c r="AQ70" s="4"/>
      <c r="AR70" s="7"/>
      <c r="AS70" s="7"/>
      <c r="AT70" s="7"/>
      <c r="AU70" s="7"/>
      <c r="AV70" s="7"/>
      <c r="AW70" s="7"/>
      <c r="AX70" s="7"/>
      <c r="AY70" s="7"/>
      <c r="AZ70" s="7"/>
      <c r="BA70" s="7"/>
      <c r="BB70" s="7"/>
      <c r="BC70" s="7"/>
      <c r="BD70" s="7"/>
      <c r="BE70" s="7"/>
      <c r="BF70" s="7"/>
      <c r="BG70" s="7"/>
      <c r="BH70" s="7"/>
      <c r="BI70" s="7"/>
      <c r="BJ70" s="7"/>
      <c r="BK70" s="7"/>
      <c r="BL70" s="7"/>
      <c r="BM70" s="7"/>
      <c r="BN70" s="7"/>
      <c r="BO70" s="7"/>
      <c r="BP70" s="7"/>
      <c r="BQ70" s="7"/>
      <c r="BR70" s="7"/>
      <c r="BS70" s="7"/>
      <c r="BT70" s="7"/>
      <c r="BU70" s="7"/>
      <c r="BV70" s="7"/>
      <c r="BW70" s="7"/>
      <c r="BX70" s="7"/>
      <c r="BY70" s="7"/>
      <c r="BZ70" s="7"/>
      <c r="CA70" s="7"/>
      <c r="CB70" s="7"/>
      <c r="CC70" s="7"/>
      <c r="CD70" s="7"/>
      <c r="CE70" s="7"/>
      <c r="CF70" s="7"/>
      <c r="CG70" s="7"/>
      <c r="CH70" s="7"/>
      <c r="CI70" s="7"/>
      <c r="CJ70" s="7"/>
      <c r="CK70" s="7"/>
      <c r="CL70" s="7"/>
      <c r="CM70" s="7"/>
      <c r="CN70" s="7"/>
      <c r="CO70" s="7"/>
      <c r="CP70" s="69"/>
      <c r="CQ70" s="60"/>
      <c r="CS70" s="56">
        <v>28</v>
      </c>
      <c r="CT70" s="754"/>
      <c r="CU70" s="754"/>
      <c r="CV70" s="754"/>
      <c r="CW70" s="754"/>
      <c r="CX70" s="754"/>
      <c r="CY70" s="754"/>
      <c r="CZ70" s="754"/>
      <c r="DA70" s="754"/>
      <c r="DB70" s="754"/>
      <c r="DC70" s="754"/>
      <c r="DD70" s="754"/>
      <c r="DE70" s="754"/>
      <c r="DF70" s="755"/>
      <c r="DG70" s="756">
        <v>0</v>
      </c>
      <c r="DH70" s="747"/>
      <c r="DI70" s="748"/>
      <c r="DJ70" s="748"/>
      <c r="DK70" s="748"/>
      <c r="DL70" s="748"/>
      <c r="DM70" s="748"/>
      <c r="DN70" s="748"/>
      <c r="DO70" s="57"/>
      <c r="DP70" s="57"/>
      <c r="DQ70" s="58"/>
      <c r="DR70" s="57"/>
      <c r="DS70" s="757" t="s">
        <v>1204</v>
      </c>
      <c r="DT70" s="747"/>
      <c r="DU70" s="57">
        <v>28</v>
      </c>
      <c r="DV70" s="758" t="str">
        <f>IF(OR($AV$6="O1",$AV$6="O2",$AV$6="O3"),Sorts!Q102,IF(OR($BB$6="O1",$BB$6="O2"),Sorts!Q164,""))</f>
        <v>Runes Explosives</v>
      </c>
      <c r="DW70" s="744"/>
      <c r="DX70" s="744"/>
      <c r="DY70" s="744"/>
      <c r="DZ70" s="744"/>
      <c r="EA70" s="744"/>
      <c r="EB70" s="744"/>
      <c r="EC70" s="744"/>
      <c r="ED70" s="744"/>
      <c r="EE70" s="744"/>
      <c r="EF70" s="744"/>
      <c r="EG70" s="744"/>
      <c r="EH70" s="744"/>
      <c r="EI70" s="744">
        <v>0</v>
      </c>
      <c r="EJ70" s="745"/>
      <c r="EK70" s="746" t="str">
        <f>IF(OR($AV$6="O1",$AV$6="O2",$AV$6="O3"),Sorts!R102,IF(OR($BB$6="O1",$BB$6="O2"),Sorts!R164,""))</f>
        <v>T</v>
      </c>
      <c r="EL70" s="747"/>
      <c r="EM70" s="748" t="str">
        <f>IF(OR($AV$6="O1",$AV$6="O2",$AV$6="O3"),Sorts!S102,IF(OR($BB$6="O1",$BB$6="O2"),Sorts!S164,""))</f>
        <v>S</v>
      </c>
      <c r="EN70" s="748"/>
      <c r="EO70" s="748"/>
      <c r="EP70" s="57" t="str">
        <f>IF(OR($AV$6="O1",$AV$6="O2",$AV$6="O3"),Sorts!T102,IF(OR($BB$6="O1",$BB$6="O2"),Sorts!T164,""))</f>
        <v>X</v>
      </c>
      <c r="EQ70" s="57" t="str">
        <f>IF(OR($AV$6="O1",$AV$6="O2",$AV$6="O3"),Sorts!U102,IF(OR($BB$6="O1",$BB$6="O2"),Sorts!U164,""))</f>
        <v>X</v>
      </c>
      <c r="ER70" s="58" t="str">
        <f>IF(OR($AV$6="O1",$AV$6="O2",$AV$6="O3"),Sorts!V102,IF(OR($BB$6="O1",$BB$6="O2"),Sorts!V164,""))</f>
        <v>/</v>
      </c>
      <c r="ES70" s="60"/>
      <c r="EU70" s="70"/>
      <c r="GT70" s="71"/>
      <c r="GU70" s="60"/>
      <c r="GW70" s="70"/>
      <c r="IV70" s="71"/>
      <c r="IW70" s="60"/>
      <c r="IY70" s="70"/>
      <c r="KX70" s="71"/>
    </row>
    <row r="71" spans="2:310" ht="18" customHeight="1" x14ac:dyDescent="0.25">
      <c r="B71" s="387"/>
      <c r="C71" s="66"/>
      <c r="D71" s="66"/>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6"/>
      <c r="AG71" s="75"/>
      <c r="AL71" s="77"/>
      <c r="AM71" s="923"/>
      <c r="AN71" s="923"/>
      <c r="AO71" s="924"/>
      <c r="AQ71" s="4"/>
      <c r="AR71" s="7"/>
      <c r="AS71" s="7"/>
      <c r="AT71" s="7"/>
      <c r="AU71" s="7"/>
      <c r="AV71" s="7"/>
      <c r="AW71" s="7"/>
      <c r="AX71" s="7"/>
      <c r="AY71" s="7"/>
      <c r="AZ71" s="7"/>
      <c r="BA71" s="7"/>
      <c r="BB71" s="7"/>
      <c r="BC71" s="7"/>
      <c r="BD71" s="7"/>
      <c r="BE71" s="7"/>
      <c r="BF71" s="7"/>
      <c r="BG71" s="7"/>
      <c r="BH71" s="7"/>
      <c r="BI71" s="7"/>
      <c r="BJ71" s="7"/>
      <c r="BK71" s="7"/>
      <c r="BL71" s="7"/>
      <c r="BM71" s="7"/>
      <c r="BN71" s="7"/>
      <c r="BO71" s="7"/>
      <c r="BP71" s="7"/>
      <c r="BQ71" s="7"/>
      <c r="BR71" s="7"/>
      <c r="BS71" s="7"/>
      <c r="BT71" s="7"/>
      <c r="BU71" s="7"/>
      <c r="BV71" s="7"/>
      <c r="BW71" s="7"/>
      <c r="BX71" s="7"/>
      <c r="BY71" s="7"/>
      <c r="BZ71" s="7"/>
      <c r="CA71" s="7"/>
      <c r="CB71" s="7"/>
      <c r="CC71" s="7"/>
      <c r="CD71" s="7"/>
      <c r="CE71" s="7"/>
      <c r="CF71" s="7"/>
      <c r="CG71" s="7"/>
      <c r="CH71" s="7"/>
      <c r="CI71" s="7"/>
      <c r="CJ71" s="7"/>
      <c r="CK71" s="7"/>
      <c r="CL71" s="7"/>
      <c r="CM71" s="7"/>
      <c r="CN71" s="7"/>
      <c r="CO71" s="7"/>
      <c r="CP71" s="69"/>
      <c r="CQ71" s="60"/>
      <c r="CS71" s="56">
        <v>29</v>
      </c>
      <c r="CT71" s="754"/>
      <c r="CU71" s="754"/>
      <c r="CV71" s="754"/>
      <c r="CW71" s="754"/>
      <c r="CX71" s="754"/>
      <c r="CY71" s="754"/>
      <c r="CZ71" s="754"/>
      <c r="DA71" s="754"/>
      <c r="DB71" s="754"/>
      <c r="DC71" s="754"/>
      <c r="DD71" s="754"/>
      <c r="DE71" s="754"/>
      <c r="DF71" s="755"/>
      <c r="DG71" s="756">
        <v>0</v>
      </c>
      <c r="DH71" s="747"/>
      <c r="DI71" s="748"/>
      <c r="DJ71" s="748"/>
      <c r="DK71" s="748"/>
      <c r="DL71" s="748"/>
      <c r="DM71" s="748"/>
      <c r="DN71" s="748"/>
      <c r="DO71" s="57"/>
      <c r="DP71" s="57"/>
      <c r="DQ71" s="58"/>
      <c r="DR71" s="57"/>
      <c r="DS71" s="757" t="s">
        <v>1204</v>
      </c>
      <c r="DT71" s="747"/>
      <c r="DU71" s="57">
        <v>29</v>
      </c>
      <c r="DV71" s="758" t="str">
        <f>IF(OR($AV$6="O1",$AV$6="O2",$AV$6="O3"),Sorts!Q103,IF(OR($BB$6="O1",$BB$6="O2"),Sorts!Q165,""))</f>
        <v>Sceau du Serpent Sépia</v>
      </c>
      <c r="DW71" s="744"/>
      <c r="DX71" s="744"/>
      <c r="DY71" s="744"/>
      <c r="DZ71" s="744"/>
      <c r="EA71" s="744"/>
      <c r="EB71" s="744"/>
      <c r="EC71" s="744"/>
      <c r="ED71" s="744"/>
      <c r="EE71" s="744"/>
      <c r="EF71" s="744"/>
      <c r="EG71" s="744"/>
      <c r="EH71" s="744"/>
      <c r="EI71" s="744">
        <v>0</v>
      </c>
      <c r="EJ71" s="745"/>
      <c r="EK71" s="746" t="str">
        <f>IF(OR($AV$6="O1",$AV$6="O2",$AV$6="O3"),Sorts!R103,IF(OR($BB$6="O1",$BB$6="O2"),Sorts!R165,""))</f>
        <v>0,5''</v>
      </c>
      <c r="EL71" s="747"/>
      <c r="EM71" s="748" t="str">
        <f>IF(OR($AV$6="O1",$AV$6="O2",$AV$6="O3"),Sorts!S103,IF(OR($BB$6="O1",$BB$6="O2"),Sorts!S165,""))</f>
        <v>S</v>
      </c>
      <c r="EN71" s="748"/>
      <c r="EO71" s="748"/>
      <c r="EP71" s="57" t="str">
        <f>IF(OR($AV$6="O1",$AV$6="O2",$AV$6="O3"),Sorts!T103,IF(OR($BB$6="O1",$BB$6="O2"),Sorts!T165,""))</f>
        <v>X</v>
      </c>
      <c r="EQ71" s="57" t="str">
        <f>IF(OR($AV$6="O1",$AV$6="O2",$AV$6="O3"),Sorts!U103,IF(OR($BB$6="O1",$BB$6="O2"),Sorts!U165,""))</f>
        <v>X</v>
      </c>
      <c r="ER71" s="58" t="str">
        <f>IF(OR($AV$6="O1",$AV$6="O2",$AV$6="O3"),Sorts!V103,IF(OR($BB$6="O1",$BB$6="O2"),Sorts!V165,""))</f>
        <v>X</v>
      </c>
      <c r="ES71" s="60"/>
      <c r="EU71" s="70"/>
      <c r="GT71" s="71"/>
      <c r="GU71" s="60"/>
      <c r="GW71" s="70"/>
      <c r="IV71" s="71"/>
      <c r="IW71" s="60"/>
      <c r="IY71" s="70"/>
      <c r="KX71" s="71"/>
    </row>
    <row r="72" spans="2:310" ht="18" customHeight="1" x14ac:dyDescent="0.25">
      <c r="B72" s="387"/>
      <c r="C72" s="66"/>
      <c r="D72" s="66"/>
      <c r="E72" s="66"/>
      <c r="F72" s="66"/>
      <c r="G72" s="66"/>
      <c r="H72" s="66"/>
      <c r="I72" s="66"/>
      <c r="J72" s="66"/>
      <c r="K72" s="66"/>
      <c r="L72" s="66"/>
      <c r="M72" s="66"/>
      <c r="N72" s="66"/>
      <c r="O72" s="66"/>
      <c r="P72" s="66"/>
      <c r="Q72" s="66"/>
      <c r="R72" s="66"/>
      <c r="S72" s="66"/>
      <c r="T72" s="66"/>
      <c r="U72" s="66"/>
      <c r="V72" s="66"/>
      <c r="W72" s="66"/>
      <c r="X72" s="66"/>
      <c r="Y72" s="66"/>
      <c r="Z72" s="66"/>
      <c r="AA72" s="66"/>
      <c r="AB72" s="66"/>
      <c r="AC72" s="66"/>
      <c r="AD72" s="66"/>
      <c r="AE72" s="66"/>
      <c r="AG72" s="75"/>
      <c r="AH72" s="7" t="s">
        <v>606</v>
      </c>
      <c r="AI72" s="893"/>
      <c r="AJ72" s="893"/>
      <c r="AK72" s="893"/>
      <c r="AL72" s="77"/>
      <c r="AM72" s="923"/>
      <c r="AN72" s="923"/>
      <c r="AO72" s="924"/>
      <c r="AQ72" s="4"/>
      <c r="AR72" s="7"/>
      <c r="AS72" s="7"/>
      <c r="AT72" s="7"/>
      <c r="AU72" s="7"/>
      <c r="AV72" s="7"/>
      <c r="AW72" s="7"/>
      <c r="AX72" s="7"/>
      <c r="AY72" s="7"/>
      <c r="AZ72" s="7"/>
      <c r="BA72" s="7"/>
      <c r="BB72" s="7"/>
      <c r="BC72" s="7"/>
      <c r="BD72" s="7"/>
      <c r="BE72" s="7"/>
      <c r="BF72" s="7"/>
      <c r="BG72" s="7"/>
      <c r="BH72" s="7"/>
      <c r="BI72" s="7"/>
      <c r="BJ72" s="7"/>
      <c r="BK72" s="7"/>
      <c r="BL72" s="7"/>
      <c r="BM72" s="7"/>
      <c r="BN72" s="7"/>
      <c r="BO72" s="7"/>
      <c r="BP72" s="7"/>
      <c r="BQ72" s="7"/>
      <c r="BR72" s="7"/>
      <c r="BS72" s="7"/>
      <c r="BT72" s="7"/>
      <c r="BU72" s="7"/>
      <c r="BV72" s="7"/>
      <c r="BW72" s="7"/>
      <c r="BX72" s="7"/>
      <c r="BY72" s="7"/>
      <c r="BZ72" s="7"/>
      <c r="CA72" s="7"/>
      <c r="CB72" s="7"/>
      <c r="CC72" s="7"/>
      <c r="CD72" s="7"/>
      <c r="CE72" s="7"/>
      <c r="CF72" s="7"/>
      <c r="CG72" s="7"/>
      <c r="CH72" s="7"/>
      <c r="CI72" s="7"/>
      <c r="CJ72" s="7"/>
      <c r="CK72" s="7"/>
      <c r="CL72" s="7"/>
      <c r="CM72" s="7"/>
      <c r="CN72" s="7"/>
      <c r="CO72" s="7"/>
      <c r="CP72" s="69"/>
      <c r="CQ72" s="25"/>
      <c r="CS72" s="56">
        <v>30</v>
      </c>
      <c r="CT72" s="754"/>
      <c r="CU72" s="754"/>
      <c r="CV72" s="754"/>
      <c r="CW72" s="754"/>
      <c r="CX72" s="754"/>
      <c r="CY72" s="754"/>
      <c r="CZ72" s="754"/>
      <c r="DA72" s="754"/>
      <c r="DB72" s="754"/>
      <c r="DC72" s="754"/>
      <c r="DD72" s="754"/>
      <c r="DE72" s="754"/>
      <c r="DF72" s="755"/>
      <c r="DG72" s="756">
        <v>0</v>
      </c>
      <c r="DH72" s="747"/>
      <c r="DI72" s="748"/>
      <c r="DJ72" s="748"/>
      <c r="DK72" s="748"/>
      <c r="DL72" s="748"/>
      <c r="DM72" s="748"/>
      <c r="DN72" s="748"/>
      <c r="DO72" s="57"/>
      <c r="DP72" s="57"/>
      <c r="DQ72" s="58"/>
      <c r="DR72" s="57"/>
      <c r="DS72" s="757" t="s">
        <v>1204</v>
      </c>
      <c r="DT72" s="747"/>
      <c r="DU72" s="57">
        <v>30</v>
      </c>
      <c r="DV72" s="758" t="str">
        <f>IF(OR($AV$6="O1",$AV$6="O2",$AV$6="O3"),Sorts!Q104,IF(OR($BB$6="O1",$BB$6="O2"),Sorts!Q166,""))</f>
        <v>Suggestion</v>
      </c>
      <c r="DW72" s="744"/>
      <c r="DX72" s="744"/>
      <c r="DY72" s="744"/>
      <c r="DZ72" s="744"/>
      <c r="EA72" s="744"/>
      <c r="EB72" s="744"/>
      <c r="EC72" s="744"/>
      <c r="ED72" s="744"/>
      <c r="EE72" s="744"/>
      <c r="EF72" s="744"/>
      <c r="EG72" s="744"/>
      <c r="EH72" s="744"/>
      <c r="EI72" s="744">
        <v>0</v>
      </c>
      <c r="EJ72" s="745"/>
      <c r="EK72" s="746" t="str">
        <f>IF(OR($AV$6="O1",$AV$6="O2",$AV$6="O3"),Sorts!R104,IF(OR($BB$6="O1",$BB$6="O2"),Sorts!R166,""))</f>
        <v>3''</v>
      </c>
      <c r="EL72" s="747"/>
      <c r="EM72" s="748" t="str">
        <f>IF(OR($AV$6="O1",$AV$6="O2",$AV$6="O3"),Sorts!S104,IF(OR($BB$6="O1",$BB$6="O2"),Sorts!S166,""))</f>
        <v>6t+6/n</v>
      </c>
      <c r="EN72" s="748"/>
      <c r="EO72" s="748"/>
      <c r="EP72" s="57" t="str">
        <f>IF(OR($AV$6="O1",$AV$6="O2",$AV$6="O3"),Sorts!T104,IF(OR($BB$6="O1",$BB$6="O2"),Sorts!T166,""))</f>
        <v>X</v>
      </c>
      <c r="EQ72" s="57" t="str">
        <f>IF(OR($AV$6="O1",$AV$6="O2",$AV$6="O3"),Sorts!U104,IF(OR($BB$6="O1",$BB$6="O2"),Sorts!U166,""))</f>
        <v>/</v>
      </c>
      <c r="ER72" s="58" t="str">
        <f>IF(OR($AV$6="O1",$AV$6="O2",$AV$6="O3"),Sorts!V104,IF(OR($BB$6="O1",$BB$6="O2"),Sorts!V166,""))</f>
        <v>X</v>
      </c>
      <c r="ES72" s="25"/>
      <c r="EU72" s="70"/>
      <c r="GT72" s="71"/>
      <c r="GU72" s="25"/>
      <c r="GW72" s="70"/>
      <c r="IV72" s="71"/>
      <c r="IW72" s="25"/>
      <c r="IY72" s="70"/>
      <c r="KX72" s="71"/>
    </row>
    <row r="73" spans="2:310" ht="18" customHeight="1" x14ac:dyDescent="0.25">
      <c r="B73" s="387"/>
      <c r="C73" s="66"/>
      <c r="D73" s="66"/>
      <c r="E73" s="66"/>
      <c r="F73" s="66"/>
      <c r="G73" s="66"/>
      <c r="H73" s="66"/>
      <c r="I73" s="66"/>
      <c r="J73" s="66"/>
      <c r="K73" s="66"/>
      <c r="L73" s="66"/>
      <c r="M73" s="66"/>
      <c r="N73" s="66"/>
      <c r="O73" s="66"/>
      <c r="P73" s="66"/>
      <c r="Q73" s="66"/>
      <c r="R73" s="66"/>
      <c r="S73" s="66"/>
      <c r="T73" s="66"/>
      <c r="U73" s="66"/>
      <c r="V73" s="66"/>
      <c r="W73" s="66"/>
      <c r="X73" s="66"/>
      <c r="Y73" s="66"/>
      <c r="Z73" s="66"/>
      <c r="AA73" s="66"/>
      <c r="AB73" s="66"/>
      <c r="AC73" s="66"/>
      <c r="AD73" s="66"/>
      <c r="AE73" s="66"/>
      <c r="AG73" s="75"/>
      <c r="AH73" s="7" t="s">
        <v>605</v>
      </c>
      <c r="AI73" s="893"/>
      <c r="AJ73" s="893"/>
      <c r="AK73" s="893"/>
      <c r="AL73" s="77"/>
      <c r="AM73" s="923"/>
      <c r="AN73" s="923"/>
      <c r="AO73" s="924"/>
      <c r="AQ73" s="4"/>
      <c r="AR73" s="7"/>
      <c r="AS73" s="7"/>
      <c r="AT73" s="7"/>
      <c r="AU73" s="7"/>
      <c r="AV73" s="7"/>
      <c r="AW73" s="7"/>
      <c r="AX73" s="7"/>
      <c r="AY73" s="7"/>
      <c r="AZ73" s="7"/>
      <c r="BA73" s="7"/>
      <c r="BB73" s="7"/>
      <c r="BC73" s="7"/>
      <c r="BD73" s="7"/>
      <c r="BE73" s="7"/>
      <c r="BF73" s="7"/>
      <c r="BG73" s="7"/>
      <c r="BH73" s="7"/>
      <c r="BI73" s="7"/>
      <c r="BJ73" s="7"/>
      <c r="BK73" s="7"/>
      <c r="BL73" s="7"/>
      <c r="BM73" s="7"/>
      <c r="BN73" s="7"/>
      <c r="BO73" s="7"/>
      <c r="BP73" s="7"/>
      <c r="BQ73" s="7"/>
      <c r="BR73" s="7"/>
      <c r="BS73" s="7"/>
      <c r="BT73" s="7"/>
      <c r="BU73" s="7"/>
      <c r="BV73" s="7"/>
      <c r="BW73" s="7"/>
      <c r="BX73" s="7"/>
      <c r="BY73" s="7"/>
      <c r="BZ73" s="7"/>
      <c r="CA73" s="7"/>
      <c r="CB73" s="7"/>
      <c r="CC73" s="7"/>
      <c r="CD73" s="7"/>
      <c r="CE73" s="7"/>
      <c r="CF73" s="7"/>
      <c r="CG73" s="7"/>
      <c r="CH73" s="7"/>
      <c r="CI73" s="7"/>
      <c r="CJ73" s="7"/>
      <c r="CK73" s="7"/>
      <c r="CL73" s="7"/>
      <c r="CM73" s="7"/>
      <c r="CN73" s="7"/>
      <c r="CO73" s="7"/>
      <c r="CP73" s="69"/>
      <c r="CS73" s="56">
        <v>31</v>
      </c>
      <c r="CT73" s="754"/>
      <c r="CU73" s="754"/>
      <c r="CV73" s="754"/>
      <c r="CW73" s="754"/>
      <c r="CX73" s="754"/>
      <c r="CY73" s="754"/>
      <c r="CZ73" s="754"/>
      <c r="DA73" s="754"/>
      <c r="DB73" s="754"/>
      <c r="DC73" s="754"/>
      <c r="DD73" s="754"/>
      <c r="DE73" s="754"/>
      <c r="DF73" s="755"/>
      <c r="DG73" s="756">
        <v>0</v>
      </c>
      <c r="DH73" s="747"/>
      <c r="DI73" s="748"/>
      <c r="DJ73" s="748"/>
      <c r="DK73" s="748"/>
      <c r="DL73" s="748"/>
      <c r="DM73" s="748"/>
      <c r="DN73" s="748"/>
      <c r="DO73" s="57"/>
      <c r="DP73" s="57"/>
      <c r="DQ73" s="58"/>
      <c r="DR73" s="57"/>
      <c r="DS73" s="757" t="s">
        <v>1204</v>
      </c>
      <c r="DT73" s="747"/>
      <c r="DU73" s="57">
        <v>31</v>
      </c>
      <c r="DV73" s="758" t="str">
        <f>IF(OR($AV$6="O1",$AV$6="O2",$AV$6="O3"),Sorts!Q105,IF(OR($BB$6="O1",$BB$6="O2"),Sorts!Q167,""))</f>
        <v>Trombe d’Eau</v>
      </c>
      <c r="DW73" s="744"/>
      <c r="DX73" s="744"/>
      <c r="DY73" s="744"/>
      <c r="DZ73" s="744"/>
      <c r="EA73" s="744"/>
      <c r="EB73" s="744"/>
      <c r="EC73" s="744"/>
      <c r="ED73" s="744"/>
      <c r="EE73" s="744"/>
      <c r="EF73" s="744"/>
      <c r="EG73" s="744"/>
      <c r="EH73" s="744"/>
      <c r="EI73" s="744">
        <v>0</v>
      </c>
      <c r="EJ73" s="745"/>
      <c r="EK73" s="746" t="str">
        <f>IF(OR($AV$6="O1",$AV$6="O2",$AV$6="O3"),Sorts!R105,IF(OR($BB$6="O1",$BB$6="O2"),Sorts!R167,""))</f>
        <v>1''/n</v>
      </c>
      <c r="EL73" s="747"/>
      <c r="EM73" s="748" t="str">
        <f>IF(OR($AV$6="O1",$AV$6="O2",$AV$6="O3"),Sorts!S105,IF(OR($BB$6="O1",$BB$6="O2"),Sorts!S167,""))</f>
        <v>1r</v>
      </c>
      <c r="EN73" s="748"/>
      <c r="EO73" s="748"/>
      <c r="EP73" s="57" t="str">
        <f>IF(OR($AV$6="O1",$AV$6="O2",$AV$6="O3"),Sorts!T105,IF(OR($BB$6="O1",$BB$6="O2"),Sorts!T167,""))</f>
        <v>X</v>
      </c>
      <c r="EQ73" s="57" t="str">
        <f>IF(OR($AV$6="O1",$AV$6="O2",$AV$6="O3"),Sorts!U105,IF(OR($BB$6="O1",$BB$6="O2"),Sorts!U167,""))</f>
        <v>X</v>
      </c>
      <c r="ER73" s="58" t="str">
        <f>IF(OR($AV$6="O1",$AV$6="O2",$AV$6="O3"),Sorts!V105,IF(OR($BB$6="O1",$BB$6="O2"),Sorts!V167,""))</f>
        <v>X</v>
      </c>
      <c r="EU73" s="70"/>
      <c r="GT73" s="71"/>
      <c r="GW73" s="70"/>
      <c r="IV73" s="71"/>
      <c r="IY73" s="70"/>
      <c r="KX73" s="71"/>
    </row>
    <row r="74" spans="2:310" ht="18" customHeight="1" thickBot="1" x14ac:dyDescent="0.3">
      <c r="B74" s="387"/>
      <c r="C74" s="66"/>
      <c r="D74" s="66"/>
      <c r="E74" s="66"/>
      <c r="F74" s="66"/>
      <c r="G74" s="66"/>
      <c r="H74" s="66"/>
      <c r="I74" s="66"/>
      <c r="J74" s="66"/>
      <c r="K74" s="66"/>
      <c r="L74" s="66"/>
      <c r="M74" s="66"/>
      <c r="N74" s="66"/>
      <c r="O74" s="66"/>
      <c r="P74" s="66"/>
      <c r="Q74" s="66"/>
      <c r="R74" s="66"/>
      <c r="S74" s="66"/>
      <c r="T74" s="66"/>
      <c r="U74" s="66"/>
      <c r="V74" s="66"/>
      <c r="W74" s="66"/>
      <c r="X74" s="66"/>
      <c r="Y74" s="66"/>
      <c r="Z74" s="66"/>
      <c r="AA74" s="66"/>
      <c r="AB74" s="66"/>
      <c r="AC74" s="66"/>
      <c r="AD74" s="66"/>
      <c r="AE74" s="66"/>
      <c r="AG74" s="75"/>
      <c r="AH74" s="7" t="s">
        <v>607</v>
      </c>
      <c r="AI74" s="893"/>
      <c r="AJ74" s="893"/>
      <c r="AK74" s="893"/>
      <c r="AL74" s="77"/>
      <c r="AM74" s="923"/>
      <c r="AN74" s="923"/>
      <c r="AO74" s="924"/>
      <c r="AQ74" s="4"/>
      <c r="AR74" s="7"/>
      <c r="AS74" s="7"/>
      <c r="AT74" s="7"/>
      <c r="AU74" s="7"/>
      <c r="AV74" s="7"/>
      <c r="AW74" s="7"/>
      <c r="AX74" s="7"/>
      <c r="AY74" s="7"/>
      <c r="AZ74" s="7"/>
      <c r="BA74" s="7"/>
      <c r="BB74" s="7"/>
      <c r="BC74" s="7"/>
      <c r="BD74" s="7"/>
      <c r="BE74" s="7"/>
      <c r="BF74" s="7"/>
      <c r="BG74" s="7"/>
      <c r="BH74" s="7"/>
      <c r="BI74" s="7"/>
      <c r="BJ74" s="7"/>
      <c r="BK74" s="7"/>
      <c r="BL74" s="7"/>
      <c r="BM74" s="7"/>
      <c r="BN74" s="7"/>
      <c r="BO74" s="7"/>
      <c r="BP74" s="7"/>
      <c r="BQ74" s="7"/>
      <c r="BR74" s="7"/>
      <c r="BS74" s="7"/>
      <c r="BT74" s="7"/>
      <c r="BU74" s="7"/>
      <c r="BV74" s="7"/>
      <c r="BW74" s="7"/>
      <c r="BX74" s="7"/>
      <c r="BY74" s="7"/>
      <c r="BZ74" s="7"/>
      <c r="CA74" s="7"/>
      <c r="CB74" s="7"/>
      <c r="CC74" s="7"/>
      <c r="CD74" s="7"/>
      <c r="CE74" s="7"/>
      <c r="CF74" s="7"/>
      <c r="CG74" s="7"/>
      <c r="CH74" s="7"/>
      <c r="CI74" s="7"/>
      <c r="CJ74" s="7"/>
      <c r="CK74" s="7"/>
      <c r="CL74" s="7"/>
      <c r="CM74" s="7"/>
      <c r="CN74" s="7"/>
      <c r="CO74" s="7"/>
      <c r="CP74" s="69"/>
      <c r="CS74" s="56">
        <v>32</v>
      </c>
      <c r="CT74" s="754"/>
      <c r="CU74" s="754"/>
      <c r="CV74" s="754"/>
      <c r="CW74" s="754"/>
      <c r="CX74" s="754"/>
      <c r="CY74" s="754"/>
      <c r="CZ74" s="754"/>
      <c r="DA74" s="754"/>
      <c r="DB74" s="754"/>
      <c r="DC74" s="754"/>
      <c r="DD74" s="754"/>
      <c r="DE74" s="754"/>
      <c r="DF74" s="755"/>
      <c r="DG74" s="756">
        <v>0</v>
      </c>
      <c r="DH74" s="747"/>
      <c r="DI74" s="748"/>
      <c r="DJ74" s="748"/>
      <c r="DK74" s="748"/>
      <c r="DL74" s="748"/>
      <c r="DM74" s="748"/>
      <c r="DN74" s="748"/>
      <c r="DO74" s="57"/>
      <c r="DP74" s="57"/>
      <c r="DQ74" s="58"/>
      <c r="DR74" s="57"/>
      <c r="DS74" s="757" t="s">
        <v>1204</v>
      </c>
      <c r="DT74" s="747"/>
      <c r="DU74" s="57">
        <v>32</v>
      </c>
      <c r="DV74" s="758" t="str">
        <f>IF(OR($AV$6="O1",$AV$6="O2",$AV$6="O3"),Sorts!Q106,IF(OR($BB$6="O1",$BB$6="O2"),Sorts!Q168,""))</f>
        <v>Vol</v>
      </c>
      <c r="DW74" s="744"/>
      <c r="DX74" s="744"/>
      <c r="DY74" s="744"/>
      <c r="DZ74" s="744"/>
      <c r="EA74" s="744"/>
      <c r="EB74" s="744"/>
      <c r="EC74" s="744"/>
      <c r="ED74" s="744"/>
      <c r="EE74" s="744"/>
      <c r="EF74" s="744"/>
      <c r="EG74" s="744"/>
      <c r="EH74" s="744"/>
      <c r="EI74" s="744">
        <v>0</v>
      </c>
      <c r="EJ74" s="745"/>
      <c r="EK74" s="746" t="str">
        <f>IF(OR($AV$6="O1",$AV$6="O2",$AV$6="O3"),Sorts!R106,IF(OR($BB$6="O1",$BB$6="O2"),Sorts!R168,""))</f>
        <v>T</v>
      </c>
      <c r="EL74" s="747"/>
      <c r="EM74" s="748" t="str">
        <f>IF(OR($AV$6="O1",$AV$6="O2",$AV$6="O3"),Sorts!S106,IF(OR($BB$6="O1",$BB$6="O2"),Sorts!S168,""))</f>
        <v>1t/n+1d6</v>
      </c>
      <c r="EN74" s="748"/>
      <c r="EO74" s="748"/>
      <c r="EP74" s="57" t="str">
        <f>IF(OR($AV$6="O1",$AV$6="O2",$AV$6="O3"),Sorts!T106,IF(OR($BB$6="O1",$BB$6="O2"),Sorts!T168,""))</f>
        <v>X</v>
      </c>
      <c r="EQ74" s="57" t="str">
        <f>IF(OR($AV$6="O1",$AV$6="O2",$AV$6="O3"),Sorts!U106,IF(OR($BB$6="O1",$BB$6="O2"),Sorts!U168,""))</f>
        <v>X</v>
      </c>
      <c r="ER74" s="58" t="str">
        <f>IF(OR($AV$6="O1",$AV$6="O2",$AV$6="O3"),Sorts!V106,IF(OR($BB$6="O1",$BB$6="O2"),Sorts!V168,""))</f>
        <v>X</v>
      </c>
      <c r="EU74" s="70"/>
      <c r="GT74" s="71"/>
      <c r="GW74" s="70"/>
      <c r="IV74" s="71"/>
      <c r="IY74" s="70"/>
      <c r="KX74" s="71"/>
    </row>
    <row r="75" spans="2:310" ht="18" customHeight="1" thickTop="1" thickBot="1" x14ac:dyDescent="0.3">
      <c r="B75" s="387"/>
      <c r="C75" s="66"/>
      <c r="D75" s="66"/>
      <c r="E75" s="66"/>
      <c r="F75" s="66"/>
      <c r="G75" s="66"/>
      <c r="H75" s="66"/>
      <c r="I75" s="66"/>
      <c r="J75" s="66"/>
      <c r="K75" s="66"/>
      <c r="L75" s="66"/>
      <c r="M75" s="66"/>
      <c r="N75" s="66"/>
      <c r="O75" s="66"/>
      <c r="P75" s="66"/>
      <c r="Q75" s="66"/>
      <c r="R75" s="66"/>
      <c r="S75" s="66"/>
      <c r="T75" s="66"/>
      <c r="U75" s="66"/>
      <c r="V75" s="66"/>
      <c r="W75" s="66"/>
      <c r="X75" s="66"/>
      <c r="Y75" s="66"/>
      <c r="Z75" s="66"/>
      <c r="AA75" s="66"/>
      <c r="AB75" s="66"/>
      <c r="AC75" s="66"/>
      <c r="AD75" s="66"/>
      <c r="AE75" s="66"/>
      <c r="AG75" s="75"/>
      <c r="AH75" s="7" t="s">
        <v>608</v>
      </c>
      <c r="AI75" s="893"/>
      <c r="AJ75" s="893"/>
      <c r="AK75" s="893"/>
      <c r="AL75" s="77"/>
      <c r="AM75" s="603" t="s">
        <v>320</v>
      </c>
      <c r="AN75" s="603"/>
      <c r="AO75" s="605"/>
      <c r="AQ75" s="4"/>
      <c r="AR75" s="7"/>
      <c r="AS75" s="7"/>
      <c r="AT75" s="7"/>
      <c r="AU75" s="7"/>
      <c r="AV75" s="7"/>
      <c r="AW75" s="7"/>
      <c r="AX75" s="7"/>
      <c r="AY75" s="7"/>
      <c r="AZ75" s="7"/>
      <c r="BA75" s="7"/>
      <c r="BB75" s="7"/>
      <c r="BC75" s="7"/>
      <c r="BD75" s="7"/>
      <c r="BE75" s="7"/>
      <c r="BF75" s="7"/>
      <c r="BG75" s="7"/>
      <c r="BH75" s="7"/>
      <c r="BI75" s="7"/>
      <c r="BJ75" s="7"/>
      <c r="BK75" s="7"/>
      <c r="BL75" s="7"/>
      <c r="BM75" s="7"/>
      <c r="BN75" s="7"/>
      <c r="BO75" s="7"/>
      <c r="BP75" s="7"/>
      <c r="BQ75" s="7"/>
      <c r="BR75" s="7"/>
      <c r="BS75" s="7"/>
      <c r="BT75" s="7"/>
      <c r="BU75" s="7"/>
      <c r="BV75" s="7"/>
      <c r="BW75" s="7"/>
      <c r="BX75" s="7"/>
      <c r="BY75" s="7"/>
      <c r="BZ75" s="7"/>
      <c r="CA75" s="7"/>
      <c r="CB75" s="7"/>
      <c r="CC75" s="7"/>
      <c r="CD75" s="7"/>
      <c r="CE75" s="7"/>
      <c r="CF75" s="7"/>
      <c r="CG75" s="7"/>
      <c r="CH75" s="7"/>
      <c r="CI75" s="7"/>
      <c r="CJ75" s="7"/>
      <c r="CK75" s="7"/>
      <c r="CL75" s="7"/>
      <c r="CM75" s="7"/>
      <c r="CN75" s="7"/>
      <c r="CO75" s="7"/>
      <c r="CP75" s="69"/>
      <c r="CS75" s="628" t="s">
        <v>269</v>
      </c>
      <c r="CT75" s="629"/>
      <c r="CU75" s="629"/>
      <c r="CV75" s="629"/>
      <c r="CW75" s="629"/>
      <c r="CX75" s="629"/>
      <c r="CY75" s="629"/>
      <c r="CZ75" s="629"/>
      <c r="DA75" s="629"/>
      <c r="DB75" s="629"/>
      <c r="DC75" s="629"/>
      <c r="DD75" s="629"/>
      <c r="DE75" s="629"/>
      <c r="DF75" s="629"/>
      <c r="DG75" s="629"/>
      <c r="DH75" s="629"/>
      <c r="DI75" s="629"/>
      <c r="DJ75" s="629"/>
      <c r="DK75" s="629"/>
      <c r="DL75" s="629"/>
      <c r="DM75" s="629"/>
      <c r="DN75" s="629"/>
      <c r="DO75" s="629"/>
      <c r="DP75" s="629"/>
      <c r="DQ75" s="629"/>
      <c r="DR75" s="629"/>
      <c r="DS75" s="629"/>
      <c r="DT75" s="629"/>
      <c r="DU75" s="629"/>
      <c r="DV75" s="629"/>
      <c r="DW75" s="629"/>
      <c r="DX75" s="629"/>
      <c r="DY75" s="629"/>
      <c r="DZ75" s="629"/>
      <c r="EA75" s="629"/>
      <c r="EB75" s="629"/>
      <c r="EC75" s="629"/>
      <c r="ED75" s="629"/>
      <c r="EE75" s="629"/>
      <c r="EF75" s="629"/>
      <c r="EG75" s="629"/>
      <c r="EH75" s="629"/>
      <c r="EI75" s="629"/>
      <c r="EJ75" s="629"/>
      <c r="EK75" s="629"/>
      <c r="EL75" s="629"/>
      <c r="EM75" s="629"/>
      <c r="EN75" s="629"/>
      <c r="EO75" s="629"/>
      <c r="EP75" s="629"/>
      <c r="EQ75" s="629"/>
      <c r="ER75" s="749"/>
      <c r="EU75" s="70"/>
      <c r="GT75" s="71"/>
      <c r="GW75" s="70"/>
      <c r="IV75" s="71"/>
      <c r="IY75" s="70"/>
      <c r="KX75" s="71"/>
    </row>
    <row r="76" spans="2:310" ht="18" customHeight="1" thickTop="1" x14ac:dyDescent="0.25">
      <c r="B76" s="387"/>
      <c r="C76" s="66"/>
      <c r="D76" s="66"/>
      <c r="E76" s="66"/>
      <c r="F76" s="66"/>
      <c r="G76" s="66"/>
      <c r="H76" s="66"/>
      <c r="I76" s="66"/>
      <c r="J76" s="66"/>
      <c r="K76" s="66"/>
      <c r="L76" s="66"/>
      <c r="M76" s="66"/>
      <c r="N76" s="66"/>
      <c r="O76" s="66"/>
      <c r="P76" s="66"/>
      <c r="Q76" s="66"/>
      <c r="R76" s="66"/>
      <c r="S76" s="66"/>
      <c r="T76" s="66"/>
      <c r="U76" s="66"/>
      <c r="V76" s="66"/>
      <c r="W76" s="66"/>
      <c r="X76" s="66"/>
      <c r="Y76" s="66"/>
      <c r="Z76" s="66"/>
      <c r="AA76" s="66"/>
      <c r="AB76" s="66"/>
      <c r="AC76" s="66"/>
      <c r="AD76" s="66"/>
      <c r="AE76" s="66"/>
      <c r="AG76" s="75"/>
      <c r="AH76" s="7" t="s">
        <v>609</v>
      </c>
      <c r="AI76" s="893"/>
      <c r="AJ76" s="893"/>
      <c r="AK76" s="893"/>
      <c r="AL76" s="77"/>
      <c r="AM76" s="750" t="s">
        <v>318</v>
      </c>
      <c r="AN76" s="750"/>
      <c r="AO76" s="751"/>
      <c r="AQ76" s="4"/>
      <c r="AR76" s="7"/>
      <c r="AS76" s="7"/>
      <c r="AT76" s="7"/>
      <c r="AU76" s="7"/>
      <c r="AV76" s="7"/>
      <c r="AW76" s="7"/>
      <c r="AX76" s="7"/>
      <c r="AY76" s="7"/>
      <c r="AZ76" s="7"/>
      <c r="BA76" s="7"/>
      <c r="BB76" s="7"/>
      <c r="BC76" s="7"/>
      <c r="BD76" s="7"/>
      <c r="BE76" s="7"/>
      <c r="BF76" s="7"/>
      <c r="BG76" s="7"/>
      <c r="BH76" s="7"/>
      <c r="BI76" s="7"/>
      <c r="BJ76" s="7"/>
      <c r="BK76" s="7"/>
      <c r="BL76" s="7"/>
      <c r="BM76" s="7"/>
      <c r="BN76" s="7"/>
      <c r="BO76" s="7"/>
      <c r="BP76" s="7"/>
      <c r="BQ76" s="7"/>
      <c r="BR76" s="7"/>
      <c r="BS76" s="7"/>
      <c r="BT76" s="7"/>
      <c r="BU76" s="7"/>
      <c r="BV76" s="7"/>
      <c r="BW76" s="7"/>
      <c r="BX76" s="7"/>
      <c r="BY76" s="7"/>
      <c r="BZ76" s="7"/>
      <c r="CA76" s="7"/>
      <c r="CB76" s="7"/>
      <c r="CC76" s="7"/>
      <c r="CD76" s="7"/>
      <c r="CE76" s="7"/>
      <c r="CF76" s="7"/>
      <c r="CG76" s="7"/>
      <c r="CH76" s="7"/>
      <c r="CI76" s="7"/>
      <c r="CJ76" s="7"/>
      <c r="CK76" s="7"/>
      <c r="CL76" s="7"/>
      <c r="CM76" s="7"/>
      <c r="CN76" s="7"/>
      <c r="CO76" s="7"/>
      <c r="CP76" s="69"/>
      <c r="CS76" s="70"/>
      <c r="ER76" s="71"/>
      <c r="EU76" s="70"/>
      <c r="GT76" s="71"/>
      <c r="GW76" s="70"/>
      <c r="IV76" s="71"/>
      <c r="IY76" s="70"/>
      <c r="KX76" s="71"/>
    </row>
    <row r="77" spans="2:310" ht="18" customHeight="1" thickBot="1" x14ac:dyDescent="0.3">
      <c r="B77" s="530"/>
      <c r="C77" s="531"/>
      <c r="D77" s="531"/>
      <c r="E77" s="531"/>
      <c r="F77" s="531"/>
      <c r="G77" s="531"/>
      <c r="H77" s="531"/>
      <c r="I77" s="531"/>
      <c r="J77" s="531"/>
      <c r="K77" s="531"/>
      <c r="L77" s="531"/>
      <c r="M77" s="531"/>
      <c r="N77" s="531"/>
      <c r="O77" s="531"/>
      <c r="P77" s="531"/>
      <c r="Q77" s="531"/>
      <c r="R77" s="531"/>
      <c r="S77" s="531"/>
      <c r="T77" s="531"/>
      <c r="U77" s="531"/>
      <c r="V77" s="531"/>
      <c r="W77" s="531"/>
      <c r="X77" s="531"/>
      <c r="Y77" s="531"/>
      <c r="Z77" s="531"/>
      <c r="AA77" s="531"/>
      <c r="AB77" s="531"/>
      <c r="AC77" s="531"/>
      <c r="AD77" s="531"/>
      <c r="AE77" s="531"/>
      <c r="AF77" s="24"/>
      <c r="AG77" s="78"/>
      <c r="AH77" s="12"/>
      <c r="AI77" s="12"/>
      <c r="AJ77" s="12"/>
      <c r="AK77" s="12"/>
      <c r="AL77" s="13"/>
      <c r="AM77" s="752"/>
      <c r="AN77" s="752"/>
      <c r="AO77" s="753"/>
      <c r="AQ77" s="76"/>
      <c r="AR77" s="24"/>
      <c r="AS77" s="24"/>
      <c r="AT77" s="24"/>
      <c r="AU77" s="24"/>
      <c r="AV77" s="24"/>
      <c r="AW77" s="24"/>
      <c r="AX77" s="24"/>
      <c r="AY77" s="24"/>
      <c r="AZ77" s="24"/>
      <c r="BA77" s="24"/>
      <c r="BB77" s="24"/>
      <c r="BC77" s="24"/>
      <c r="BD77" s="24"/>
      <c r="BE77" s="24"/>
      <c r="BF77" s="24"/>
      <c r="BG77" s="24"/>
      <c r="BH77" s="24"/>
      <c r="BI77" s="24"/>
      <c r="BJ77" s="24"/>
      <c r="BK77" s="24"/>
      <c r="BL77" s="24"/>
      <c r="BM77" s="24"/>
      <c r="BN77" s="24"/>
      <c r="BO77" s="24"/>
      <c r="BP77" s="24"/>
      <c r="BQ77" s="24"/>
      <c r="BR77" s="24"/>
      <c r="BS77" s="24"/>
      <c r="BT77" s="24"/>
      <c r="BU77" s="24"/>
      <c r="BV77" s="24"/>
      <c r="BW77" s="24"/>
      <c r="BX77" s="24"/>
      <c r="BY77" s="24"/>
      <c r="BZ77" s="24"/>
      <c r="CA77" s="24"/>
      <c r="CB77" s="24"/>
      <c r="CC77" s="24"/>
      <c r="CD77" s="24"/>
      <c r="CE77" s="24"/>
      <c r="CF77" s="24"/>
      <c r="CG77" s="24"/>
      <c r="CH77" s="24"/>
      <c r="CI77" s="24"/>
      <c r="CJ77" s="24"/>
      <c r="CK77" s="24"/>
      <c r="CL77" s="24"/>
      <c r="CM77" s="24"/>
      <c r="CN77" s="24"/>
      <c r="CO77" s="24"/>
      <c r="CP77" s="72"/>
      <c r="CS77" s="80"/>
      <c r="CT77" s="81"/>
      <c r="CU77" s="81"/>
      <c r="CV77" s="81"/>
      <c r="CW77" s="81"/>
      <c r="CX77" s="81"/>
      <c r="CY77" s="81"/>
      <c r="CZ77" s="81"/>
      <c r="DA77" s="81"/>
      <c r="DB77" s="81"/>
      <c r="DC77" s="81"/>
      <c r="DD77" s="81"/>
      <c r="DE77" s="81"/>
      <c r="DF77" s="81"/>
      <c r="DG77" s="81"/>
      <c r="DH77" s="81"/>
      <c r="DI77" s="81"/>
      <c r="DJ77" s="81"/>
      <c r="DK77" s="81"/>
      <c r="DL77" s="81"/>
      <c r="DM77" s="81"/>
      <c r="DN77" s="81"/>
      <c r="DO77" s="81"/>
      <c r="DP77" s="81"/>
      <c r="DQ77" s="81"/>
      <c r="DR77" s="81"/>
      <c r="DS77" s="81"/>
      <c r="DT77" s="81"/>
      <c r="DU77" s="81"/>
      <c r="DV77" s="81"/>
      <c r="DW77" s="81"/>
      <c r="DX77" s="81"/>
      <c r="DY77" s="81"/>
      <c r="DZ77" s="81"/>
      <c r="EA77" s="81"/>
      <c r="EB77" s="81"/>
      <c r="EC77" s="81"/>
      <c r="ED77" s="81"/>
      <c r="EE77" s="81"/>
      <c r="EF77" s="81"/>
      <c r="EG77" s="81"/>
      <c r="EH77" s="81"/>
      <c r="EI77" s="81"/>
      <c r="EJ77" s="81"/>
      <c r="EK77" s="81"/>
      <c r="EL77" s="81"/>
      <c r="EM77" s="81"/>
      <c r="EN77" s="81"/>
      <c r="EO77" s="81"/>
      <c r="EP77" s="81"/>
      <c r="EQ77" s="81"/>
      <c r="ER77" s="82"/>
      <c r="EU77" s="80"/>
      <c r="EV77" s="81"/>
      <c r="EW77" s="81"/>
      <c r="EX77" s="81"/>
      <c r="EY77" s="81"/>
      <c r="EZ77" s="81"/>
      <c r="FA77" s="81"/>
      <c r="FB77" s="81"/>
      <c r="FC77" s="81"/>
      <c r="FD77" s="81"/>
      <c r="FE77" s="81"/>
      <c r="FF77" s="81"/>
      <c r="FG77" s="81"/>
      <c r="FH77" s="81"/>
      <c r="FI77" s="81"/>
      <c r="FJ77" s="81"/>
      <c r="FK77" s="81"/>
      <c r="FL77" s="81"/>
      <c r="FM77" s="81"/>
      <c r="FN77" s="81"/>
      <c r="FO77" s="81"/>
      <c r="FP77" s="81"/>
      <c r="FQ77" s="81"/>
      <c r="FR77" s="81"/>
      <c r="FS77" s="81"/>
      <c r="FT77" s="81"/>
      <c r="FU77" s="81"/>
      <c r="FV77" s="81"/>
      <c r="FW77" s="81"/>
      <c r="FX77" s="81"/>
      <c r="FY77" s="81"/>
      <c r="FZ77" s="81"/>
      <c r="GA77" s="81"/>
      <c r="GB77" s="81"/>
      <c r="GC77" s="81"/>
      <c r="GD77" s="81"/>
      <c r="GE77" s="81"/>
      <c r="GF77" s="81"/>
      <c r="GG77" s="81"/>
      <c r="GH77" s="81"/>
      <c r="GI77" s="81"/>
      <c r="GJ77" s="81"/>
      <c r="GK77" s="81"/>
      <c r="GL77" s="81"/>
      <c r="GM77" s="81"/>
      <c r="GN77" s="81"/>
      <c r="GO77" s="81"/>
      <c r="GP77" s="81"/>
      <c r="GQ77" s="81"/>
      <c r="GR77" s="81"/>
      <c r="GS77" s="81"/>
      <c r="GT77" s="82"/>
      <c r="GW77" s="80"/>
      <c r="GX77" s="81"/>
      <c r="GY77" s="81"/>
      <c r="GZ77" s="81"/>
      <c r="HA77" s="81"/>
      <c r="HB77" s="81"/>
      <c r="HC77" s="81"/>
      <c r="HD77" s="81"/>
      <c r="HE77" s="81"/>
      <c r="HF77" s="81"/>
      <c r="HG77" s="81"/>
      <c r="HH77" s="81"/>
      <c r="HI77" s="81"/>
      <c r="HJ77" s="81"/>
      <c r="HK77" s="81"/>
      <c r="HL77" s="81"/>
      <c r="HM77" s="81"/>
      <c r="HN77" s="81"/>
      <c r="HO77" s="81"/>
      <c r="HP77" s="81"/>
      <c r="HQ77" s="81"/>
      <c r="HR77" s="81"/>
      <c r="HS77" s="81"/>
      <c r="HT77" s="81"/>
      <c r="HU77" s="81"/>
      <c r="HV77" s="81"/>
      <c r="HW77" s="81"/>
      <c r="HX77" s="81"/>
      <c r="HY77" s="81"/>
      <c r="HZ77" s="81"/>
      <c r="IA77" s="81"/>
      <c r="IB77" s="81"/>
      <c r="IC77" s="81"/>
      <c r="ID77" s="81"/>
      <c r="IE77" s="81"/>
      <c r="IF77" s="81"/>
      <c r="IG77" s="81"/>
      <c r="IH77" s="81"/>
      <c r="II77" s="81"/>
      <c r="IJ77" s="81"/>
      <c r="IK77" s="81"/>
      <c r="IL77" s="81"/>
      <c r="IM77" s="81"/>
      <c r="IN77" s="81"/>
      <c r="IO77" s="81"/>
      <c r="IP77" s="81"/>
      <c r="IQ77" s="81"/>
      <c r="IR77" s="81"/>
      <c r="IS77" s="81"/>
      <c r="IT77" s="81"/>
      <c r="IU77" s="81"/>
      <c r="IV77" s="82"/>
      <c r="IY77" s="80"/>
      <c r="IZ77" s="81"/>
      <c r="JA77" s="81"/>
      <c r="JB77" s="81"/>
      <c r="JC77" s="81"/>
      <c r="JD77" s="81"/>
      <c r="JE77" s="81"/>
      <c r="JF77" s="81"/>
      <c r="JG77" s="81"/>
      <c r="JH77" s="81"/>
      <c r="JI77" s="81"/>
      <c r="JJ77" s="81"/>
      <c r="JK77" s="81"/>
      <c r="JL77" s="81"/>
      <c r="JM77" s="81"/>
      <c r="JN77" s="81"/>
      <c r="JO77" s="81"/>
      <c r="JP77" s="81"/>
      <c r="JQ77" s="81"/>
      <c r="JR77" s="81"/>
      <c r="JS77" s="81"/>
      <c r="JT77" s="81"/>
      <c r="JU77" s="81"/>
      <c r="JV77" s="81"/>
      <c r="JW77" s="81"/>
      <c r="JX77" s="81"/>
      <c r="JY77" s="81"/>
      <c r="JZ77" s="81"/>
      <c r="KA77" s="81"/>
      <c r="KB77" s="81"/>
      <c r="KC77" s="81"/>
      <c r="KD77" s="81"/>
      <c r="KE77" s="81"/>
      <c r="KF77" s="81"/>
      <c r="KG77" s="81"/>
      <c r="KH77" s="81"/>
      <c r="KI77" s="81"/>
      <c r="KJ77" s="81"/>
      <c r="KK77" s="81"/>
      <c r="KL77" s="81"/>
      <c r="KM77" s="81"/>
      <c r="KN77" s="81"/>
      <c r="KO77" s="81"/>
      <c r="KP77" s="81"/>
      <c r="KQ77" s="81"/>
      <c r="KR77" s="81"/>
      <c r="KS77" s="81"/>
      <c r="KT77" s="81"/>
      <c r="KU77" s="81"/>
      <c r="KV77" s="81"/>
      <c r="KW77" s="81"/>
      <c r="KX77" s="82"/>
    </row>
    <row r="78" spans="2:310" ht="20.25" thickTop="1" x14ac:dyDescent="0.25"/>
    <row r="82" ht="15.6" customHeight="1" x14ac:dyDescent="0.25"/>
    <row r="83" ht="16.149999999999999" customHeight="1" x14ac:dyDescent="0.25"/>
  </sheetData>
  <dataConsolidate/>
  <mergeCells count="2772">
    <mergeCell ref="AI72:AK72"/>
    <mergeCell ref="AI73:AK73"/>
    <mergeCell ref="AI74:AK74"/>
    <mergeCell ref="AI75:AK75"/>
    <mergeCell ref="AI76:AK76"/>
    <mergeCell ref="AK14:AM15"/>
    <mergeCell ref="AN28:AO28"/>
    <mergeCell ref="AR13:BD13"/>
    <mergeCell ref="AK31:AL32"/>
    <mergeCell ref="L25:M25"/>
    <mergeCell ref="N25:O25"/>
    <mergeCell ref="AR29:BD29"/>
    <mergeCell ref="AR31:BD31"/>
    <mergeCell ref="AR35:BD35"/>
    <mergeCell ref="S19:T20"/>
    <mergeCell ref="O13:P13"/>
    <mergeCell ref="Q13:R14"/>
    <mergeCell ref="S13:T13"/>
    <mergeCell ref="U13:V14"/>
    <mergeCell ref="AH13:AJ13"/>
    <mergeCell ref="O17:P17"/>
    <mergeCell ref="Q17:R18"/>
    <mergeCell ref="S17:T17"/>
    <mergeCell ref="AK27:AL28"/>
    <mergeCell ref="AN27:AO27"/>
    <mergeCell ref="AR15:BD15"/>
    <mergeCell ref="AK18:AM19"/>
    <mergeCell ref="AR25:BD25"/>
    <mergeCell ref="AN26:AO26"/>
    <mergeCell ref="AN32:AO32"/>
    <mergeCell ref="AN14:AO15"/>
    <mergeCell ref="AR33:BD33"/>
    <mergeCell ref="AK33:AL34"/>
    <mergeCell ref="AN33:AO33"/>
    <mergeCell ref="R31:U32"/>
    <mergeCell ref="R33:U34"/>
    <mergeCell ref="V29:W30"/>
    <mergeCell ref="Q11:R12"/>
    <mergeCell ref="S11:T11"/>
    <mergeCell ref="U11:V12"/>
    <mergeCell ref="O19:P19"/>
    <mergeCell ref="Q19:R20"/>
    <mergeCell ref="U19:V20"/>
    <mergeCell ref="AH21:AJ21"/>
    <mergeCell ref="AH22:AJ22"/>
    <mergeCell ref="Y11:Z12"/>
    <mergeCell ref="W11:X11"/>
    <mergeCell ref="W12:X12"/>
    <mergeCell ref="IY2:KX2"/>
    <mergeCell ref="CT3:DF3"/>
    <mergeCell ref="DI3:DK3"/>
    <mergeCell ref="DL3:DN3"/>
    <mergeCell ref="DV3:EH3"/>
    <mergeCell ref="EK3:EL3"/>
    <mergeCell ref="EV3:FH3"/>
    <mergeCell ref="FK3:FM3"/>
    <mergeCell ref="HP3:HR3"/>
    <mergeCell ref="AZ5:BA5"/>
    <mergeCell ref="BB5:BD5"/>
    <mergeCell ref="AR6:AU6"/>
    <mergeCell ref="AR4:AU4"/>
    <mergeCell ref="AX4:BA4"/>
    <mergeCell ref="AX6:BA6"/>
    <mergeCell ref="KB4:KN4"/>
    <mergeCell ref="KO4:KP4"/>
    <mergeCell ref="KQ4:KR4"/>
    <mergeCell ref="KS4:KU4"/>
    <mergeCell ref="AR5:AT5"/>
    <mergeCell ref="AU5:AV5"/>
    <mergeCell ref="AQ1:CP1"/>
    <mergeCell ref="CS1:ER1"/>
    <mergeCell ref="EU1:GT1"/>
    <mergeCell ref="GW1:IV1"/>
    <mergeCell ref="IY1:KX1"/>
    <mergeCell ref="AQ2:CP3"/>
    <mergeCell ref="CS2:ER2"/>
    <mergeCell ref="EU2:GT2"/>
    <mergeCell ref="GW2:IV2"/>
    <mergeCell ref="FN4:FP4"/>
    <mergeCell ref="AL12:AO12"/>
    <mergeCell ref="FU4:FV4"/>
    <mergeCell ref="KQ3:KR3"/>
    <mergeCell ref="CT4:DF4"/>
    <mergeCell ref="DG4:DH4"/>
    <mergeCell ref="DI4:DK4"/>
    <mergeCell ref="DL4:DN4"/>
    <mergeCell ref="DS4:DT4"/>
    <mergeCell ref="DV4:EH4"/>
    <mergeCell ref="EI4:EJ4"/>
    <mergeCell ref="EK4:EL4"/>
    <mergeCell ref="HZ3:IL3"/>
    <mergeCell ref="IO3:IP3"/>
    <mergeCell ref="IZ3:JL3"/>
    <mergeCell ref="JO3:JQ3"/>
    <mergeCell ref="JR3:JT3"/>
    <mergeCell ref="KB3:KN3"/>
    <mergeCell ref="FN3:FP3"/>
    <mergeCell ref="FX3:GJ3"/>
    <mergeCell ref="GM3:GN3"/>
    <mergeCell ref="GX3:HJ3"/>
    <mergeCell ref="HM3:HO3"/>
    <mergeCell ref="AW5:AY5"/>
    <mergeCell ref="IQ4:IS4"/>
    <mergeCell ref="IZ4:JL4"/>
    <mergeCell ref="JM4:JN4"/>
    <mergeCell ref="JO4:JQ4"/>
    <mergeCell ref="JR4:JT4"/>
    <mergeCell ref="JY4:JZ4"/>
    <mergeCell ref="HM4:HO4"/>
    <mergeCell ref="HP4:HR4"/>
    <mergeCell ref="HW4:HX4"/>
    <mergeCell ref="HZ4:IL4"/>
    <mergeCell ref="IM4:IN4"/>
    <mergeCell ref="IO4:IP4"/>
    <mergeCell ref="FX4:GJ4"/>
    <mergeCell ref="GK4:GL4"/>
    <mergeCell ref="GM4:GN4"/>
    <mergeCell ref="GO4:GQ4"/>
    <mergeCell ref="GK5:GL5"/>
    <mergeCell ref="IO5:IP5"/>
    <mergeCell ref="IQ5:IS5"/>
    <mergeCell ref="GX4:HJ4"/>
    <mergeCell ref="HK4:HL4"/>
    <mergeCell ref="EM4:EO4"/>
    <mergeCell ref="EV4:FH4"/>
    <mergeCell ref="FI4:FJ4"/>
    <mergeCell ref="FK4:FM4"/>
    <mergeCell ref="GM5:GN5"/>
    <mergeCell ref="EV5:FH5"/>
    <mergeCell ref="KB6:KN6"/>
    <mergeCell ref="KO6:KP6"/>
    <mergeCell ref="KQ6:KR6"/>
    <mergeCell ref="KS6:KU6"/>
    <mergeCell ref="FN5:FP5"/>
    <mergeCell ref="DG5:DH5"/>
    <mergeCell ref="DI5:DK5"/>
    <mergeCell ref="DL5:DN5"/>
    <mergeCell ref="DS5:DT5"/>
    <mergeCell ref="DV5:EH5"/>
    <mergeCell ref="EI5:EJ5"/>
    <mergeCell ref="JR6:JT6"/>
    <mergeCell ref="JY6:JZ6"/>
    <mergeCell ref="HM6:HO6"/>
    <mergeCell ref="HP6:HR6"/>
    <mergeCell ref="HW6:HX6"/>
    <mergeCell ref="HZ6:IL6"/>
    <mergeCell ref="IM6:IN6"/>
    <mergeCell ref="IO6:IP6"/>
    <mergeCell ref="FX6:GJ6"/>
    <mergeCell ref="GK6:GL6"/>
    <mergeCell ref="GM6:GN6"/>
    <mergeCell ref="GO6:GQ6"/>
    <mergeCell ref="GX6:HJ6"/>
    <mergeCell ref="JY5:JZ5"/>
    <mergeCell ref="KB5:KN5"/>
    <mergeCell ref="KO5:KP5"/>
    <mergeCell ref="KQ5:KR5"/>
    <mergeCell ref="KS5:KU5"/>
    <mergeCell ref="DI6:DK6"/>
    <mergeCell ref="DL6:DN6"/>
    <mergeCell ref="DS6:DT6"/>
    <mergeCell ref="FI5:FJ5"/>
    <mergeCell ref="FK5:FM5"/>
    <mergeCell ref="CT6:DF6"/>
    <mergeCell ref="DG6:DH6"/>
    <mergeCell ref="BB7:BD7"/>
    <mergeCell ref="BE7:BF7"/>
    <mergeCell ref="BG7:BI7"/>
    <mergeCell ref="BJ7:BK7"/>
    <mergeCell ref="BL7:BN7"/>
    <mergeCell ref="BO7:BP7"/>
    <mergeCell ref="DI7:DK7"/>
    <mergeCell ref="DL7:DN7"/>
    <mergeCell ref="BQ7:BS7"/>
    <mergeCell ref="BT7:BU7"/>
    <mergeCell ref="BV7:BX7"/>
    <mergeCell ref="BY7:BZ7"/>
    <mergeCell ref="CA7:CC7"/>
    <mergeCell ref="BE5:BF5"/>
    <mergeCell ref="BG5:BI5"/>
    <mergeCell ref="BJ5:BK5"/>
    <mergeCell ref="BL5:BN5"/>
    <mergeCell ref="DG7:DH7"/>
    <mergeCell ref="CD7:CE7"/>
    <mergeCell ref="IZ5:JL5"/>
    <mergeCell ref="JM5:JN5"/>
    <mergeCell ref="JO5:JQ5"/>
    <mergeCell ref="JR5:JT5"/>
    <mergeCell ref="HK5:HL5"/>
    <mergeCell ref="HM5:HO5"/>
    <mergeCell ref="HP5:HR5"/>
    <mergeCell ref="HW5:HX5"/>
    <mergeCell ref="HZ5:IL5"/>
    <mergeCell ref="IM5:IN5"/>
    <mergeCell ref="FU5:FV5"/>
    <mergeCell ref="FX5:GJ5"/>
    <mergeCell ref="IQ6:IS6"/>
    <mergeCell ref="IZ6:JL6"/>
    <mergeCell ref="JM6:JN6"/>
    <mergeCell ref="JO6:JQ6"/>
    <mergeCell ref="BO5:BP5"/>
    <mergeCell ref="BQ5:BS5"/>
    <mergeCell ref="BT5:BU5"/>
    <mergeCell ref="BV5:BX5"/>
    <mergeCell ref="HK6:HL6"/>
    <mergeCell ref="BY5:BZ5"/>
    <mergeCell ref="CT5:DF5"/>
    <mergeCell ref="FN6:FP6"/>
    <mergeCell ref="FU6:FV6"/>
    <mergeCell ref="DV6:EH6"/>
    <mergeCell ref="EI6:EJ6"/>
    <mergeCell ref="EK6:EL6"/>
    <mergeCell ref="EM6:EO6"/>
    <mergeCell ref="EV6:FH6"/>
    <mergeCell ref="FI6:FJ6"/>
    <mergeCell ref="FK6:FM6"/>
    <mergeCell ref="GO5:GQ5"/>
    <mergeCell ref="GX5:HJ5"/>
    <mergeCell ref="EK5:EL5"/>
    <mergeCell ref="EM5:EO5"/>
    <mergeCell ref="KS7:KU7"/>
    <mergeCell ref="AQ8:CP8"/>
    <mergeCell ref="CT8:DF8"/>
    <mergeCell ref="DG8:DH8"/>
    <mergeCell ref="DI8:DK8"/>
    <mergeCell ref="DL8:DN8"/>
    <mergeCell ref="JM7:JN7"/>
    <mergeCell ref="JO7:JQ7"/>
    <mergeCell ref="JR7:JT7"/>
    <mergeCell ref="JY7:JZ7"/>
    <mergeCell ref="KB7:KN7"/>
    <mergeCell ref="KO7:KP7"/>
    <mergeCell ref="HW7:HX7"/>
    <mergeCell ref="HZ7:IL7"/>
    <mergeCell ref="IM7:IN7"/>
    <mergeCell ref="AR7:AT7"/>
    <mergeCell ref="AU7:AV7"/>
    <mergeCell ref="AW7:AY7"/>
    <mergeCell ref="AZ7:BA7"/>
    <mergeCell ref="HK8:HL8"/>
    <mergeCell ref="HM8:HO8"/>
    <mergeCell ref="HP8:HR8"/>
    <mergeCell ref="FI8:FJ8"/>
    <mergeCell ref="FK8:FM8"/>
    <mergeCell ref="FN8:FP8"/>
    <mergeCell ref="FU8:FV8"/>
    <mergeCell ref="FX8:GJ8"/>
    <mergeCell ref="GK8:GL8"/>
    <mergeCell ref="EV8:FH8"/>
    <mergeCell ref="CF7:CH7"/>
    <mergeCell ref="CI7:CJ7"/>
    <mergeCell ref="CT7:DF7"/>
    <mergeCell ref="KQ7:KR7"/>
    <mergeCell ref="GK7:GL7"/>
    <mergeCell ref="DS7:DT7"/>
    <mergeCell ref="DV7:EH7"/>
    <mergeCell ref="EI7:EJ7"/>
    <mergeCell ref="EK7:EL7"/>
    <mergeCell ref="EM7:EO7"/>
    <mergeCell ref="EV7:FH7"/>
    <mergeCell ref="FN9:FP9"/>
    <mergeCell ref="FU9:FV9"/>
    <mergeCell ref="DI9:DK9"/>
    <mergeCell ref="DL9:DN9"/>
    <mergeCell ref="DS9:DT9"/>
    <mergeCell ref="DV9:EH9"/>
    <mergeCell ref="EI9:EJ9"/>
    <mergeCell ref="EK9:EL9"/>
    <mergeCell ref="KQ8:KR8"/>
    <mergeCell ref="IO7:IP7"/>
    <mergeCell ref="IQ7:IS7"/>
    <mergeCell ref="IZ7:JL7"/>
    <mergeCell ref="GM7:GN7"/>
    <mergeCell ref="GO7:GQ7"/>
    <mergeCell ref="GX7:HJ7"/>
    <mergeCell ref="HK7:HL7"/>
    <mergeCell ref="HM7:HO7"/>
    <mergeCell ref="HP7:HR7"/>
    <mergeCell ref="FI7:FJ7"/>
    <mergeCell ref="FK7:FM7"/>
    <mergeCell ref="FN7:FP7"/>
    <mergeCell ref="FU7:FV7"/>
    <mergeCell ref="FX7:GJ7"/>
    <mergeCell ref="GX8:HJ8"/>
    <mergeCell ref="KS8:KU8"/>
    <mergeCell ref="AR9:BD9"/>
    <mergeCell ref="BG9:BI9"/>
    <mergeCell ref="BJ9:BL9"/>
    <mergeCell ref="BT9:CF9"/>
    <mergeCell ref="CI9:CJ9"/>
    <mergeCell ref="CT9:DF9"/>
    <mergeCell ref="DG9:DH9"/>
    <mergeCell ref="JM8:JN8"/>
    <mergeCell ref="JO8:JQ8"/>
    <mergeCell ref="JR8:JT8"/>
    <mergeCell ref="JY8:JZ8"/>
    <mergeCell ref="KB8:KN8"/>
    <mergeCell ref="KO8:KP8"/>
    <mergeCell ref="HW8:HX8"/>
    <mergeCell ref="HZ8:IL8"/>
    <mergeCell ref="IM8:IN8"/>
    <mergeCell ref="IO8:IP8"/>
    <mergeCell ref="IQ8:IS8"/>
    <mergeCell ref="IZ8:JL8"/>
    <mergeCell ref="GM8:GN8"/>
    <mergeCell ref="GO8:GQ8"/>
    <mergeCell ref="KB9:KN9"/>
    <mergeCell ref="KO9:KP9"/>
    <mergeCell ref="KQ9:KR9"/>
    <mergeCell ref="KS9:KU9"/>
    <mergeCell ref="DS8:DT8"/>
    <mergeCell ref="DV8:EH8"/>
    <mergeCell ref="EI8:EJ8"/>
    <mergeCell ref="EK8:EL8"/>
    <mergeCell ref="EM8:EO8"/>
    <mergeCell ref="AR10:BD10"/>
    <mergeCell ref="BE10:BF10"/>
    <mergeCell ref="BG10:BI10"/>
    <mergeCell ref="BJ10:BL10"/>
    <mergeCell ref="BQ10:BR10"/>
    <mergeCell ref="BT10:CF10"/>
    <mergeCell ref="IQ9:IS9"/>
    <mergeCell ref="IZ9:JL9"/>
    <mergeCell ref="JM9:JN9"/>
    <mergeCell ref="JO9:JQ9"/>
    <mergeCell ref="JR9:JT9"/>
    <mergeCell ref="JY9:JZ9"/>
    <mergeCell ref="HM9:HO9"/>
    <mergeCell ref="HP9:HR9"/>
    <mergeCell ref="HW9:HX9"/>
    <mergeCell ref="HZ9:IL9"/>
    <mergeCell ref="IM9:IN9"/>
    <mergeCell ref="IO9:IP9"/>
    <mergeCell ref="FX9:GJ9"/>
    <mergeCell ref="GK9:GL9"/>
    <mergeCell ref="GM9:GN9"/>
    <mergeCell ref="GO9:GQ9"/>
    <mergeCell ref="GX9:HJ9"/>
    <mergeCell ref="HK9:HL9"/>
    <mergeCell ref="EM9:EO9"/>
    <mergeCell ref="EV9:FH9"/>
    <mergeCell ref="FI9:FJ9"/>
    <mergeCell ref="FK9:FM9"/>
    <mergeCell ref="HM10:HO10"/>
    <mergeCell ref="EV10:FH10"/>
    <mergeCell ref="FI10:FJ10"/>
    <mergeCell ref="FK10:FM10"/>
    <mergeCell ref="FN10:FP10"/>
    <mergeCell ref="FU10:FV10"/>
    <mergeCell ref="FX10:GJ10"/>
    <mergeCell ref="DL10:DN10"/>
    <mergeCell ref="DS10:DT10"/>
    <mergeCell ref="DV10:EH10"/>
    <mergeCell ref="EI10:EJ10"/>
    <mergeCell ref="EK10:EL10"/>
    <mergeCell ref="EM10:EO10"/>
    <mergeCell ref="CG10:CH10"/>
    <mergeCell ref="CI10:CJ10"/>
    <mergeCell ref="CK10:CM10"/>
    <mergeCell ref="CT10:DF10"/>
    <mergeCell ref="DG10:DH10"/>
    <mergeCell ref="DI10:DK10"/>
    <mergeCell ref="KO10:KP10"/>
    <mergeCell ref="KQ10:KR10"/>
    <mergeCell ref="KS10:KU10"/>
    <mergeCell ref="B11:C12"/>
    <mergeCell ref="E11:F12"/>
    <mergeCell ref="G11:H12"/>
    <mergeCell ref="I11:J12"/>
    <mergeCell ref="K11:L12"/>
    <mergeCell ref="M11:N12"/>
    <mergeCell ref="O11:P11"/>
    <mergeCell ref="IZ10:JL10"/>
    <mergeCell ref="JM10:JN10"/>
    <mergeCell ref="JO10:JQ10"/>
    <mergeCell ref="JR10:JT10"/>
    <mergeCell ref="JY10:JZ10"/>
    <mergeCell ref="KB10:KN10"/>
    <mergeCell ref="HP10:HR10"/>
    <mergeCell ref="HW10:HX10"/>
    <mergeCell ref="HZ10:IL10"/>
    <mergeCell ref="IM10:IN10"/>
    <mergeCell ref="IO10:IP10"/>
    <mergeCell ref="IQ10:IS10"/>
    <mergeCell ref="GK10:GL10"/>
    <mergeCell ref="GM10:GN10"/>
    <mergeCell ref="GO10:GQ10"/>
    <mergeCell ref="GX10:HJ10"/>
    <mergeCell ref="HK10:HL10"/>
    <mergeCell ref="FK11:FM11"/>
    <mergeCell ref="FN11:FP11"/>
    <mergeCell ref="FU11:FV11"/>
    <mergeCell ref="FX11:GJ11"/>
    <mergeCell ref="DL11:DN11"/>
    <mergeCell ref="BE11:BF11"/>
    <mergeCell ref="BG11:BI11"/>
    <mergeCell ref="BJ11:BL11"/>
    <mergeCell ref="BQ11:BR11"/>
    <mergeCell ref="BT11:CF11"/>
    <mergeCell ref="DS11:DT11"/>
    <mergeCell ref="DV11:EH11"/>
    <mergeCell ref="EI11:EJ11"/>
    <mergeCell ref="EK11:EL11"/>
    <mergeCell ref="EM11:EO11"/>
    <mergeCell ref="CG11:CH11"/>
    <mergeCell ref="CI11:CJ11"/>
    <mergeCell ref="CK11:CM11"/>
    <mergeCell ref="CT11:DF11"/>
    <mergeCell ref="DG11:DH11"/>
    <mergeCell ref="DI11:DK11"/>
    <mergeCell ref="O12:P12"/>
    <mergeCell ref="S12:T12"/>
    <mergeCell ref="AR12:BD12"/>
    <mergeCell ref="BE12:BF12"/>
    <mergeCell ref="BG12:BI12"/>
    <mergeCell ref="EI12:EJ12"/>
    <mergeCell ref="EK12:EL12"/>
    <mergeCell ref="EM12:EO12"/>
    <mergeCell ref="AR11:BD11"/>
    <mergeCell ref="CT12:DF12"/>
    <mergeCell ref="DG12:DH12"/>
    <mergeCell ref="DI12:DK12"/>
    <mergeCell ref="DL12:DN12"/>
    <mergeCell ref="DS12:DT12"/>
    <mergeCell ref="DV12:EH12"/>
    <mergeCell ref="BJ12:BL12"/>
    <mergeCell ref="BQ12:BR12"/>
    <mergeCell ref="BT12:CF12"/>
    <mergeCell ref="GK12:GL12"/>
    <mergeCell ref="GM12:GN12"/>
    <mergeCell ref="GO12:GQ12"/>
    <mergeCell ref="KO11:KP11"/>
    <mergeCell ref="KQ11:KR11"/>
    <mergeCell ref="KS11:KU11"/>
    <mergeCell ref="EV12:FH12"/>
    <mergeCell ref="FI12:FJ12"/>
    <mergeCell ref="FK12:FM12"/>
    <mergeCell ref="IZ11:JL11"/>
    <mergeCell ref="JM11:JN11"/>
    <mergeCell ref="JO11:JQ11"/>
    <mergeCell ref="JR11:JT11"/>
    <mergeCell ref="JY11:JZ11"/>
    <mergeCell ref="KB11:KN11"/>
    <mergeCell ref="HP11:HR11"/>
    <mergeCell ref="HW11:HX11"/>
    <mergeCell ref="HZ11:IL11"/>
    <mergeCell ref="IM11:IN11"/>
    <mergeCell ref="IO11:IP11"/>
    <mergeCell ref="IQ11:IS11"/>
    <mergeCell ref="GK11:GL11"/>
    <mergeCell ref="GM11:GN11"/>
    <mergeCell ref="GO11:GQ11"/>
    <mergeCell ref="JR12:JT12"/>
    <mergeCell ref="JY12:JZ12"/>
    <mergeCell ref="KB12:KN12"/>
    <mergeCell ref="GX11:HJ11"/>
    <mergeCell ref="HK11:HL11"/>
    <mergeCell ref="HM11:HO11"/>
    <mergeCell ref="EV13:FH13"/>
    <mergeCell ref="FI13:FJ13"/>
    <mergeCell ref="FK13:FM13"/>
    <mergeCell ref="DL13:DN13"/>
    <mergeCell ref="DS13:DT13"/>
    <mergeCell ref="DV13:EH13"/>
    <mergeCell ref="EI13:EJ13"/>
    <mergeCell ref="EK13:EL13"/>
    <mergeCell ref="EM13:EO13"/>
    <mergeCell ref="CG12:CH12"/>
    <mergeCell ref="CI12:CJ12"/>
    <mergeCell ref="CK12:CM12"/>
    <mergeCell ref="EV11:FH11"/>
    <mergeCell ref="FI11:FJ11"/>
    <mergeCell ref="KO12:KP12"/>
    <mergeCell ref="KQ12:KR12"/>
    <mergeCell ref="KS12:KU12"/>
    <mergeCell ref="IM12:IN12"/>
    <mergeCell ref="IO12:IP12"/>
    <mergeCell ref="IQ12:IS12"/>
    <mergeCell ref="IZ12:JL12"/>
    <mergeCell ref="JM12:JN12"/>
    <mergeCell ref="JO12:JQ12"/>
    <mergeCell ref="GX12:HJ12"/>
    <mergeCell ref="HK12:HL12"/>
    <mergeCell ref="HM12:HO12"/>
    <mergeCell ref="HP12:HR12"/>
    <mergeCell ref="HW12:HX12"/>
    <mergeCell ref="HZ12:IL12"/>
    <mergeCell ref="FN12:FP12"/>
    <mergeCell ref="FU12:FV12"/>
    <mergeCell ref="FX12:GJ12"/>
    <mergeCell ref="KO13:KP13"/>
    <mergeCell ref="KQ13:KR13"/>
    <mergeCell ref="KS13:KU13"/>
    <mergeCell ref="G14:H14"/>
    <mergeCell ref="K14:L14"/>
    <mergeCell ref="O14:P14"/>
    <mergeCell ref="S14:T14"/>
    <mergeCell ref="AR14:BD14"/>
    <mergeCell ref="BE14:BF14"/>
    <mergeCell ref="IZ13:JL13"/>
    <mergeCell ref="JM13:JN13"/>
    <mergeCell ref="JO13:JQ13"/>
    <mergeCell ref="JR13:JT13"/>
    <mergeCell ref="JY13:JZ13"/>
    <mergeCell ref="KB13:KN13"/>
    <mergeCell ref="HP13:HR13"/>
    <mergeCell ref="HW13:HX13"/>
    <mergeCell ref="HZ13:IL13"/>
    <mergeCell ref="IM13:IN13"/>
    <mergeCell ref="IO13:IP13"/>
    <mergeCell ref="IQ13:IS13"/>
    <mergeCell ref="GK13:GL13"/>
    <mergeCell ref="GM13:GN13"/>
    <mergeCell ref="GO13:GQ13"/>
    <mergeCell ref="GX13:HJ13"/>
    <mergeCell ref="HK13:HL13"/>
    <mergeCell ref="HM13:HO13"/>
    <mergeCell ref="CG13:CH13"/>
    <mergeCell ref="CI13:CJ13"/>
    <mergeCell ref="CK13:CM13"/>
    <mergeCell ref="CT13:DF13"/>
    <mergeCell ref="DG13:DH13"/>
    <mergeCell ref="I13:J14"/>
    <mergeCell ref="K13:L13"/>
    <mergeCell ref="M13:N14"/>
    <mergeCell ref="EK15:EL15"/>
    <mergeCell ref="EM15:EO15"/>
    <mergeCell ref="BQ15:BR15"/>
    <mergeCell ref="BT15:CF15"/>
    <mergeCell ref="CG15:CH15"/>
    <mergeCell ref="CI15:CJ15"/>
    <mergeCell ref="FN13:FP13"/>
    <mergeCell ref="GK14:GL14"/>
    <mergeCell ref="GM14:GN14"/>
    <mergeCell ref="DV14:EH14"/>
    <mergeCell ref="EI14:EJ14"/>
    <mergeCell ref="EK14:EL14"/>
    <mergeCell ref="EM14:EO14"/>
    <mergeCell ref="EV14:FH14"/>
    <mergeCell ref="FI14:FJ14"/>
    <mergeCell ref="FU13:FV13"/>
    <mergeCell ref="FX13:GJ13"/>
    <mergeCell ref="BG14:BI14"/>
    <mergeCell ref="BJ14:BL14"/>
    <mergeCell ref="BQ14:BR14"/>
    <mergeCell ref="BT14:CF14"/>
    <mergeCell ref="CG14:CH14"/>
    <mergeCell ref="CI14:CJ14"/>
    <mergeCell ref="BE13:BF13"/>
    <mergeCell ref="BG13:BI13"/>
    <mergeCell ref="BJ13:BL13"/>
    <mergeCell ref="BQ13:BR13"/>
    <mergeCell ref="BT13:CF13"/>
    <mergeCell ref="DI13:DK13"/>
    <mergeCell ref="CK14:CM14"/>
    <mergeCell ref="CT14:DF14"/>
    <mergeCell ref="DG14:DH14"/>
    <mergeCell ref="DI14:DK14"/>
    <mergeCell ref="DL14:DN14"/>
    <mergeCell ref="DS14:DT14"/>
    <mergeCell ref="GO15:GQ15"/>
    <mergeCell ref="GX15:HJ15"/>
    <mergeCell ref="CT15:DF15"/>
    <mergeCell ref="KS14:KU14"/>
    <mergeCell ref="B15:C16"/>
    <mergeCell ref="E15:F16"/>
    <mergeCell ref="G15:H15"/>
    <mergeCell ref="I15:J16"/>
    <mergeCell ref="K15:L15"/>
    <mergeCell ref="M15:N16"/>
    <mergeCell ref="O15:P15"/>
    <mergeCell ref="Q15:R16"/>
    <mergeCell ref="S15:T15"/>
    <mergeCell ref="JO14:JQ14"/>
    <mergeCell ref="JR14:JT14"/>
    <mergeCell ref="JY14:JZ14"/>
    <mergeCell ref="KB14:KN14"/>
    <mergeCell ref="KO14:KP14"/>
    <mergeCell ref="KQ14:KR14"/>
    <mergeCell ref="HZ14:IL14"/>
    <mergeCell ref="IM14:IN14"/>
    <mergeCell ref="IO14:IP14"/>
    <mergeCell ref="IQ14:IS14"/>
    <mergeCell ref="B13:C14"/>
    <mergeCell ref="E13:F14"/>
    <mergeCell ref="G13:H13"/>
    <mergeCell ref="IZ14:JL14"/>
    <mergeCell ref="JM14:JN14"/>
    <mergeCell ref="GO14:GQ14"/>
    <mergeCell ref="GX14:HJ14"/>
    <mergeCell ref="HK14:HL14"/>
    <mergeCell ref="HM14:HO14"/>
    <mergeCell ref="HP14:HR14"/>
    <mergeCell ref="HW14:HX14"/>
    <mergeCell ref="FK14:FM14"/>
    <mergeCell ref="FN14:FP14"/>
    <mergeCell ref="FU14:FV14"/>
    <mergeCell ref="FX14:GJ14"/>
    <mergeCell ref="FK15:FM15"/>
    <mergeCell ref="FN15:FP15"/>
    <mergeCell ref="DG15:DH15"/>
    <mergeCell ref="DI15:DK15"/>
    <mergeCell ref="DL15:DN15"/>
    <mergeCell ref="DS15:DT15"/>
    <mergeCell ref="DV15:EH15"/>
    <mergeCell ref="EI15:EJ15"/>
    <mergeCell ref="EV15:FH15"/>
    <mergeCell ref="FI15:FJ15"/>
    <mergeCell ref="FU15:FV15"/>
    <mergeCell ref="FX15:GJ15"/>
    <mergeCell ref="GK15:GL15"/>
    <mergeCell ref="GM15:GN15"/>
    <mergeCell ref="BE16:BF16"/>
    <mergeCell ref="BG16:BI16"/>
    <mergeCell ref="BJ16:BL16"/>
    <mergeCell ref="AR17:BD17"/>
    <mergeCell ref="BE17:BF17"/>
    <mergeCell ref="BG17:BI17"/>
    <mergeCell ref="BJ17:BL17"/>
    <mergeCell ref="BQ17:BR17"/>
    <mergeCell ref="BT17:CF17"/>
    <mergeCell ref="CT17:DF17"/>
    <mergeCell ref="AR19:BD19"/>
    <mergeCell ref="BE19:BF19"/>
    <mergeCell ref="BG19:BI19"/>
    <mergeCell ref="BJ19:BL19"/>
    <mergeCell ref="BQ19:BR19"/>
    <mergeCell ref="CT18:DF18"/>
    <mergeCell ref="CG18:CH18"/>
    <mergeCell ref="BJ18:BL18"/>
    <mergeCell ref="BQ18:BR18"/>
    <mergeCell ref="BT24:CF24"/>
    <mergeCell ref="BT18:CF18"/>
    <mergeCell ref="EV16:FH16"/>
    <mergeCell ref="FI16:FJ16"/>
    <mergeCell ref="FK16:FM16"/>
    <mergeCell ref="FN16:FP16"/>
    <mergeCell ref="DG16:DH16"/>
    <mergeCell ref="JY15:JZ15"/>
    <mergeCell ref="KB15:KN15"/>
    <mergeCell ref="KO15:KP15"/>
    <mergeCell ref="KQ15:KR15"/>
    <mergeCell ref="KS15:KU15"/>
    <mergeCell ref="G16:H16"/>
    <mergeCell ref="K16:L16"/>
    <mergeCell ref="O16:P16"/>
    <mergeCell ref="S16:T16"/>
    <mergeCell ref="IO15:IP15"/>
    <mergeCell ref="IQ15:IS15"/>
    <mergeCell ref="IZ15:JL15"/>
    <mergeCell ref="JM15:JN15"/>
    <mergeCell ref="JO15:JQ15"/>
    <mergeCell ref="JR15:JT15"/>
    <mergeCell ref="HK15:HL15"/>
    <mergeCell ref="HM15:HO15"/>
    <mergeCell ref="HP15:HR15"/>
    <mergeCell ref="HW15:HX15"/>
    <mergeCell ref="HZ15:IL15"/>
    <mergeCell ref="IM15:IN15"/>
    <mergeCell ref="BE15:BF15"/>
    <mergeCell ref="BG15:BI15"/>
    <mergeCell ref="BJ15:BL15"/>
    <mergeCell ref="AR16:BD16"/>
    <mergeCell ref="CK15:CM15"/>
    <mergeCell ref="CG17:CH17"/>
    <mergeCell ref="CI17:CJ17"/>
    <mergeCell ref="CK17:CM17"/>
    <mergeCell ref="EK17:EL17"/>
    <mergeCell ref="EM17:EO17"/>
    <mergeCell ref="KQ16:KR16"/>
    <mergeCell ref="KS16:KU16"/>
    <mergeCell ref="B17:C18"/>
    <mergeCell ref="E17:F18"/>
    <mergeCell ref="G17:H17"/>
    <mergeCell ref="I17:J18"/>
    <mergeCell ref="M17:N18"/>
    <mergeCell ref="IO16:IP16"/>
    <mergeCell ref="IQ16:IS16"/>
    <mergeCell ref="IZ16:JL16"/>
    <mergeCell ref="JM16:JN16"/>
    <mergeCell ref="JO16:JQ16"/>
    <mergeCell ref="JR16:JT16"/>
    <mergeCell ref="HK16:HL16"/>
    <mergeCell ref="HM16:HO16"/>
    <mergeCell ref="HP16:HR16"/>
    <mergeCell ref="HW16:HX16"/>
    <mergeCell ref="HZ16:IL16"/>
    <mergeCell ref="IM16:IN16"/>
    <mergeCell ref="FU16:FV16"/>
    <mergeCell ref="FX16:GJ16"/>
    <mergeCell ref="GK16:GL16"/>
    <mergeCell ref="GM16:GN16"/>
    <mergeCell ref="GO16:GQ16"/>
    <mergeCell ref="GX16:HJ16"/>
    <mergeCell ref="EK16:EL16"/>
    <mergeCell ref="EM16:EO16"/>
    <mergeCell ref="GX17:HJ17"/>
    <mergeCell ref="U17:V18"/>
    <mergeCell ref="AK29:AL30"/>
    <mergeCell ref="HK17:HL17"/>
    <mergeCell ref="HM17:HO17"/>
    <mergeCell ref="AN31:AO31"/>
    <mergeCell ref="AH17:AJ17"/>
    <mergeCell ref="AH18:AJ18"/>
    <mergeCell ref="JY16:JZ16"/>
    <mergeCell ref="KB16:KN16"/>
    <mergeCell ref="KO16:KP16"/>
    <mergeCell ref="DI16:DK16"/>
    <mergeCell ref="DL16:DN16"/>
    <mergeCell ref="DS16:DT16"/>
    <mergeCell ref="DV16:EH16"/>
    <mergeCell ref="EI16:EJ16"/>
    <mergeCell ref="BQ16:BR16"/>
    <mergeCell ref="BT16:CF16"/>
    <mergeCell ref="CG16:CH16"/>
    <mergeCell ref="CI16:CJ16"/>
    <mergeCell ref="CK16:CM16"/>
    <mergeCell ref="CT16:DF16"/>
    <mergeCell ref="EV17:FH17"/>
    <mergeCell ref="FI17:FJ17"/>
    <mergeCell ref="FK17:FM17"/>
    <mergeCell ref="FN17:FP17"/>
    <mergeCell ref="FU17:FV17"/>
    <mergeCell ref="FX17:GJ17"/>
    <mergeCell ref="DL17:DN17"/>
    <mergeCell ref="DS17:DT17"/>
    <mergeCell ref="DV17:EH17"/>
    <mergeCell ref="KO17:KP17"/>
    <mergeCell ref="KQ17:KR17"/>
    <mergeCell ref="KS17:KU17"/>
    <mergeCell ref="G18:H18"/>
    <mergeCell ref="O18:P18"/>
    <mergeCell ref="S18:T18"/>
    <mergeCell ref="AR18:BD18"/>
    <mergeCell ref="BE18:BF18"/>
    <mergeCell ref="BG18:BI18"/>
    <mergeCell ref="IZ17:JL17"/>
    <mergeCell ref="JM17:JN17"/>
    <mergeCell ref="JO17:JQ17"/>
    <mergeCell ref="JR17:JT17"/>
    <mergeCell ref="JY17:JZ17"/>
    <mergeCell ref="KB17:KN17"/>
    <mergeCell ref="HP17:HR17"/>
    <mergeCell ref="HW17:HX17"/>
    <mergeCell ref="HZ17:IL17"/>
    <mergeCell ref="IM17:IN17"/>
    <mergeCell ref="IO17:IP17"/>
    <mergeCell ref="IQ17:IS17"/>
    <mergeCell ref="GK17:GL17"/>
    <mergeCell ref="GM17:GN17"/>
    <mergeCell ref="DG17:DH17"/>
    <mergeCell ref="KO18:KP18"/>
    <mergeCell ref="KQ18:KR18"/>
    <mergeCell ref="KS18:KU18"/>
    <mergeCell ref="IM18:IN18"/>
    <mergeCell ref="IO18:IP18"/>
    <mergeCell ref="IQ18:IS18"/>
    <mergeCell ref="IZ18:JL18"/>
    <mergeCell ref="JM18:JN18"/>
    <mergeCell ref="JO18:JQ18"/>
    <mergeCell ref="GX18:HJ18"/>
    <mergeCell ref="HK18:HL18"/>
    <mergeCell ref="HM18:HO18"/>
    <mergeCell ref="HP18:HR18"/>
    <mergeCell ref="HW18:HX18"/>
    <mergeCell ref="HZ18:IL18"/>
    <mergeCell ref="FN18:FP18"/>
    <mergeCell ref="FU18:FV18"/>
    <mergeCell ref="FX18:GJ18"/>
    <mergeCell ref="GK18:GL18"/>
    <mergeCell ref="GM18:GN18"/>
    <mergeCell ref="GO18:GQ18"/>
    <mergeCell ref="BG22:BI22"/>
    <mergeCell ref="BJ22:BL22"/>
    <mergeCell ref="AK22:AM23"/>
    <mergeCell ref="N24:O24"/>
    <mergeCell ref="AR24:BD24"/>
    <mergeCell ref="BE24:BF24"/>
    <mergeCell ref="BG24:BI24"/>
    <mergeCell ref="BJ24:BL24"/>
    <mergeCell ref="AR22:BD22"/>
    <mergeCell ref="BE22:BF22"/>
    <mergeCell ref="BQ24:BR24"/>
    <mergeCell ref="AB22:AD23"/>
    <mergeCell ref="AF21:AG21"/>
    <mergeCell ref="AF22:AG22"/>
    <mergeCell ref="AH23:AJ23"/>
    <mergeCell ref="DI17:DK17"/>
    <mergeCell ref="JR18:JT18"/>
    <mergeCell ref="EI18:EJ18"/>
    <mergeCell ref="EK18:EL18"/>
    <mergeCell ref="EM18:EO18"/>
    <mergeCell ref="EV18:FH18"/>
    <mergeCell ref="FI18:FJ18"/>
    <mergeCell ref="FK18:FM18"/>
    <mergeCell ref="GO17:GQ17"/>
    <mergeCell ref="EI17:EJ17"/>
    <mergeCell ref="DG18:DH18"/>
    <mergeCell ref="DI18:DK18"/>
    <mergeCell ref="DL18:DN18"/>
    <mergeCell ref="DS18:DT18"/>
    <mergeCell ref="DV18:EH18"/>
    <mergeCell ref="CI18:CJ18"/>
    <mergeCell ref="CK18:CM18"/>
    <mergeCell ref="AN18:AO19"/>
    <mergeCell ref="GM20:GN20"/>
    <mergeCell ref="GO20:GQ20"/>
    <mergeCell ref="GX20:HJ20"/>
    <mergeCell ref="HK20:HL20"/>
    <mergeCell ref="KQ21:KR21"/>
    <mergeCell ref="KS21:KU21"/>
    <mergeCell ref="HM20:HO20"/>
    <mergeCell ref="HP20:HR20"/>
    <mergeCell ref="FI20:FJ20"/>
    <mergeCell ref="FK20:FM20"/>
    <mergeCell ref="GX19:HJ19"/>
    <mergeCell ref="HK19:HL19"/>
    <mergeCell ref="EM19:EO19"/>
    <mergeCell ref="EV19:FH19"/>
    <mergeCell ref="FI19:FJ19"/>
    <mergeCell ref="FK19:FM19"/>
    <mergeCell ref="FN19:FP19"/>
    <mergeCell ref="FU19:FV19"/>
    <mergeCell ref="FN20:FP20"/>
    <mergeCell ref="FU20:FV20"/>
    <mergeCell ref="FX20:GJ20"/>
    <mergeCell ref="GK20:GL20"/>
    <mergeCell ref="DS20:DT20"/>
    <mergeCell ref="DV20:EH20"/>
    <mergeCell ref="EI20:EJ20"/>
    <mergeCell ref="BE20:BF20"/>
    <mergeCell ref="BG20:BI20"/>
    <mergeCell ref="BJ20:BL20"/>
    <mergeCell ref="BQ20:BR20"/>
    <mergeCell ref="JY18:JZ18"/>
    <mergeCell ref="KB18:KN18"/>
    <mergeCell ref="AN22:AO23"/>
    <mergeCell ref="KB19:KN19"/>
    <mergeCell ref="KO19:KP19"/>
    <mergeCell ref="KQ19:KR19"/>
    <mergeCell ref="KS19:KU19"/>
    <mergeCell ref="G20:H20"/>
    <mergeCell ref="K20:L20"/>
    <mergeCell ref="O20:P20"/>
    <mergeCell ref="AN34:AO34"/>
    <mergeCell ref="AR20:BD20"/>
    <mergeCell ref="IQ19:IS19"/>
    <mergeCell ref="IZ19:JL19"/>
    <mergeCell ref="JM19:JN19"/>
    <mergeCell ref="JO19:JQ19"/>
    <mergeCell ref="JR19:JT19"/>
    <mergeCell ref="JY19:JZ19"/>
    <mergeCell ref="HM19:HO19"/>
    <mergeCell ref="HP19:HR19"/>
    <mergeCell ref="HW19:HX19"/>
    <mergeCell ref="HZ19:IL19"/>
    <mergeCell ref="IM19:IN19"/>
    <mergeCell ref="IO19:IP19"/>
    <mergeCell ref="FX19:GJ19"/>
    <mergeCell ref="GK19:GL19"/>
    <mergeCell ref="GM19:GN19"/>
    <mergeCell ref="GO19:GQ19"/>
    <mergeCell ref="IZ20:JL20"/>
    <mergeCell ref="EM21:EO21"/>
    <mergeCell ref="EV21:FH21"/>
    <mergeCell ref="FI21:FJ21"/>
    <mergeCell ref="FK21:FM21"/>
    <mergeCell ref="FN21:FP21"/>
    <mergeCell ref="EK20:EL20"/>
    <mergeCell ref="EM20:EO20"/>
    <mergeCell ref="EV20:FH20"/>
    <mergeCell ref="CI20:CJ20"/>
    <mergeCell ref="CK20:CM20"/>
    <mergeCell ref="CT20:DF20"/>
    <mergeCell ref="DG20:DH20"/>
    <mergeCell ref="DI20:DK20"/>
    <mergeCell ref="DL20:DN20"/>
    <mergeCell ref="AR21:BD21"/>
    <mergeCell ref="BE21:BF21"/>
    <mergeCell ref="BG21:BI21"/>
    <mergeCell ref="BJ21:BL21"/>
    <mergeCell ref="IM21:IN21"/>
    <mergeCell ref="FU21:FV21"/>
    <mergeCell ref="FX21:GJ21"/>
    <mergeCell ref="GK21:GL21"/>
    <mergeCell ref="GM21:GN21"/>
    <mergeCell ref="GO21:GQ21"/>
    <mergeCell ref="GX21:HJ21"/>
    <mergeCell ref="EI21:EJ21"/>
    <mergeCell ref="BQ21:BR21"/>
    <mergeCell ref="BT21:CF21"/>
    <mergeCell ref="CG21:CH21"/>
    <mergeCell ref="CI21:CJ21"/>
    <mergeCell ref="CK21:CM21"/>
    <mergeCell ref="CT21:DF21"/>
    <mergeCell ref="DG21:DH21"/>
    <mergeCell ref="KQ20:KR20"/>
    <mergeCell ref="KS20:KU20"/>
    <mergeCell ref="B21:C22"/>
    <mergeCell ref="E21:F22"/>
    <mergeCell ref="G21:H21"/>
    <mergeCell ref="I21:J22"/>
    <mergeCell ref="M21:N22"/>
    <mergeCell ref="O21:P21"/>
    <mergeCell ref="Q21:R22"/>
    <mergeCell ref="JM20:JN20"/>
    <mergeCell ref="JO20:JQ20"/>
    <mergeCell ref="JR20:JT20"/>
    <mergeCell ref="JY20:JZ20"/>
    <mergeCell ref="KB20:KN20"/>
    <mergeCell ref="KO20:KP20"/>
    <mergeCell ref="HW20:HX20"/>
    <mergeCell ref="HZ20:IL20"/>
    <mergeCell ref="IM20:IN20"/>
    <mergeCell ref="IO20:IP20"/>
    <mergeCell ref="IQ20:IS20"/>
    <mergeCell ref="G22:H22"/>
    <mergeCell ref="O22:P22"/>
    <mergeCell ref="DL22:DN22"/>
    <mergeCell ref="DS22:DT22"/>
    <mergeCell ref="DV22:EH22"/>
    <mergeCell ref="JY21:JZ21"/>
    <mergeCell ref="KB21:KN21"/>
    <mergeCell ref="KO21:KP21"/>
    <mergeCell ref="DI21:DK21"/>
    <mergeCell ref="DL21:DN21"/>
    <mergeCell ref="DS21:DT21"/>
    <mergeCell ref="DV21:EH21"/>
    <mergeCell ref="JY22:JZ22"/>
    <mergeCell ref="KB22:KN22"/>
    <mergeCell ref="KO22:KP22"/>
    <mergeCell ref="BT22:CF22"/>
    <mergeCell ref="CG22:CH22"/>
    <mergeCell ref="CI22:CJ22"/>
    <mergeCell ref="CK22:CM22"/>
    <mergeCell ref="IO21:IP21"/>
    <mergeCell ref="IQ21:IS21"/>
    <mergeCell ref="IZ21:JL21"/>
    <mergeCell ref="JM21:JN21"/>
    <mergeCell ref="JO21:JQ21"/>
    <mergeCell ref="JR21:JT21"/>
    <mergeCell ref="HK21:HL21"/>
    <mergeCell ref="HM21:HO21"/>
    <mergeCell ref="HP21:HR21"/>
    <mergeCell ref="HW21:HX21"/>
    <mergeCell ref="HZ21:IL21"/>
    <mergeCell ref="FK22:FM22"/>
    <mergeCell ref="FN22:FP22"/>
    <mergeCell ref="DG22:DH22"/>
    <mergeCell ref="DI22:DK22"/>
    <mergeCell ref="CT22:DF22"/>
    <mergeCell ref="KQ22:KR22"/>
    <mergeCell ref="KS22:KU22"/>
    <mergeCell ref="AR23:BD23"/>
    <mergeCell ref="BE23:BF23"/>
    <mergeCell ref="BG23:BI23"/>
    <mergeCell ref="BJ23:BL23"/>
    <mergeCell ref="BQ23:BR23"/>
    <mergeCell ref="IO22:IP22"/>
    <mergeCell ref="IQ22:IS22"/>
    <mergeCell ref="IZ22:JL22"/>
    <mergeCell ref="JM22:JN22"/>
    <mergeCell ref="JO22:JQ22"/>
    <mergeCell ref="JR22:JT22"/>
    <mergeCell ref="HK22:HL22"/>
    <mergeCell ref="HM22:HO22"/>
    <mergeCell ref="HP22:HR22"/>
    <mergeCell ref="HW22:HX22"/>
    <mergeCell ref="HZ22:IL22"/>
    <mergeCell ref="IM22:IN22"/>
    <mergeCell ref="FU22:FV22"/>
    <mergeCell ref="FX22:GJ22"/>
    <mergeCell ref="GK22:GL22"/>
    <mergeCell ref="GM22:GN22"/>
    <mergeCell ref="GO22:GQ22"/>
    <mergeCell ref="GX22:HJ22"/>
    <mergeCell ref="EK22:EL22"/>
    <mergeCell ref="EM22:EO22"/>
    <mergeCell ref="EV22:FH22"/>
    <mergeCell ref="FI22:FJ22"/>
    <mergeCell ref="KS23:KU23"/>
    <mergeCell ref="EI22:EJ22"/>
    <mergeCell ref="BQ22:BR22"/>
    <mergeCell ref="IQ23:IS23"/>
    <mergeCell ref="IZ23:JL23"/>
    <mergeCell ref="JM23:JN23"/>
    <mergeCell ref="JO23:JQ23"/>
    <mergeCell ref="JR23:JT23"/>
    <mergeCell ref="JY23:JZ23"/>
    <mergeCell ref="HM23:HO23"/>
    <mergeCell ref="HP23:HR23"/>
    <mergeCell ref="HW23:HX23"/>
    <mergeCell ref="HZ23:IL23"/>
    <mergeCell ref="IM23:IN23"/>
    <mergeCell ref="IO23:IP23"/>
    <mergeCell ref="FX23:GJ23"/>
    <mergeCell ref="GK23:GL23"/>
    <mergeCell ref="GM23:GN23"/>
    <mergeCell ref="GO23:GQ23"/>
    <mergeCell ref="GX23:HJ23"/>
    <mergeCell ref="HK23:HL23"/>
    <mergeCell ref="KB23:KN23"/>
    <mergeCell ref="KO23:KP23"/>
    <mergeCell ref="KQ23:KR23"/>
    <mergeCell ref="DS23:DT23"/>
    <mergeCell ref="DV23:EH23"/>
    <mergeCell ref="EI23:EJ23"/>
    <mergeCell ref="EK23:EL23"/>
    <mergeCell ref="BT23:CF23"/>
    <mergeCell ref="CG23:CH23"/>
    <mergeCell ref="CI23:CJ23"/>
    <mergeCell ref="CK23:CM23"/>
    <mergeCell ref="CT23:DF23"/>
    <mergeCell ref="DG23:DH23"/>
    <mergeCell ref="BT25:CF25"/>
    <mergeCell ref="CG25:CH25"/>
    <mergeCell ref="CI25:CJ25"/>
    <mergeCell ref="CK25:CM25"/>
    <mergeCell ref="CT25:DF25"/>
    <mergeCell ref="DG25:DH25"/>
    <mergeCell ref="IO24:IP24"/>
    <mergeCell ref="IQ24:IS24"/>
    <mergeCell ref="IY24:KX24"/>
    <mergeCell ref="EM23:EO23"/>
    <mergeCell ref="EV23:FH23"/>
    <mergeCell ref="FI23:FJ23"/>
    <mergeCell ref="FK23:FM23"/>
    <mergeCell ref="FN23:FP23"/>
    <mergeCell ref="FU23:FV23"/>
    <mergeCell ref="DI23:DK23"/>
    <mergeCell ref="DL23:DN23"/>
    <mergeCell ref="FK24:FM24"/>
    <mergeCell ref="FN24:FP24"/>
    <mergeCell ref="HK24:HL24"/>
    <mergeCell ref="HM24:HO24"/>
    <mergeCell ref="HP24:HR24"/>
    <mergeCell ref="HW24:HX24"/>
    <mergeCell ref="HZ24:IL24"/>
    <mergeCell ref="IM24:IN24"/>
    <mergeCell ref="FU24:FV24"/>
    <mergeCell ref="FX24:GJ24"/>
    <mergeCell ref="GK24:GL24"/>
    <mergeCell ref="GM24:GN24"/>
    <mergeCell ref="GO24:GQ24"/>
    <mergeCell ref="GX24:HJ24"/>
    <mergeCell ref="EK24:EL24"/>
    <mergeCell ref="EM24:EO24"/>
    <mergeCell ref="EV24:FH24"/>
    <mergeCell ref="FI24:FJ24"/>
    <mergeCell ref="DG24:DH24"/>
    <mergeCell ref="DI24:DK24"/>
    <mergeCell ref="DL24:DN24"/>
    <mergeCell ref="DS24:DT24"/>
    <mergeCell ref="DV24:EH24"/>
    <mergeCell ref="EI24:EJ24"/>
    <mergeCell ref="IQ25:IS25"/>
    <mergeCell ref="B26:C27"/>
    <mergeCell ref="D26:K27"/>
    <mergeCell ref="L26:M27"/>
    <mergeCell ref="N26:O27"/>
    <mergeCell ref="HM25:HO25"/>
    <mergeCell ref="HP25:HR25"/>
    <mergeCell ref="HW25:HX25"/>
    <mergeCell ref="HZ25:IL25"/>
    <mergeCell ref="IM25:IN25"/>
    <mergeCell ref="IO25:IP25"/>
    <mergeCell ref="FX25:GJ25"/>
    <mergeCell ref="GK25:GL25"/>
    <mergeCell ref="GM25:GN25"/>
    <mergeCell ref="GO25:GQ25"/>
    <mergeCell ref="GX25:HJ25"/>
    <mergeCell ref="HK25:HL25"/>
    <mergeCell ref="EM25:EO25"/>
    <mergeCell ref="EV25:FH25"/>
    <mergeCell ref="FI25:FJ25"/>
    <mergeCell ref="FK25:FM25"/>
    <mergeCell ref="FN25:FP25"/>
    <mergeCell ref="FU25:FV25"/>
    <mergeCell ref="DI25:DK25"/>
    <mergeCell ref="DL25:DN25"/>
    <mergeCell ref="AK25:AL26"/>
    <mergeCell ref="AN25:AO25"/>
    <mergeCell ref="HW26:HX26"/>
    <mergeCell ref="HZ26:IL26"/>
    <mergeCell ref="IM26:IN26"/>
    <mergeCell ref="IO26:IP26"/>
    <mergeCell ref="IQ26:IS26"/>
    <mergeCell ref="GK26:GL26"/>
    <mergeCell ref="GM26:GN26"/>
    <mergeCell ref="GO26:GQ26"/>
    <mergeCell ref="GX26:HJ26"/>
    <mergeCell ref="HK26:HL26"/>
    <mergeCell ref="HM26:HO26"/>
    <mergeCell ref="EV26:FH26"/>
    <mergeCell ref="FI26:FJ26"/>
    <mergeCell ref="FK26:FM26"/>
    <mergeCell ref="FN26:FP26"/>
    <mergeCell ref="FU26:FV26"/>
    <mergeCell ref="FX26:GJ26"/>
    <mergeCell ref="HP26:HR26"/>
    <mergeCell ref="DL26:DN26"/>
    <mergeCell ref="DS26:DT26"/>
    <mergeCell ref="DV26:EH26"/>
    <mergeCell ref="EI26:EJ26"/>
    <mergeCell ref="EK26:EL26"/>
    <mergeCell ref="EM26:EO26"/>
    <mergeCell ref="AR26:BD26"/>
    <mergeCell ref="BE26:BF26"/>
    <mergeCell ref="BG26:BI26"/>
    <mergeCell ref="DS25:DT25"/>
    <mergeCell ref="DV25:EH25"/>
    <mergeCell ref="EI25:EJ25"/>
    <mergeCell ref="EK25:EL25"/>
    <mergeCell ref="BJ26:BL26"/>
    <mergeCell ref="BQ26:BR26"/>
    <mergeCell ref="BT26:CF26"/>
    <mergeCell ref="DL27:DN27"/>
    <mergeCell ref="DS27:DT27"/>
    <mergeCell ref="DV27:EH27"/>
    <mergeCell ref="EI27:EJ27"/>
    <mergeCell ref="EK27:EL27"/>
    <mergeCell ref="BT27:CF27"/>
    <mergeCell ref="CG27:CH27"/>
    <mergeCell ref="CI27:CJ27"/>
    <mergeCell ref="CK27:CM27"/>
    <mergeCell ref="CT27:DF27"/>
    <mergeCell ref="DG27:DH27"/>
    <mergeCell ref="AR27:BD27"/>
    <mergeCell ref="BE27:BF27"/>
    <mergeCell ref="BG27:BI27"/>
    <mergeCell ref="BJ27:BL27"/>
    <mergeCell ref="BQ27:BR27"/>
    <mergeCell ref="BE25:BF25"/>
    <mergeCell ref="BG25:BI25"/>
    <mergeCell ref="BJ25:BL25"/>
    <mergeCell ref="BQ25:BR25"/>
    <mergeCell ref="CG24:CH24"/>
    <mergeCell ref="CI24:CJ24"/>
    <mergeCell ref="CK24:CM24"/>
    <mergeCell ref="CT24:DF24"/>
    <mergeCell ref="BT20:CF20"/>
    <mergeCell ref="CG20:CH20"/>
    <mergeCell ref="EK21:EL21"/>
    <mergeCell ref="BT19:CF19"/>
    <mergeCell ref="CG19:CH19"/>
    <mergeCell ref="CI19:CJ19"/>
    <mergeCell ref="CK19:CM19"/>
    <mergeCell ref="CT19:DF19"/>
    <mergeCell ref="DG19:DH19"/>
    <mergeCell ref="BE28:BF28"/>
    <mergeCell ref="BG28:BI28"/>
    <mergeCell ref="BJ28:BL28"/>
    <mergeCell ref="DI29:DK29"/>
    <mergeCell ref="BQ28:BR28"/>
    <mergeCell ref="BT28:CF28"/>
    <mergeCell ref="CG28:CH28"/>
    <mergeCell ref="CG26:CH26"/>
    <mergeCell ref="CI26:CJ26"/>
    <mergeCell ref="CK26:CM26"/>
    <mergeCell ref="CT26:DF26"/>
    <mergeCell ref="DG26:DH26"/>
    <mergeCell ref="DI26:DK26"/>
    <mergeCell ref="DI19:DK19"/>
    <mergeCell ref="DL19:DN19"/>
    <mergeCell ref="DS19:DT19"/>
    <mergeCell ref="DV19:EH19"/>
    <mergeCell ref="EI19:EJ19"/>
    <mergeCell ref="EK19:EL19"/>
    <mergeCell ref="IQ27:IS27"/>
    <mergeCell ref="B28:C29"/>
    <mergeCell ref="D28:K29"/>
    <mergeCell ref="L28:M29"/>
    <mergeCell ref="N28:O29"/>
    <mergeCell ref="AR28:BD28"/>
    <mergeCell ref="HM27:HO27"/>
    <mergeCell ref="HP27:HR27"/>
    <mergeCell ref="HW27:HX27"/>
    <mergeCell ref="HZ27:IL27"/>
    <mergeCell ref="IM27:IN27"/>
    <mergeCell ref="IO27:IP27"/>
    <mergeCell ref="FX27:GJ27"/>
    <mergeCell ref="GK27:GL27"/>
    <mergeCell ref="GM27:GN27"/>
    <mergeCell ref="GO27:GQ27"/>
    <mergeCell ref="GX27:HJ27"/>
    <mergeCell ref="HK27:HL27"/>
    <mergeCell ref="EM27:EO27"/>
    <mergeCell ref="EV27:FH27"/>
    <mergeCell ref="FI27:FJ27"/>
    <mergeCell ref="FK27:FM27"/>
    <mergeCell ref="FN27:FP27"/>
    <mergeCell ref="FU27:FV27"/>
    <mergeCell ref="DI27:DK27"/>
    <mergeCell ref="IM28:IN28"/>
    <mergeCell ref="IO28:IP28"/>
    <mergeCell ref="IQ28:IS28"/>
    <mergeCell ref="AN29:AO29"/>
    <mergeCell ref="V27:W28"/>
    <mergeCell ref="R27:U28"/>
    <mergeCell ref="R29:U30"/>
    <mergeCell ref="DI30:DK30"/>
    <mergeCell ref="DL30:DN30"/>
    <mergeCell ref="IM30:IN30"/>
    <mergeCell ref="IO30:IP30"/>
    <mergeCell ref="IQ30:IS30"/>
    <mergeCell ref="BE29:BF29"/>
    <mergeCell ref="BG29:BI29"/>
    <mergeCell ref="BJ29:BL29"/>
    <mergeCell ref="BQ29:BR29"/>
    <mergeCell ref="GM28:GN28"/>
    <mergeCell ref="GO28:GQ28"/>
    <mergeCell ref="GX28:HJ28"/>
    <mergeCell ref="HK28:HL28"/>
    <mergeCell ref="HM28:HO28"/>
    <mergeCell ref="HP28:HR28"/>
    <mergeCell ref="FI28:FJ28"/>
    <mergeCell ref="FK28:FM28"/>
    <mergeCell ref="FN28:FP28"/>
    <mergeCell ref="FU28:FV28"/>
    <mergeCell ref="FX28:GJ28"/>
    <mergeCell ref="GK28:GL28"/>
    <mergeCell ref="DS28:DT28"/>
    <mergeCell ref="DV28:EH28"/>
    <mergeCell ref="EI28:EJ28"/>
    <mergeCell ref="EK28:EL28"/>
    <mergeCell ref="EM28:EO28"/>
    <mergeCell ref="EV28:FH28"/>
    <mergeCell ref="CI28:CJ28"/>
    <mergeCell ref="CK28:CM28"/>
    <mergeCell ref="FN29:FP29"/>
    <mergeCell ref="FU29:FV29"/>
    <mergeCell ref="HW30:HX30"/>
    <mergeCell ref="HZ30:IL30"/>
    <mergeCell ref="DL29:DN29"/>
    <mergeCell ref="DS29:DT29"/>
    <mergeCell ref="DV29:EH29"/>
    <mergeCell ref="EI29:EJ29"/>
    <mergeCell ref="EK29:EL29"/>
    <mergeCell ref="BT29:CF29"/>
    <mergeCell ref="CG29:CH29"/>
    <mergeCell ref="CI29:CJ29"/>
    <mergeCell ref="CK29:CM29"/>
    <mergeCell ref="CT29:DF29"/>
    <mergeCell ref="DG29:DH29"/>
    <mergeCell ref="HW28:HX28"/>
    <mergeCell ref="HZ28:IL28"/>
    <mergeCell ref="CT28:DF28"/>
    <mergeCell ref="DG28:DH28"/>
    <mergeCell ref="DI28:DK28"/>
    <mergeCell ref="DL28:DN28"/>
    <mergeCell ref="CI30:CJ30"/>
    <mergeCell ref="CK30:CM30"/>
    <mergeCell ref="CT30:DF30"/>
    <mergeCell ref="DG30:DH30"/>
    <mergeCell ref="HM30:HO30"/>
    <mergeCell ref="HP30:HR30"/>
    <mergeCell ref="FI30:FJ30"/>
    <mergeCell ref="FK30:FM30"/>
    <mergeCell ref="FN30:FP30"/>
    <mergeCell ref="FU30:FV30"/>
    <mergeCell ref="FX30:GJ30"/>
    <mergeCell ref="GK30:GL30"/>
    <mergeCell ref="DS30:DT30"/>
    <mergeCell ref="DV30:EH30"/>
    <mergeCell ref="BE30:BF30"/>
    <mergeCell ref="BG30:BI30"/>
    <mergeCell ref="BJ30:BL30"/>
    <mergeCell ref="BQ30:BR30"/>
    <mergeCell ref="BT30:CF30"/>
    <mergeCell ref="CG30:CH30"/>
    <mergeCell ref="IQ29:IS29"/>
    <mergeCell ref="B30:C31"/>
    <mergeCell ref="D30:K31"/>
    <mergeCell ref="L30:M31"/>
    <mergeCell ref="N30:O31"/>
    <mergeCell ref="AR30:BD30"/>
    <mergeCell ref="HM29:HO29"/>
    <mergeCell ref="HP29:HR29"/>
    <mergeCell ref="HW29:HX29"/>
    <mergeCell ref="HZ29:IL29"/>
    <mergeCell ref="IM29:IN29"/>
    <mergeCell ref="IO29:IP29"/>
    <mergeCell ref="FX29:GJ29"/>
    <mergeCell ref="GK29:GL29"/>
    <mergeCell ref="GM29:GN29"/>
    <mergeCell ref="GO29:GQ29"/>
    <mergeCell ref="GX29:HJ29"/>
    <mergeCell ref="HK29:HL29"/>
    <mergeCell ref="EM29:EO29"/>
    <mergeCell ref="EV29:FH29"/>
    <mergeCell ref="FI29:FJ29"/>
    <mergeCell ref="FK29:FM29"/>
    <mergeCell ref="GM30:GN30"/>
    <mergeCell ref="GO30:GQ30"/>
    <mergeCell ref="GX30:HJ30"/>
    <mergeCell ref="HK30:HL30"/>
    <mergeCell ref="EI30:EJ30"/>
    <mergeCell ref="EK30:EL30"/>
    <mergeCell ref="EM30:EO30"/>
    <mergeCell ref="EV30:FH30"/>
    <mergeCell ref="B32:C33"/>
    <mergeCell ref="D32:K33"/>
    <mergeCell ref="L32:M33"/>
    <mergeCell ref="N32:O33"/>
    <mergeCell ref="AR32:BD32"/>
    <mergeCell ref="HM31:HO31"/>
    <mergeCell ref="HP31:HR31"/>
    <mergeCell ref="HW31:HX31"/>
    <mergeCell ref="HZ31:IL31"/>
    <mergeCell ref="IM31:IN31"/>
    <mergeCell ref="IO31:IP31"/>
    <mergeCell ref="FX31:GJ31"/>
    <mergeCell ref="GK31:GL31"/>
    <mergeCell ref="GM31:GN31"/>
    <mergeCell ref="GO31:GQ31"/>
    <mergeCell ref="GX31:HJ31"/>
    <mergeCell ref="HK31:HL31"/>
    <mergeCell ref="EM31:EO31"/>
    <mergeCell ref="EV31:FH31"/>
    <mergeCell ref="FI31:FJ31"/>
    <mergeCell ref="FK31:FM31"/>
    <mergeCell ref="FN31:FP31"/>
    <mergeCell ref="FU31:FV31"/>
    <mergeCell ref="DI31:DK31"/>
    <mergeCell ref="DL31:DN31"/>
    <mergeCell ref="DS31:DT31"/>
    <mergeCell ref="DV31:EH31"/>
    <mergeCell ref="EI31:EJ31"/>
    <mergeCell ref="EK31:EL31"/>
    <mergeCell ref="BT31:CF31"/>
    <mergeCell ref="CG31:CH31"/>
    <mergeCell ref="CI31:CJ31"/>
    <mergeCell ref="EI32:EJ32"/>
    <mergeCell ref="EK32:EL32"/>
    <mergeCell ref="EM32:EO32"/>
    <mergeCell ref="EV32:FH32"/>
    <mergeCell ref="CI32:CJ32"/>
    <mergeCell ref="CK32:CM32"/>
    <mergeCell ref="CT32:DF32"/>
    <mergeCell ref="DG32:DH32"/>
    <mergeCell ref="DI32:DK32"/>
    <mergeCell ref="DL32:DN32"/>
    <mergeCell ref="BE32:BF32"/>
    <mergeCell ref="BG32:BI32"/>
    <mergeCell ref="BJ32:BL32"/>
    <mergeCell ref="BQ32:BR32"/>
    <mergeCell ref="BT32:CF32"/>
    <mergeCell ref="CG32:CH32"/>
    <mergeCell ref="IQ31:IS31"/>
    <mergeCell ref="CK31:CM31"/>
    <mergeCell ref="CT31:DF31"/>
    <mergeCell ref="DG31:DH31"/>
    <mergeCell ref="BE31:BF31"/>
    <mergeCell ref="BG31:BI31"/>
    <mergeCell ref="BJ31:BL31"/>
    <mergeCell ref="BQ31:BR31"/>
    <mergeCell ref="EI33:EJ33"/>
    <mergeCell ref="EK33:EL33"/>
    <mergeCell ref="BT33:CF33"/>
    <mergeCell ref="CG33:CH33"/>
    <mergeCell ref="CI33:CJ33"/>
    <mergeCell ref="CK33:CM33"/>
    <mergeCell ref="CT33:DF33"/>
    <mergeCell ref="DG33:DH33"/>
    <mergeCell ref="HW32:HX32"/>
    <mergeCell ref="HZ32:IL32"/>
    <mergeCell ref="IM32:IN32"/>
    <mergeCell ref="IO32:IP32"/>
    <mergeCell ref="IQ32:IS32"/>
    <mergeCell ref="BE33:BF33"/>
    <mergeCell ref="BG33:BI33"/>
    <mergeCell ref="BJ33:BL33"/>
    <mergeCell ref="BQ33:BR33"/>
    <mergeCell ref="GM32:GN32"/>
    <mergeCell ref="GO32:GQ32"/>
    <mergeCell ref="GX32:HJ32"/>
    <mergeCell ref="HK32:HL32"/>
    <mergeCell ref="HM32:HO32"/>
    <mergeCell ref="HP32:HR32"/>
    <mergeCell ref="FI32:FJ32"/>
    <mergeCell ref="FK32:FM32"/>
    <mergeCell ref="FN32:FP32"/>
    <mergeCell ref="FU32:FV32"/>
    <mergeCell ref="FX32:GJ32"/>
    <mergeCell ref="GK32:GL32"/>
    <mergeCell ref="DS32:DT32"/>
    <mergeCell ref="DV32:EH32"/>
    <mergeCell ref="IQ33:IS33"/>
    <mergeCell ref="B34:C35"/>
    <mergeCell ref="D34:K35"/>
    <mergeCell ref="L34:M35"/>
    <mergeCell ref="N34:O35"/>
    <mergeCell ref="AR34:BD34"/>
    <mergeCell ref="BE34:BF34"/>
    <mergeCell ref="BG34:BI34"/>
    <mergeCell ref="BJ34:BL34"/>
    <mergeCell ref="BQ34:BR34"/>
    <mergeCell ref="HM33:HO33"/>
    <mergeCell ref="HP33:HR33"/>
    <mergeCell ref="HW33:HX33"/>
    <mergeCell ref="HZ33:IL33"/>
    <mergeCell ref="IM33:IN33"/>
    <mergeCell ref="IO33:IP33"/>
    <mergeCell ref="FX33:GJ33"/>
    <mergeCell ref="GK33:GL33"/>
    <mergeCell ref="GM33:GN33"/>
    <mergeCell ref="GO33:GQ33"/>
    <mergeCell ref="GX33:HJ33"/>
    <mergeCell ref="HK33:HL33"/>
    <mergeCell ref="EM33:EO33"/>
    <mergeCell ref="EV33:FH33"/>
    <mergeCell ref="FI33:FJ33"/>
    <mergeCell ref="FK33:FM33"/>
    <mergeCell ref="FN33:FP33"/>
    <mergeCell ref="FU33:FV33"/>
    <mergeCell ref="DI33:DK33"/>
    <mergeCell ref="DL33:DN33"/>
    <mergeCell ref="DS33:DT33"/>
    <mergeCell ref="DV33:EH33"/>
    <mergeCell ref="BE35:BF35"/>
    <mergeCell ref="BG35:BI35"/>
    <mergeCell ref="BJ35:BL35"/>
    <mergeCell ref="BQ35:BR35"/>
    <mergeCell ref="BT35:CF35"/>
    <mergeCell ref="FX34:GJ34"/>
    <mergeCell ref="GK34:GL34"/>
    <mergeCell ref="GM34:GN34"/>
    <mergeCell ref="GO34:GQ34"/>
    <mergeCell ref="GW34:IV34"/>
    <mergeCell ref="IY34:KX34"/>
    <mergeCell ref="EM34:EO34"/>
    <mergeCell ref="EV34:FH34"/>
    <mergeCell ref="FI34:FJ34"/>
    <mergeCell ref="FK34:FM34"/>
    <mergeCell ref="FN34:FP34"/>
    <mergeCell ref="FU34:FV34"/>
    <mergeCell ref="DI34:DK34"/>
    <mergeCell ref="DL34:DN34"/>
    <mergeCell ref="DS34:DT34"/>
    <mergeCell ref="DV34:EH34"/>
    <mergeCell ref="EI34:EJ34"/>
    <mergeCell ref="EK34:EL34"/>
    <mergeCell ref="BT34:CF34"/>
    <mergeCell ref="CG34:CH34"/>
    <mergeCell ref="CI34:CJ34"/>
    <mergeCell ref="CK34:CM34"/>
    <mergeCell ref="CT34:DF34"/>
    <mergeCell ref="DG34:DH34"/>
    <mergeCell ref="D36:K37"/>
    <mergeCell ref="L36:M37"/>
    <mergeCell ref="N36:O37"/>
    <mergeCell ref="AR36:BD36"/>
    <mergeCell ref="BE36:BF36"/>
    <mergeCell ref="BG36:BI36"/>
    <mergeCell ref="BJ36:BL36"/>
    <mergeCell ref="HZ35:IL35"/>
    <mergeCell ref="IO35:IP35"/>
    <mergeCell ref="IZ35:JL35"/>
    <mergeCell ref="JO35:JQ35"/>
    <mergeCell ref="JR35:JT35"/>
    <mergeCell ref="KB35:KN35"/>
    <mergeCell ref="GK35:GL35"/>
    <mergeCell ref="GM35:GN35"/>
    <mergeCell ref="GO35:GQ35"/>
    <mergeCell ref="GX35:HJ35"/>
    <mergeCell ref="HM35:HO35"/>
    <mergeCell ref="HP35:HR35"/>
    <mergeCell ref="EV35:FH35"/>
    <mergeCell ref="FI35:FJ35"/>
    <mergeCell ref="FK35:FM35"/>
    <mergeCell ref="FN35:FP35"/>
    <mergeCell ref="FU35:FV35"/>
    <mergeCell ref="FX35:GJ35"/>
    <mergeCell ref="DL35:DN35"/>
    <mergeCell ref="DS35:DT35"/>
    <mergeCell ref="DV35:EH35"/>
    <mergeCell ref="EI35:EJ35"/>
    <mergeCell ref="EK35:EL35"/>
    <mergeCell ref="EM35:EO35"/>
    <mergeCell ref="EU36:GT36"/>
    <mergeCell ref="GX36:HJ36"/>
    <mergeCell ref="HK36:HL36"/>
    <mergeCell ref="HM36:HO36"/>
    <mergeCell ref="DG36:DH36"/>
    <mergeCell ref="DI36:DK36"/>
    <mergeCell ref="DL36:DN36"/>
    <mergeCell ref="DS36:DT36"/>
    <mergeCell ref="DV36:EH36"/>
    <mergeCell ref="EI36:EJ36"/>
    <mergeCell ref="BQ36:BR36"/>
    <mergeCell ref="BT36:CF36"/>
    <mergeCell ref="CG36:CH36"/>
    <mergeCell ref="CI36:CJ36"/>
    <mergeCell ref="CK36:CM36"/>
    <mergeCell ref="CT36:DF36"/>
    <mergeCell ref="KQ35:KR35"/>
    <mergeCell ref="CG35:CH35"/>
    <mergeCell ref="CI35:CJ35"/>
    <mergeCell ref="CK35:CM35"/>
    <mergeCell ref="CT35:DF35"/>
    <mergeCell ref="DG35:DH35"/>
    <mergeCell ref="DI35:DK35"/>
    <mergeCell ref="EK37:EL37"/>
    <mergeCell ref="EM37:EO37"/>
    <mergeCell ref="CG37:CH37"/>
    <mergeCell ref="CI37:CJ37"/>
    <mergeCell ref="CK37:CM37"/>
    <mergeCell ref="CT37:DF37"/>
    <mergeCell ref="DG37:DH37"/>
    <mergeCell ref="DI37:DK37"/>
    <mergeCell ref="KO36:KP36"/>
    <mergeCell ref="KQ36:KR36"/>
    <mergeCell ref="KS36:KU36"/>
    <mergeCell ref="AN37:AO37"/>
    <mergeCell ref="AR37:BD37"/>
    <mergeCell ref="BE37:BF37"/>
    <mergeCell ref="BG37:BI37"/>
    <mergeCell ref="BJ37:BL37"/>
    <mergeCell ref="BQ37:BR37"/>
    <mergeCell ref="BT37:CF37"/>
    <mergeCell ref="IZ36:JL36"/>
    <mergeCell ref="JM36:JN36"/>
    <mergeCell ref="JO36:JQ36"/>
    <mergeCell ref="JR36:JT36"/>
    <mergeCell ref="JY36:JZ36"/>
    <mergeCell ref="KB36:KN36"/>
    <mergeCell ref="HP36:HR36"/>
    <mergeCell ref="HW36:HX36"/>
    <mergeCell ref="HZ36:IL36"/>
    <mergeCell ref="IM36:IN36"/>
    <mergeCell ref="IO36:IP36"/>
    <mergeCell ref="IQ36:IS36"/>
    <mergeCell ref="EK36:EL36"/>
    <mergeCell ref="EM36:EO36"/>
    <mergeCell ref="JY37:JZ37"/>
    <mergeCell ref="KB37:KN37"/>
    <mergeCell ref="KO37:KP37"/>
    <mergeCell ref="KQ37:KR37"/>
    <mergeCell ref="KS37:KU37"/>
    <mergeCell ref="U38:V38"/>
    <mergeCell ref="AH38:AI38"/>
    <mergeCell ref="AN38:AO38"/>
    <mergeCell ref="AR38:BD38"/>
    <mergeCell ref="BE38:BF38"/>
    <mergeCell ref="IO37:IP37"/>
    <mergeCell ref="IQ37:IS37"/>
    <mergeCell ref="IZ37:JL37"/>
    <mergeCell ref="JM37:JN37"/>
    <mergeCell ref="JO37:JQ37"/>
    <mergeCell ref="JR37:JT37"/>
    <mergeCell ref="HK37:HL37"/>
    <mergeCell ref="HM37:HO37"/>
    <mergeCell ref="HP37:HR37"/>
    <mergeCell ref="HW37:HX37"/>
    <mergeCell ref="HZ37:IL37"/>
    <mergeCell ref="IM37:IN37"/>
    <mergeCell ref="EV37:FH37"/>
    <mergeCell ref="FK37:FM37"/>
    <mergeCell ref="FN37:FP37"/>
    <mergeCell ref="FX37:GJ37"/>
    <mergeCell ref="GM37:GN37"/>
    <mergeCell ref="GX37:HJ37"/>
    <mergeCell ref="DL37:DN37"/>
    <mergeCell ref="DS37:DT37"/>
    <mergeCell ref="DV37:EH37"/>
    <mergeCell ref="EI37:EJ37"/>
    <mergeCell ref="GK38:GL38"/>
    <mergeCell ref="GM38:GN38"/>
    <mergeCell ref="DV38:EH38"/>
    <mergeCell ref="EI38:EJ38"/>
    <mergeCell ref="EK38:EL38"/>
    <mergeCell ref="EM38:EO38"/>
    <mergeCell ref="EV38:FH38"/>
    <mergeCell ref="FI38:FJ38"/>
    <mergeCell ref="CK38:CM38"/>
    <mergeCell ref="CT38:DF38"/>
    <mergeCell ref="DG38:DH38"/>
    <mergeCell ref="DI38:DK38"/>
    <mergeCell ref="DL38:DN38"/>
    <mergeCell ref="DS38:DT38"/>
    <mergeCell ref="BG38:BI38"/>
    <mergeCell ref="BJ38:BL38"/>
    <mergeCell ref="BQ38:BR38"/>
    <mergeCell ref="BT38:CF38"/>
    <mergeCell ref="CG38:CH38"/>
    <mergeCell ref="CI38:CJ38"/>
    <mergeCell ref="KS38:KU38"/>
    <mergeCell ref="B39:C40"/>
    <mergeCell ref="D39:E40"/>
    <mergeCell ref="I39:J40"/>
    <mergeCell ref="M39:O40"/>
    <mergeCell ref="U39:V39"/>
    <mergeCell ref="AH39:AI39"/>
    <mergeCell ref="AN39:AO39"/>
    <mergeCell ref="AR39:BD39"/>
    <mergeCell ref="BE39:BF39"/>
    <mergeCell ref="JO38:JQ38"/>
    <mergeCell ref="JR38:JT38"/>
    <mergeCell ref="JY38:JZ38"/>
    <mergeCell ref="KB38:KN38"/>
    <mergeCell ref="KO38:KP38"/>
    <mergeCell ref="KQ38:KR38"/>
    <mergeCell ref="HZ38:IL38"/>
    <mergeCell ref="IM38:IN38"/>
    <mergeCell ref="IO38:IP38"/>
    <mergeCell ref="IQ38:IS38"/>
    <mergeCell ref="IZ38:JL38"/>
    <mergeCell ref="JM38:JN38"/>
    <mergeCell ref="GO38:GQ38"/>
    <mergeCell ref="GX38:HJ38"/>
    <mergeCell ref="HK38:HL38"/>
    <mergeCell ref="HM38:HO38"/>
    <mergeCell ref="HP38:HR38"/>
    <mergeCell ref="HW38:HX38"/>
    <mergeCell ref="FK38:FM38"/>
    <mergeCell ref="FN38:FP38"/>
    <mergeCell ref="FU38:FV38"/>
    <mergeCell ref="FX38:GJ38"/>
    <mergeCell ref="GK39:GL39"/>
    <mergeCell ref="GM39:GN39"/>
    <mergeCell ref="DV39:EH39"/>
    <mergeCell ref="EI39:EJ39"/>
    <mergeCell ref="EK39:EL39"/>
    <mergeCell ref="EM39:EO39"/>
    <mergeCell ref="EV39:FH39"/>
    <mergeCell ref="FI39:FJ39"/>
    <mergeCell ref="CK39:CM39"/>
    <mergeCell ref="CT39:DF39"/>
    <mergeCell ref="DG39:DH39"/>
    <mergeCell ref="DI39:DK39"/>
    <mergeCell ref="DL39:DN39"/>
    <mergeCell ref="DS39:DT39"/>
    <mergeCell ref="BG39:BI39"/>
    <mergeCell ref="BJ39:BL39"/>
    <mergeCell ref="BQ39:BR39"/>
    <mergeCell ref="BT39:CF39"/>
    <mergeCell ref="CG39:CH39"/>
    <mergeCell ref="CI39:CJ39"/>
    <mergeCell ref="KS39:KU39"/>
    <mergeCell ref="U40:V40"/>
    <mergeCell ref="AH40:AI40"/>
    <mergeCell ref="AN40:AO40"/>
    <mergeCell ref="AR40:BD40"/>
    <mergeCell ref="BE40:BF40"/>
    <mergeCell ref="BG40:BI40"/>
    <mergeCell ref="BJ40:BL40"/>
    <mergeCell ref="BQ40:BR40"/>
    <mergeCell ref="BT40:CF40"/>
    <mergeCell ref="JO39:JQ39"/>
    <mergeCell ref="JR39:JT39"/>
    <mergeCell ref="JY39:JZ39"/>
    <mergeCell ref="KB39:KN39"/>
    <mergeCell ref="KO39:KP39"/>
    <mergeCell ref="KQ39:KR39"/>
    <mergeCell ref="HZ39:IL39"/>
    <mergeCell ref="IM39:IN39"/>
    <mergeCell ref="IO39:IP39"/>
    <mergeCell ref="IQ39:IS39"/>
    <mergeCell ref="IZ39:JL39"/>
    <mergeCell ref="JM39:JN39"/>
    <mergeCell ref="GO39:GQ39"/>
    <mergeCell ref="GX39:HJ39"/>
    <mergeCell ref="HK39:HL39"/>
    <mergeCell ref="HM39:HO39"/>
    <mergeCell ref="HP39:HR39"/>
    <mergeCell ref="HW39:HX39"/>
    <mergeCell ref="FK39:FM39"/>
    <mergeCell ref="FN39:FP39"/>
    <mergeCell ref="FU39:FV39"/>
    <mergeCell ref="FX39:GJ39"/>
    <mergeCell ref="IO40:IP40"/>
    <mergeCell ref="IQ40:IS40"/>
    <mergeCell ref="IZ40:JL40"/>
    <mergeCell ref="JM40:JN40"/>
    <mergeCell ref="GO40:GQ40"/>
    <mergeCell ref="GX40:HJ40"/>
    <mergeCell ref="HK40:HL40"/>
    <mergeCell ref="HM40:HO40"/>
    <mergeCell ref="HP40:HR40"/>
    <mergeCell ref="HW40:HX40"/>
    <mergeCell ref="FK40:FM40"/>
    <mergeCell ref="FN40:FP40"/>
    <mergeCell ref="FU40:FV40"/>
    <mergeCell ref="FX40:GJ40"/>
    <mergeCell ref="GK40:GL40"/>
    <mergeCell ref="GM40:GN40"/>
    <mergeCell ref="CG40:CH40"/>
    <mergeCell ref="CI40:CJ40"/>
    <mergeCell ref="CK40:CM40"/>
    <mergeCell ref="CS40:ER40"/>
    <mergeCell ref="EV40:FH40"/>
    <mergeCell ref="FI40:FJ40"/>
    <mergeCell ref="HM41:HO41"/>
    <mergeCell ref="HP41:HR41"/>
    <mergeCell ref="FI41:FJ41"/>
    <mergeCell ref="FK41:FM41"/>
    <mergeCell ref="FN41:FP41"/>
    <mergeCell ref="FU41:FV41"/>
    <mergeCell ref="FX41:GJ41"/>
    <mergeCell ref="GK41:GL41"/>
    <mergeCell ref="CT41:DF41"/>
    <mergeCell ref="DI41:DK41"/>
    <mergeCell ref="DL41:DN41"/>
    <mergeCell ref="DV41:EH41"/>
    <mergeCell ref="EK41:EL41"/>
    <mergeCell ref="EV41:FH41"/>
    <mergeCell ref="KS40:KU40"/>
    <mergeCell ref="AR41:BD41"/>
    <mergeCell ref="BE41:BF41"/>
    <mergeCell ref="BG41:BI41"/>
    <mergeCell ref="BJ41:BL41"/>
    <mergeCell ref="BQ41:BR41"/>
    <mergeCell ref="BT41:CF41"/>
    <mergeCell ref="CG41:CH41"/>
    <mergeCell ref="CI41:CJ41"/>
    <mergeCell ref="CK41:CM41"/>
    <mergeCell ref="JO40:JQ40"/>
    <mergeCell ref="JR40:JT40"/>
    <mergeCell ref="JY40:JZ40"/>
    <mergeCell ref="KB40:KN40"/>
    <mergeCell ref="KO40:KP40"/>
    <mergeCell ref="KQ40:KR40"/>
    <mergeCell ref="HZ40:IL40"/>
    <mergeCell ref="IM40:IN40"/>
    <mergeCell ref="CK42:CM42"/>
    <mergeCell ref="CT42:DF42"/>
    <mergeCell ref="DG42:DH42"/>
    <mergeCell ref="DI42:DK42"/>
    <mergeCell ref="DL42:DN42"/>
    <mergeCell ref="DS42:DT42"/>
    <mergeCell ref="KQ41:KR41"/>
    <mergeCell ref="KS41:KU41"/>
    <mergeCell ref="AR42:BD42"/>
    <mergeCell ref="BE42:BF42"/>
    <mergeCell ref="BG42:BI42"/>
    <mergeCell ref="BJ42:BL42"/>
    <mergeCell ref="BQ42:BR42"/>
    <mergeCell ref="BT42:CF42"/>
    <mergeCell ref="CG42:CH42"/>
    <mergeCell ref="CI42:CJ42"/>
    <mergeCell ref="JM41:JN41"/>
    <mergeCell ref="JO41:JQ41"/>
    <mergeCell ref="JR41:JT41"/>
    <mergeCell ref="JY41:JZ41"/>
    <mergeCell ref="KB41:KN41"/>
    <mergeCell ref="KO41:KP41"/>
    <mergeCell ref="HW41:HX41"/>
    <mergeCell ref="HZ41:IL41"/>
    <mergeCell ref="IM41:IN41"/>
    <mergeCell ref="IO41:IP41"/>
    <mergeCell ref="IQ41:IS41"/>
    <mergeCell ref="IZ41:JL41"/>
    <mergeCell ref="GM41:GN41"/>
    <mergeCell ref="GO41:GQ41"/>
    <mergeCell ref="GX41:HJ41"/>
    <mergeCell ref="HK41:HL41"/>
    <mergeCell ref="JM42:JN42"/>
    <mergeCell ref="GO42:GQ42"/>
    <mergeCell ref="GX42:HJ42"/>
    <mergeCell ref="HK42:HL42"/>
    <mergeCell ref="HM42:HO42"/>
    <mergeCell ref="HP42:HR42"/>
    <mergeCell ref="HW42:HX42"/>
    <mergeCell ref="FK42:FM42"/>
    <mergeCell ref="FN42:FP42"/>
    <mergeCell ref="FU42:FV42"/>
    <mergeCell ref="FX42:GJ42"/>
    <mergeCell ref="GK42:GL42"/>
    <mergeCell ref="GM42:GN42"/>
    <mergeCell ref="DV42:EH42"/>
    <mergeCell ref="EI42:EJ42"/>
    <mergeCell ref="EK42:EL42"/>
    <mergeCell ref="EM42:EO42"/>
    <mergeCell ref="EV42:FH42"/>
    <mergeCell ref="FI42:FJ42"/>
    <mergeCell ref="FU43:FV43"/>
    <mergeCell ref="FX43:GJ43"/>
    <mergeCell ref="DL43:DN43"/>
    <mergeCell ref="DS43:DT43"/>
    <mergeCell ref="DV43:EH43"/>
    <mergeCell ref="EI43:EJ43"/>
    <mergeCell ref="EK43:EL43"/>
    <mergeCell ref="EM43:EO43"/>
    <mergeCell ref="CG43:CH43"/>
    <mergeCell ref="CI43:CJ43"/>
    <mergeCell ref="CK43:CM43"/>
    <mergeCell ref="CT43:DF43"/>
    <mergeCell ref="DG43:DH43"/>
    <mergeCell ref="DI43:DK43"/>
    <mergeCell ref="KS42:KU42"/>
    <mergeCell ref="AR43:BD43"/>
    <mergeCell ref="BE43:BF43"/>
    <mergeCell ref="BG43:BI43"/>
    <mergeCell ref="BJ43:BL43"/>
    <mergeCell ref="BQ43:BR43"/>
    <mergeCell ref="BT43:CF43"/>
    <mergeCell ref="JO42:JQ42"/>
    <mergeCell ref="JR42:JT42"/>
    <mergeCell ref="JY42:JZ42"/>
    <mergeCell ref="KB42:KN42"/>
    <mergeCell ref="KO42:KP42"/>
    <mergeCell ref="KQ42:KR42"/>
    <mergeCell ref="HZ42:IL42"/>
    <mergeCell ref="IM42:IN42"/>
    <mergeCell ref="IO42:IP42"/>
    <mergeCell ref="IQ42:IS42"/>
    <mergeCell ref="IZ42:JL42"/>
    <mergeCell ref="AR44:BD44"/>
    <mergeCell ref="BE44:BF44"/>
    <mergeCell ref="BG44:BI44"/>
    <mergeCell ref="BJ44:BL44"/>
    <mergeCell ref="BQ44:BR44"/>
    <mergeCell ref="KO43:KP43"/>
    <mergeCell ref="KQ43:KR43"/>
    <mergeCell ref="KS43:KU43"/>
    <mergeCell ref="C44:D44"/>
    <mergeCell ref="IZ43:JL43"/>
    <mergeCell ref="JM43:JN43"/>
    <mergeCell ref="JO43:JQ43"/>
    <mergeCell ref="JR43:JT43"/>
    <mergeCell ref="JY43:JZ43"/>
    <mergeCell ref="KB43:KN43"/>
    <mergeCell ref="HP43:HR43"/>
    <mergeCell ref="HW43:HX43"/>
    <mergeCell ref="HZ43:IL43"/>
    <mergeCell ref="IM43:IN43"/>
    <mergeCell ref="IO43:IP43"/>
    <mergeCell ref="IQ43:IS43"/>
    <mergeCell ref="GK43:GL43"/>
    <mergeCell ref="GM43:GN43"/>
    <mergeCell ref="GO43:GQ43"/>
    <mergeCell ref="GX43:HJ43"/>
    <mergeCell ref="HK43:HL43"/>
    <mergeCell ref="HM43:HO43"/>
    <mergeCell ref="EV43:FH43"/>
    <mergeCell ref="FI43:FJ43"/>
    <mergeCell ref="FK43:FM43"/>
    <mergeCell ref="FN43:FP43"/>
    <mergeCell ref="FN44:FP44"/>
    <mergeCell ref="EM44:EO44"/>
    <mergeCell ref="EV44:FH44"/>
    <mergeCell ref="FI44:FJ44"/>
    <mergeCell ref="FK44:FM44"/>
    <mergeCell ref="EM45:EO45"/>
    <mergeCell ref="FU44:FV44"/>
    <mergeCell ref="DI44:DK44"/>
    <mergeCell ref="DL44:DN44"/>
    <mergeCell ref="DS44:DT44"/>
    <mergeCell ref="DV44:EH44"/>
    <mergeCell ref="EI44:EJ44"/>
    <mergeCell ref="EK44:EL44"/>
    <mergeCell ref="BT44:CF44"/>
    <mergeCell ref="CG44:CH44"/>
    <mergeCell ref="CI44:CJ44"/>
    <mergeCell ref="CK44:CM44"/>
    <mergeCell ref="CT44:DF44"/>
    <mergeCell ref="DG44:DH44"/>
    <mergeCell ref="FN45:FP45"/>
    <mergeCell ref="FU45:FV45"/>
    <mergeCell ref="BJ45:BL45"/>
    <mergeCell ref="BQ45:BR45"/>
    <mergeCell ref="BT45:CF45"/>
    <mergeCell ref="CG45:CH45"/>
    <mergeCell ref="CI45:CJ45"/>
    <mergeCell ref="CK45:CM45"/>
    <mergeCell ref="AR45:BD45"/>
    <mergeCell ref="BE45:BF45"/>
    <mergeCell ref="BG45:BI45"/>
    <mergeCell ref="KB44:KN44"/>
    <mergeCell ref="KO44:KP44"/>
    <mergeCell ref="KQ44:KR44"/>
    <mergeCell ref="KS44:KU44"/>
    <mergeCell ref="C45:D46"/>
    <mergeCell ref="IQ44:IS44"/>
    <mergeCell ref="IZ44:JL44"/>
    <mergeCell ref="JM44:JN44"/>
    <mergeCell ref="JO44:JQ44"/>
    <mergeCell ref="JR44:JT44"/>
    <mergeCell ref="JY44:JZ44"/>
    <mergeCell ref="HM44:HO44"/>
    <mergeCell ref="HP44:HR44"/>
    <mergeCell ref="HW44:HX44"/>
    <mergeCell ref="HZ44:IL44"/>
    <mergeCell ref="IM44:IN44"/>
    <mergeCell ref="IO44:IP44"/>
    <mergeCell ref="FX44:GJ44"/>
    <mergeCell ref="GK44:GL44"/>
    <mergeCell ref="GM44:GN44"/>
    <mergeCell ref="GO44:GQ44"/>
    <mergeCell ref="GX44:HJ44"/>
    <mergeCell ref="HK44:HL44"/>
    <mergeCell ref="FX45:GJ45"/>
    <mergeCell ref="GK45:GL45"/>
    <mergeCell ref="GM45:GN45"/>
    <mergeCell ref="GO45:GQ45"/>
    <mergeCell ref="EI45:EJ45"/>
    <mergeCell ref="EK45:EL45"/>
    <mergeCell ref="FN46:FP46"/>
    <mergeCell ref="FU46:FV46"/>
    <mergeCell ref="EV45:FH45"/>
    <mergeCell ref="FI45:FJ45"/>
    <mergeCell ref="FK45:FM45"/>
    <mergeCell ref="CT45:DF45"/>
    <mergeCell ref="DG45:DH45"/>
    <mergeCell ref="DI45:DK45"/>
    <mergeCell ref="DL45:DN45"/>
    <mergeCell ref="DS45:DT45"/>
    <mergeCell ref="DV45:EH45"/>
    <mergeCell ref="DI46:DK46"/>
    <mergeCell ref="DL46:DN46"/>
    <mergeCell ref="DS46:DT46"/>
    <mergeCell ref="DV46:EH46"/>
    <mergeCell ref="EI46:EJ46"/>
    <mergeCell ref="EK46:EL46"/>
    <mergeCell ref="JR45:JT45"/>
    <mergeCell ref="JY45:JZ45"/>
    <mergeCell ref="KB45:KN45"/>
    <mergeCell ref="KO45:KP45"/>
    <mergeCell ref="KQ45:KR45"/>
    <mergeCell ref="KS45:KU45"/>
    <mergeCell ref="IM45:IN45"/>
    <mergeCell ref="IO45:IP45"/>
    <mergeCell ref="IQ45:IS45"/>
    <mergeCell ref="IZ45:JL45"/>
    <mergeCell ref="JM45:JN45"/>
    <mergeCell ref="JO45:JQ45"/>
    <mergeCell ref="GX45:HJ45"/>
    <mergeCell ref="HK45:HL45"/>
    <mergeCell ref="HM45:HO45"/>
    <mergeCell ref="HP45:HR45"/>
    <mergeCell ref="HW45:HX45"/>
    <mergeCell ref="HZ45:IL45"/>
    <mergeCell ref="KO47:KP47"/>
    <mergeCell ref="KQ47:KR47"/>
    <mergeCell ref="KS47:KU47"/>
    <mergeCell ref="IQ47:IS47"/>
    <mergeCell ref="IZ47:JL47"/>
    <mergeCell ref="BT46:CF46"/>
    <mergeCell ref="CG46:CH46"/>
    <mergeCell ref="CI46:CJ46"/>
    <mergeCell ref="CK46:CM46"/>
    <mergeCell ref="CT46:DF46"/>
    <mergeCell ref="DG46:DH46"/>
    <mergeCell ref="AR46:BD46"/>
    <mergeCell ref="BE46:BF46"/>
    <mergeCell ref="BG46:BI46"/>
    <mergeCell ref="BJ46:BL46"/>
    <mergeCell ref="BQ46:BR46"/>
    <mergeCell ref="AR47:BD47"/>
    <mergeCell ref="BE47:BF47"/>
    <mergeCell ref="BG47:BI47"/>
    <mergeCell ref="BJ47:BL47"/>
    <mergeCell ref="BQ47:BR47"/>
    <mergeCell ref="KB46:KN46"/>
    <mergeCell ref="EM46:EO46"/>
    <mergeCell ref="EV46:FH46"/>
    <mergeCell ref="FI46:FJ46"/>
    <mergeCell ref="FK46:FM46"/>
    <mergeCell ref="FN47:FP47"/>
    <mergeCell ref="EM47:EO47"/>
    <mergeCell ref="EV47:FH47"/>
    <mergeCell ref="FI47:FJ47"/>
    <mergeCell ref="FK47:FM47"/>
    <mergeCell ref="CG47:CH47"/>
    <mergeCell ref="KO46:KP46"/>
    <mergeCell ref="KQ46:KR46"/>
    <mergeCell ref="KS46:KU46"/>
    <mergeCell ref="IQ46:IS46"/>
    <mergeCell ref="IZ46:JL46"/>
    <mergeCell ref="JM46:JN46"/>
    <mergeCell ref="JO46:JQ46"/>
    <mergeCell ref="JR46:JT46"/>
    <mergeCell ref="JY46:JZ46"/>
    <mergeCell ref="HM46:HO46"/>
    <mergeCell ref="HP46:HR46"/>
    <mergeCell ref="HW46:HX46"/>
    <mergeCell ref="HZ46:IL46"/>
    <mergeCell ref="IM46:IN46"/>
    <mergeCell ref="IO46:IP46"/>
    <mergeCell ref="FX46:GJ46"/>
    <mergeCell ref="GK46:GL46"/>
    <mergeCell ref="GM46:GN46"/>
    <mergeCell ref="GO46:GQ46"/>
    <mergeCell ref="GX46:HJ46"/>
    <mergeCell ref="HK46:HL46"/>
    <mergeCell ref="BT49:CF49"/>
    <mergeCell ref="CG49:CH49"/>
    <mergeCell ref="CI49:CJ49"/>
    <mergeCell ref="CK49:CM49"/>
    <mergeCell ref="CT49:DF49"/>
    <mergeCell ref="DG49:DH49"/>
    <mergeCell ref="JY48:JZ48"/>
    <mergeCell ref="JO47:JQ47"/>
    <mergeCell ref="JR47:JT47"/>
    <mergeCell ref="JY47:JZ47"/>
    <mergeCell ref="HM47:HO47"/>
    <mergeCell ref="HP47:HR47"/>
    <mergeCell ref="HW47:HX47"/>
    <mergeCell ref="HZ47:IL47"/>
    <mergeCell ref="IM47:IN47"/>
    <mergeCell ref="IO47:IP47"/>
    <mergeCell ref="FX47:GJ47"/>
    <mergeCell ref="GK47:GL47"/>
    <mergeCell ref="GM47:GN47"/>
    <mergeCell ref="GO47:GQ47"/>
    <mergeCell ref="GX47:HJ47"/>
    <mergeCell ref="HK47:HL47"/>
    <mergeCell ref="FN48:FP48"/>
    <mergeCell ref="DG48:DH48"/>
    <mergeCell ref="DI48:DK48"/>
    <mergeCell ref="DL48:DN48"/>
    <mergeCell ref="DS48:DT48"/>
    <mergeCell ref="DV48:EH48"/>
    <mergeCell ref="EI48:EJ48"/>
    <mergeCell ref="BT48:CF48"/>
    <mergeCell ref="CG48:CH48"/>
    <mergeCell ref="CI48:CJ48"/>
    <mergeCell ref="BG48:BI48"/>
    <mergeCell ref="BJ48:BL48"/>
    <mergeCell ref="KB47:KN47"/>
    <mergeCell ref="IM48:IN48"/>
    <mergeCell ref="FU48:FV48"/>
    <mergeCell ref="FX48:GJ48"/>
    <mergeCell ref="GK48:GL48"/>
    <mergeCell ref="GM48:GN48"/>
    <mergeCell ref="GO48:GQ48"/>
    <mergeCell ref="FK48:FM48"/>
    <mergeCell ref="FU47:FV47"/>
    <mergeCell ref="DI47:DK47"/>
    <mergeCell ref="DL47:DN47"/>
    <mergeCell ref="DS47:DT47"/>
    <mergeCell ref="DV47:EH47"/>
    <mergeCell ref="EI47:EJ47"/>
    <mergeCell ref="EK47:EL47"/>
    <mergeCell ref="BT47:CF47"/>
    <mergeCell ref="BQ48:BR48"/>
    <mergeCell ref="CK48:CM48"/>
    <mergeCell ref="CT48:DF48"/>
    <mergeCell ref="CI47:CJ47"/>
    <mergeCell ref="CK47:CM47"/>
    <mergeCell ref="CT47:DF47"/>
    <mergeCell ref="DG47:DH47"/>
    <mergeCell ref="JM47:JN47"/>
    <mergeCell ref="KB48:KN48"/>
    <mergeCell ref="KO48:KP48"/>
    <mergeCell ref="KQ48:KR48"/>
    <mergeCell ref="KS48:KU48"/>
    <mergeCell ref="AR49:BD49"/>
    <mergeCell ref="BE49:BF49"/>
    <mergeCell ref="BG49:BI49"/>
    <mergeCell ref="BJ49:BL49"/>
    <mergeCell ref="BQ49:BR49"/>
    <mergeCell ref="IO48:IP48"/>
    <mergeCell ref="IQ48:IS48"/>
    <mergeCell ref="IZ48:JL48"/>
    <mergeCell ref="JM48:JN48"/>
    <mergeCell ref="JO48:JQ48"/>
    <mergeCell ref="JR48:JT48"/>
    <mergeCell ref="HK48:HL48"/>
    <mergeCell ref="HM48:HO48"/>
    <mergeCell ref="HP48:HR48"/>
    <mergeCell ref="HW48:HX48"/>
    <mergeCell ref="HZ48:IL48"/>
    <mergeCell ref="GX48:HJ48"/>
    <mergeCell ref="EK48:EL48"/>
    <mergeCell ref="EM48:EO48"/>
    <mergeCell ref="EV48:FH48"/>
    <mergeCell ref="FI48:FJ48"/>
    <mergeCell ref="DL49:DN49"/>
    <mergeCell ref="DS49:DT49"/>
    <mergeCell ref="DV49:EH49"/>
    <mergeCell ref="EI49:EJ49"/>
    <mergeCell ref="EK49:EL49"/>
    <mergeCell ref="AR48:BD48"/>
    <mergeCell ref="BE48:BF48"/>
    <mergeCell ref="AQ50:CP50"/>
    <mergeCell ref="CT50:DF50"/>
    <mergeCell ref="KB49:KN49"/>
    <mergeCell ref="KO49:KP49"/>
    <mergeCell ref="KQ49:KR49"/>
    <mergeCell ref="KS49:KU49"/>
    <mergeCell ref="IQ49:IS49"/>
    <mergeCell ref="IZ49:JL49"/>
    <mergeCell ref="JM49:JN49"/>
    <mergeCell ref="JO49:JQ49"/>
    <mergeCell ref="JR49:JT49"/>
    <mergeCell ref="JY49:JZ49"/>
    <mergeCell ref="HM49:HO49"/>
    <mergeCell ref="HP49:HR49"/>
    <mergeCell ref="HW49:HX49"/>
    <mergeCell ref="HZ49:IL49"/>
    <mergeCell ref="IM49:IN49"/>
    <mergeCell ref="IO49:IP49"/>
    <mergeCell ref="FX49:GJ49"/>
    <mergeCell ref="GK49:GL49"/>
    <mergeCell ref="GM49:GN49"/>
    <mergeCell ref="GO49:GQ49"/>
    <mergeCell ref="KQ50:KR50"/>
    <mergeCell ref="GX49:HJ49"/>
    <mergeCell ref="HK49:HL49"/>
    <mergeCell ref="EM49:EO49"/>
    <mergeCell ref="EV49:FH49"/>
    <mergeCell ref="FI49:FJ49"/>
    <mergeCell ref="FK49:FM49"/>
    <mergeCell ref="FN49:FP49"/>
    <mergeCell ref="FU49:FV49"/>
    <mergeCell ref="DI49:DK49"/>
    <mergeCell ref="KS50:KU50"/>
    <mergeCell ref="IO50:IP50"/>
    <mergeCell ref="IQ50:IS50"/>
    <mergeCell ref="IZ50:JL50"/>
    <mergeCell ref="JM50:JN50"/>
    <mergeCell ref="JO50:JQ50"/>
    <mergeCell ref="JR50:JT50"/>
    <mergeCell ref="HK50:HL50"/>
    <mergeCell ref="HM50:HO50"/>
    <mergeCell ref="HP50:HR50"/>
    <mergeCell ref="HW50:HX50"/>
    <mergeCell ref="HZ50:IL50"/>
    <mergeCell ref="IM50:IN50"/>
    <mergeCell ref="FU50:FV50"/>
    <mergeCell ref="FX50:GJ50"/>
    <mergeCell ref="GK50:GL50"/>
    <mergeCell ref="GM50:GN50"/>
    <mergeCell ref="GO50:GQ50"/>
    <mergeCell ref="GX50:HJ50"/>
    <mergeCell ref="DS51:DT51"/>
    <mergeCell ref="DV51:EH51"/>
    <mergeCell ref="EI51:EJ51"/>
    <mergeCell ref="EK51:EL51"/>
    <mergeCell ref="EM51:EO51"/>
    <mergeCell ref="EV51:FH51"/>
    <mergeCell ref="CT51:DF51"/>
    <mergeCell ref="DG51:DH51"/>
    <mergeCell ref="DI51:DK51"/>
    <mergeCell ref="DL51:DN51"/>
    <mergeCell ref="JY50:JZ50"/>
    <mergeCell ref="KB50:KN50"/>
    <mergeCell ref="KO50:KP50"/>
    <mergeCell ref="DI50:DK50"/>
    <mergeCell ref="DL50:DN50"/>
    <mergeCell ref="DS50:DT50"/>
    <mergeCell ref="DV50:EH50"/>
    <mergeCell ref="EI50:EJ50"/>
    <mergeCell ref="EK50:EL50"/>
    <mergeCell ref="EM50:EO50"/>
    <mergeCell ref="EV50:FH50"/>
    <mergeCell ref="FI50:FJ50"/>
    <mergeCell ref="FK50:FM50"/>
    <mergeCell ref="FN50:FP50"/>
    <mergeCell ref="DG50:DH50"/>
    <mergeCell ref="FX51:GJ51"/>
    <mergeCell ref="GK51:GL51"/>
    <mergeCell ref="KQ51:KR51"/>
    <mergeCell ref="KS51:KU51"/>
    <mergeCell ref="CT53:DF53"/>
    <mergeCell ref="DG53:DH53"/>
    <mergeCell ref="DI53:DK53"/>
    <mergeCell ref="DL53:DN53"/>
    <mergeCell ref="DS53:DT53"/>
    <mergeCell ref="DV53:EH53"/>
    <mergeCell ref="EI53:EJ53"/>
    <mergeCell ref="EK53:EL53"/>
    <mergeCell ref="JM51:JN51"/>
    <mergeCell ref="JO51:JQ51"/>
    <mergeCell ref="JR51:JT51"/>
    <mergeCell ref="JY51:JZ51"/>
    <mergeCell ref="KB51:KN51"/>
    <mergeCell ref="KO51:KP51"/>
    <mergeCell ref="HW51:HX51"/>
    <mergeCell ref="HZ51:IL51"/>
    <mergeCell ref="IM51:IN51"/>
    <mergeCell ref="IO51:IP51"/>
    <mergeCell ref="IQ51:IS51"/>
    <mergeCell ref="IZ51:JL51"/>
    <mergeCell ref="GM51:GN51"/>
    <mergeCell ref="GO51:GQ51"/>
    <mergeCell ref="GX51:HJ51"/>
    <mergeCell ref="HK51:HL51"/>
    <mergeCell ref="HM51:HO51"/>
    <mergeCell ref="HP51:HR51"/>
    <mergeCell ref="FI51:FJ51"/>
    <mergeCell ref="FK51:FM51"/>
    <mergeCell ref="FN51:FP51"/>
    <mergeCell ref="FU51:FV51"/>
    <mergeCell ref="IQ53:IS53"/>
    <mergeCell ref="IY53:KX53"/>
    <mergeCell ref="CT54:DF54"/>
    <mergeCell ref="DG54:DH54"/>
    <mergeCell ref="DI54:DK54"/>
    <mergeCell ref="DL54:DN54"/>
    <mergeCell ref="DS54:DT54"/>
    <mergeCell ref="DV54:EH54"/>
    <mergeCell ref="EI54:EJ54"/>
    <mergeCell ref="EK54:EL54"/>
    <mergeCell ref="HM53:HO53"/>
    <mergeCell ref="HP53:HR53"/>
    <mergeCell ref="HW53:HX53"/>
    <mergeCell ref="HZ53:IL53"/>
    <mergeCell ref="IM53:IN53"/>
    <mergeCell ref="IO53:IP53"/>
    <mergeCell ref="FX53:GJ53"/>
    <mergeCell ref="GK53:GL53"/>
    <mergeCell ref="GM53:GN53"/>
    <mergeCell ref="GO53:GQ53"/>
    <mergeCell ref="GX53:HJ53"/>
    <mergeCell ref="HK53:HL53"/>
    <mergeCell ref="EM53:EO53"/>
    <mergeCell ref="EV53:FH53"/>
    <mergeCell ref="FI53:FJ53"/>
    <mergeCell ref="FK53:FM53"/>
    <mergeCell ref="FN53:FP53"/>
    <mergeCell ref="FU53:FV53"/>
    <mergeCell ref="IQ54:IS54"/>
    <mergeCell ref="DS55:DT55"/>
    <mergeCell ref="DV55:EH55"/>
    <mergeCell ref="EI55:EJ55"/>
    <mergeCell ref="HM54:HO54"/>
    <mergeCell ref="HP54:HR54"/>
    <mergeCell ref="HW54:HX54"/>
    <mergeCell ref="HZ54:IL54"/>
    <mergeCell ref="IM54:IN54"/>
    <mergeCell ref="IO54:IP54"/>
    <mergeCell ref="FX54:GJ54"/>
    <mergeCell ref="GK54:GL54"/>
    <mergeCell ref="GM54:GN54"/>
    <mergeCell ref="GO54:GQ54"/>
    <mergeCell ref="GX54:HJ54"/>
    <mergeCell ref="HK54:HL54"/>
    <mergeCell ref="EM54:EO54"/>
    <mergeCell ref="EV54:FH54"/>
    <mergeCell ref="FI54:FJ54"/>
    <mergeCell ref="FK54:FM54"/>
    <mergeCell ref="FN54:FP54"/>
    <mergeCell ref="FU54:FV54"/>
    <mergeCell ref="IO55:IP55"/>
    <mergeCell ref="IQ55:IS55"/>
    <mergeCell ref="CT56:DF56"/>
    <mergeCell ref="DG56:DH56"/>
    <mergeCell ref="DI56:DK56"/>
    <mergeCell ref="DL56:DN56"/>
    <mergeCell ref="DS56:DT56"/>
    <mergeCell ref="DV56:EH56"/>
    <mergeCell ref="EI56:EJ56"/>
    <mergeCell ref="HK55:HL55"/>
    <mergeCell ref="HM55:HO55"/>
    <mergeCell ref="HP55:HR55"/>
    <mergeCell ref="HW55:HX55"/>
    <mergeCell ref="HZ55:IL55"/>
    <mergeCell ref="IM55:IN55"/>
    <mergeCell ref="FU55:FV55"/>
    <mergeCell ref="FX55:GJ55"/>
    <mergeCell ref="GK55:GL55"/>
    <mergeCell ref="GM55:GN55"/>
    <mergeCell ref="GO55:GQ55"/>
    <mergeCell ref="GX55:HJ55"/>
    <mergeCell ref="EK55:EL55"/>
    <mergeCell ref="EM55:EO55"/>
    <mergeCell ref="EV55:FH55"/>
    <mergeCell ref="FI55:FJ55"/>
    <mergeCell ref="FK55:FM55"/>
    <mergeCell ref="FN55:FP55"/>
    <mergeCell ref="IO56:IP56"/>
    <mergeCell ref="IQ56:IS56"/>
    <mergeCell ref="CT55:DF55"/>
    <mergeCell ref="DG55:DH55"/>
    <mergeCell ref="DI55:DK55"/>
    <mergeCell ref="DL55:DN55"/>
    <mergeCell ref="DL57:DN57"/>
    <mergeCell ref="DS57:DT57"/>
    <mergeCell ref="DV57:EH57"/>
    <mergeCell ref="HK56:HL56"/>
    <mergeCell ref="HM56:HO56"/>
    <mergeCell ref="HP56:HR56"/>
    <mergeCell ref="HW56:HX56"/>
    <mergeCell ref="HZ56:IL56"/>
    <mergeCell ref="IM56:IN56"/>
    <mergeCell ref="FU56:FV56"/>
    <mergeCell ref="FX56:GJ56"/>
    <mergeCell ref="GK56:GL56"/>
    <mergeCell ref="GM56:GN56"/>
    <mergeCell ref="GO56:GQ56"/>
    <mergeCell ref="GX56:HJ56"/>
    <mergeCell ref="EK56:EL56"/>
    <mergeCell ref="EM56:EO56"/>
    <mergeCell ref="EV56:FH56"/>
    <mergeCell ref="FI56:FJ56"/>
    <mergeCell ref="FK56:FM56"/>
    <mergeCell ref="FN56:FP56"/>
    <mergeCell ref="IM57:IN57"/>
    <mergeCell ref="IO57:IP57"/>
    <mergeCell ref="IQ57:IS57"/>
    <mergeCell ref="CT58:DF58"/>
    <mergeCell ref="DG58:DH58"/>
    <mergeCell ref="DI58:DK58"/>
    <mergeCell ref="DL58:DN58"/>
    <mergeCell ref="DS58:DT58"/>
    <mergeCell ref="DV58:EH58"/>
    <mergeCell ref="EI58:EJ58"/>
    <mergeCell ref="GX57:HJ57"/>
    <mergeCell ref="HK57:HL57"/>
    <mergeCell ref="HM57:HO57"/>
    <mergeCell ref="HP57:HR57"/>
    <mergeCell ref="HW57:HX57"/>
    <mergeCell ref="HZ57:IL57"/>
    <mergeCell ref="FN57:FP57"/>
    <mergeCell ref="FU57:FV57"/>
    <mergeCell ref="FX57:GJ57"/>
    <mergeCell ref="GK57:GL57"/>
    <mergeCell ref="GM57:GN57"/>
    <mergeCell ref="GO57:GQ57"/>
    <mergeCell ref="EI57:EJ57"/>
    <mergeCell ref="EK57:EL57"/>
    <mergeCell ref="EM57:EO57"/>
    <mergeCell ref="EV57:FH57"/>
    <mergeCell ref="FI57:FJ57"/>
    <mergeCell ref="FK57:FM57"/>
    <mergeCell ref="IO58:IP58"/>
    <mergeCell ref="IQ58:IS58"/>
    <mergeCell ref="CT57:DF57"/>
    <mergeCell ref="DG57:DH57"/>
    <mergeCell ref="DI57:DK57"/>
    <mergeCell ref="DL59:DN59"/>
    <mergeCell ref="DS59:DT59"/>
    <mergeCell ref="DV59:EH59"/>
    <mergeCell ref="HK58:HL58"/>
    <mergeCell ref="HM58:HO58"/>
    <mergeCell ref="HP58:HR58"/>
    <mergeCell ref="HW58:HX58"/>
    <mergeCell ref="HZ58:IL58"/>
    <mergeCell ref="IM58:IN58"/>
    <mergeCell ref="FU58:FV58"/>
    <mergeCell ref="FX58:GJ58"/>
    <mergeCell ref="GK58:GL58"/>
    <mergeCell ref="GM58:GN58"/>
    <mergeCell ref="GO58:GQ58"/>
    <mergeCell ref="GX58:HJ58"/>
    <mergeCell ref="EK58:EL58"/>
    <mergeCell ref="EM58:EO58"/>
    <mergeCell ref="EV58:FH58"/>
    <mergeCell ref="FI58:FJ58"/>
    <mergeCell ref="FK58:FM58"/>
    <mergeCell ref="FN58:FP58"/>
    <mergeCell ref="IM59:IN59"/>
    <mergeCell ref="IO59:IP59"/>
    <mergeCell ref="IQ59:IS59"/>
    <mergeCell ref="CT60:DF60"/>
    <mergeCell ref="DG60:DH60"/>
    <mergeCell ref="DI60:DK60"/>
    <mergeCell ref="DL60:DN60"/>
    <mergeCell ref="DS60:DT60"/>
    <mergeCell ref="DV60:EH60"/>
    <mergeCell ref="EI60:EJ60"/>
    <mergeCell ref="GX59:HJ59"/>
    <mergeCell ref="HK59:HL59"/>
    <mergeCell ref="HM59:HO59"/>
    <mergeCell ref="HP59:HR59"/>
    <mergeCell ref="HW59:HX59"/>
    <mergeCell ref="HZ59:IL59"/>
    <mergeCell ref="FN59:FP59"/>
    <mergeCell ref="FU59:FV59"/>
    <mergeCell ref="FX59:GJ59"/>
    <mergeCell ref="GK59:GL59"/>
    <mergeCell ref="GM59:GN59"/>
    <mergeCell ref="GO59:GQ59"/>
    <mergeCell ref="EI59:EJ59"/>
    <mergeCell ref="EK59:EL59"/>
    <mergeCell ref="EM59:EO59"/>
    <mergeCell ref="EV59:FH59"/>
    <mergeCell ref="FI59:FJ59"/>
    <mergeCell ref="FK59:FM59"/>
    <mergeCell ref="IO60:IP60"/>
    <mergeCell ref="IQ60:IS60"/>
    <mergeCell ref="CT59:DF59"/>
    <mergeCell ref="DG59:DH59"/>
    <mergeCell ref="DI59:DK59"/>
    <mergeCell ref="EI61:EJ61"/>
    <mergeCell ref="FK62:FM62"/>
    <mergeCell ref="FN62:FP62"/>
    <mergeCell ref="FU62:FV62"/>
    <mergeCell ref="HK60:HL60"/>
    <mergeCell ref="HM60:HO60"/>
    <mergeCell ref="HP60:HR60"/>
    <mergeCell ref="HW60:HX60"/>
    <mergeCell ref="HZ60:IL60"/>
    <mergeCell ref="IM60:IN60"/>
    <mergeCell ref="FU60:FV60"/>
    <mergeCell ref="FX60:GJ60"/>
    <mergeCell ref="GK60:GL60"/>
    <mergeCell ref="GM60:GN60"/>
    <mergeCell ref="GO60:GQ60"/>
    <mergeCell ref="GX60:HJ60"/>
    <mergeCell ref="EK60:EL60"/>
    <mergeCell ref="EM60:EO60"/>
    <mergeCell ref="EV60:FH60"/>
    <mergeCell ref="FI60:FJ60"/>
    <mergeCell ref="FK60:FM60"/>
    <mergeCell ref="FN60:FP60"/>
    <mergeCell ref="GM63:GN63"/>
    <mergeCell ref="GO63:GQ63"/>
    <mergeCell ref="EM63:EO63"/>
    <mergeCell ref="EV63:FH63"/>
    <mergeCell ref="DL63:DN63"/>
    <mergeCell ref="AZ62:BA62"/>
    <mergeCell ref="BF62:BG62"/>
    <mergeCell ref="CT62:DF62"/>
    <mergeCell ref="DG62:DH62"/>
    <mergeCell ref="DI62:DK62"/>
    <mergeCell ref="FU61:FV61"/>
    <mergeCell ref="FX61:GJ61"/>
    <mergeCell ref="GK61:GL61"/>
    <mergeCell ref="GM61:GN61"/>
    <mergeCell ref="GO61:GQ61"/>
    <mergeCell ref="GW61:IV61"/>
    <mergeCell ref="EK61:EL61"/>
    <mergeCell ref="EM61:EO61"/>
    <mergeCell ref="EV61:FH61"/>
    <mergeCell ref="FI61:FJ61"/>
    <mergeCell ref="FK61:FM61"/>
    <mergeCell ref="FN61:FP61"/>
    <mergeCell ref="GK62:GL62"/>
    <mergeCell ref="GM62:GN62"/>
    <mergeCell ref="GO62:GQ62"/>
    <mergeCell ref="EV62:FH62"/>
    <mergeCell ref="FI62:FJ62"/>
    <mergeCell ref="CT61:DF61"/>
    <mergeCell ref="DG61:DH61"/>
    <mergeCell ref="DI61:DK61"/>
    <mergeCell ref="DL61:DN61"/>
    <mergeCell ref="DS61:DT61"/>
    <mergeCell ref="FI63:FJ63"/>
    <mergeCell ref="FK63:FM63"/>
    <mergeCell ref="FN63:FP63"/>
    <mergeCell ref="FU63:FV63"/>
    <mergeCell ref="FX63:GJ63"/>
    <mergeCell ref="GK63:GL63"/>
    <mergeCell ref="DS63:DT63"/>
    <mergeCell ref="DV63:EH63"/>
    <mergeCell ref="EI63:EJ63"/>
    <mergeCell ref="EK63:EL63"/>
    <mergeCell ref="AZ63:BA63"/>
    <mergeCell ref="BF63:BG63"/>
    <mergeCell ref="CT63:DF63"/>
    <mergeCell ref="DG63:DH63"/>
    <mergeCell ref="DI63:DK63"/>
    <mergeCell ref="FX62:GJ62"/>
    <mergeCell ref="DL62:DN62"/>
    <mergeCell ref="DS62:DT62"/>
    <mergeCell ref="DV62:EH62"/>
    <mergeCell ref="EI62:EJ62"/>
    <mergeCell ref="EK62:EL62"/>
    <mergeCell ref="EM62:EO62"/>
    <mergeCell ref="DI65:DK65"/>
    <mergeCell ref="DL65:DN65"/>
    <mergeCell ref="GM66:GN66"/>
    <mergeCell ref="GO66:GQ66"/>
    <mergeCell ref="AZ64:BA64"/>
    <mergeCell ref="BF64:BG64"/>
    <mergeCell ref="CT64:DF64"/>
    <mergeCell ref="DG64:DH64"/>
    <mergeCell ref="DI64:DK64"/>
    <mergeCell ref="DL64:DN64"/>
    <mergeCell ref="DS64:DT64"/>
    <mergeCell ref="DV64:EH64"/>
    <mergeCell ref="FN64:FP64"/>
    <mergeCell ref="FU64:FV64"/>
    <mergeCell ref="FX64:GJ64"/>
    <mergeCell ref="GK64:GL64"/>
    <mergeCell ref="GM64:GN64"/>
    <mergeCell ref="GO64:GQ64"/>
    <mergeCell ref="EI64:EJ64"/>
    <mergeCell ref="EK64:EL64"/>
    <mergeCell ref="EM64:EO64"/>
    <mergeCell ref="EV64:FH64"/>
    <mergeCell ref="FI64:FJ64"/>
    <mergeCell ref="FK64:FM64"/>
    <mergeCell ref="FI66:FJ66"/>
    <mergeCell ref="FK66:FM66"/>
    <mergeCell ref="FN66:FP66"/>
    <mergeCell ref="FU66:FV66"/>
    <mergeCell ref="FX66:GJ66"/>
    <mergeCell ref="GK66:GL66"/>
    <mergeCell ref="DS66:DT66"/>
    <mergeCell ref="DV66:EH66"/>
    <mergeCell ref="EI66:EJ66"/>
    <mergeCell ref="EK66:EL66"/>
    <mergeCell ref="EM66:EO66"/>
    <mergeCell ref="EV66:FH66"/>
    <mergeCell ref="GM65:GN65"/>
    <mergeCell ref="GO65:GQ65"/>
    <mergeCell ref="AZ66:BA66"/>
    <mergeCell ref="BF66:BG66"/>
    <mergeCell ref="CT66:DF66"/>
    <mergeCell ref="DG66:DH66"/>
    <mergeCell ref="DI66:DK66"/>
    <mergeCell ref="DL66:DN66"/>
    <mergeCell ref="FI65:FJ65"/>
    <mergeCell ref="FK65:FM65"/>
    <mergeCell ref="FN65:FP65"/>
    <mergeCell ref="FU65:FV65"/>
    <mergeCell ref="FX65:GJ65"/>
    <mergeCell ref="GK65:GL65"/>
    <mergeCell ref="DS65:DT65"/>
    <mergeCell ref="DV65:EH65"/>
    <mergeCell ref="EI65:EJ65"/>
    <mergeCell ref="EK65:EL65"/>
    <mergeCell ref="EV65:FH65"/>
    <mergeCell ref="AZ65:BA65"/>
    <mergeCell ref="BF65:BG65"/>
    <mergeCell ref="CT65:DF65"/>
    <mergeCell ref="DG65:DH65"/>
    <mergeCell ref="FU67:FV67"/>
    <mergeCell ref="FX67:GJ67"/>
    <mergeCell ref="GK67:GL67"/>
    <mergeCell ref="GM67:GN67"/>
    <mergeCell ref="GO67:GQ67"/>
    <mergeCell ref="EK67:EL67"/>
    <mergeCell ref="EM67:EO67"/>
    <mergeCell ref="EV67:FH67"/>
    <mergeCell ref="FI67:FJ67"/>
    <mergeCell ref="FK67:FM67"/>
    <mergeCell ref="FN67:FP67"/>
    <mergeCell ref="DG67:DH67"/>
    <mergeCell ref="DI67:DK67"/>
    <mergeCell ref="DL67:DN67"/>
    <mergeCell ref="DS67:DT67"/>
    <mergeCell ref="DV67:EH67"/>
    <mergeCell ref="EI67:EJ67"/>
    <mergeCell ref="AZ67:BA67"/>
    <mergeCell ref="CT67:DF67"/>
    <mergeCell ref="EU69:GT69"/>
    <mergeCell ref="CT70:DF70"/>
    <mergeCell ref="DG70:DH70"/>
    <mergeCell ref="DI70:DK70"/>
    <mergeCell ref="DL70:DN70"/>
    <mergeCell ref="DS70:DT70"/>
    <mergeCell ref="DV70:EH70"/>
    <mergeCell ref="GM68:GN68"/>
    <mergeCell ref="GO68:GQ68"/>
    <mergeCell ref="AZ69:BA69"/>
    <mergeCell ref="CT69:DF69"/>
    <mergeCell ref="DG69:DH69"/>
    <mergeCell ref="DI69:DK69"/>
    <mergeCell ref="DL69:DN69"/>
    <mergeCell ref="DS69:DT69"/>
    <mergeCell ref="DV69:EH69"/>
    <mergeCell ref="EI69:EJ69"/>
    <mergeCell ref="FI68:FJ68"/>
    <mergeCell ref="FK68:FM68"/>
    <mergeCell ref="FN68:FP68"/>
    <mergeCell ref="FU68:FV68"/>
    <mergeCell ref="FX68:GJ68"/>
    <mergeCell ref="GK68:GL68"/>
    <mergeCell ref="DS68:DT68"/>
    <mergeCell ref="DV68:EH68"/>
    <mergeCell ref="EI68:EJ68"/>
    <mergeCell ref="EK68:EL68"/>
    <mergeCell ref="EM68:EO68"/>
    <mergeCell ref="EV68:FH68"/>
    <mergeCell ref="AZ68:BA68"/>
    <mergeCell ref="V51:W51"/>
    <mergeCell ref="V52:W52"/>
    <mergeCell ref="X45:Y45"/>
    <mergeCell ref="EM73:EO73"/>
    <mergeCell ref="EK71:EL71"/>
    <mergeCell ref="EM71:EO71"/>
    <mergeCell ref="CT72:DF72"/>
    <mergeCell ref="DG72:DH72"/>
    <mergeCell ref="DI72:DK72"/>
    <mergeCell ref="DL72:DN72"/>
    <mergeCell ref="DS72:DT72"/>
    <mergeCell ref="DV72:EH72"/>
    <mergeCell ref="EI72:EJ72"/>
    <mergeCell ref="EK72:EL72"/>
    <mergeCell ref="EI70:EJ70"/>
    <mergeCell ref="EK70:EL70"/>
    <mergeCell ref="EM70:EO70"/>
    <mergeCell ref="CT71:DF71"/>
    <mergeCell ref="DG71:DH71"/>
    <mergeCell ref="DI71:DK71"/>
    <mergeCell ref="DL71:DN71"/>
    <mergeCell ref="DS71:DT71"/>
    <mergeCell ref="DV71:EH71"/>
    <mergeCell ref="EI71:EJ71"/>
    <mergeCell ref="EK69:EL69"/>
    <mergeCell ref="EM69:EO69"/>
    <mergeCell ref="CT68:DF68"/>
    <mergeCell ref="DG68:DH68"/>
    <mergeCell ref="DI68:DK68"/>
    <mergeCell ref="DL68:DN68"/>
    <mergeCell ref="EM65:EO65"/>
    <mergeCell ref="DV61:EH61"/>
    <mergeCell ref="EI74:EJ74"/>
    <mergeCell ref="EK74:EL74"/>
    <mergeCell ref="EM74:EO74"/>
    <mergeCell ref="AM75:AO75"/>
    <mergeCell ref="CS75:ER75"/>
    <mergeCell ref="AM76:AO77"/>
    <mergeCell ref="CT74:DF74"/>
    <mergeCell ref="DG74:DH74"/>
    <mergeCell ref="DI74:DK74"/>
    <mergeCell ref="DL74:DN74"/>
    <mergeCell ref="DS74:DT74"/>
    <mergeCell ref="DV74:EH74"/>
    <mergeCell ref="EM72:EO72"/>
    <mergeCell ref="CT73:DF73"/>
    <mergeCell ref="DG73:DH73"/>
    <mergeCell ref="DI73:DK73"/>
    <mergeCell ref="DL73:DN73"/>
    <mergeCell ref="DS73:DT73"/>
    <mergeCell ref="DV73:EH73"/>
    <mergeCell ref="EI73:EJ73"/>
    <mergeCell ref="EK73:EL73"/>
    <mergeCell ref="G9:L9"/>
    <mergeCell ref="Y2:AH2"/>
    <mergeCell ref="Y3:AH8"/>
    <mergeCell ref="AJ2:AO8"/>
    <mergeCell ref="AB11:AD11"/>
    <mergeCell ref="AB19:AD20"/>
    <mergeCell ref="Z14:AD14"/>
    <mergeCell ref="AF17:AG17"/>
    <mergeCell ref="AF18:AG18"/>
    <mergeCell ref="AH15:AJ15"/>
    <mergeCell ref="AH19:AJ19"/>
    <mergeCell ref="D8:I8"/>
    <mergeCell ref="D6:L6"/>
    <mergeCell ref="D7:L7"/>
    <mergeCell ref="P2:R2"/>
    <mergeCell ref="P3:R3"/>
    <mergeCell ref="P4:R4"/>
    <mergeCell ref="B2:L4"/>
    <mergeCell ref="AF12:AH12"/>
    <mergeCell ref="AF16:AH16"/>
    <mergeCell ref="AF20:AH20"/>
    <mergeCell ref="AK13:AM13"/>
    <mergeCell ref="AK17:AM17"/>
    <mergeCell ref="AN13:AO13"/>
    <mergeCell ref="AN17:AO17"/>
    <mergeCell ref="AH14:AJ14"/>
    <mergeCell ref="B19:C20"/>
    <mergeCell ref="E19:F20"/>
    <mergeCell ref="G19:H19"/>
    <mergeCell ref="I19:J20"/>
    <mergeCell ref="K19:L19"/>
    <mergeCell ref="M19:N20"/>
    <mergeCell ref="AB12:AD12"/>
    <mergeCell ref="Z22:AA23"/>
    <mergeCell ref="Z19:AA20"/>
    <mergeCell ref="AF11:AK11"/>
    <mergeCell ref="N2:O2"/>
    <mergeCell ref="N3:O3"/>
    <mergeCell ref="N4:O4"/>
    <mergeCell ref="S2:T2"/>
    <mergeCell ref="S3:T3"/>
    <mergeCell ref="S4:T4"/>
    <mergeCell ref="N6:O6"/>
    <mergeCell ref="N7:O7"/>
    <mergeCell ref="N8:O8"/>
    <mergeCell ref="J8:K8"/>
    <mergeCell ref="B8:C8"/>
    <mergeCell ref="B6:C6"/>
    <mergeCell ref="B7:C7"/>
    <mergeCell ref="Z21:AA21"/>
    <mergeCell ref="Z15:AA15"/>
    <mergeCell ref="Z16:AA16"/>
    <mergeCell ref="Z17:AA17"/>
    <mergeCell ref="Z18:AB18"/>
    <mergeCell ref="AC18:AD18"/>
    <mergeCell ref="AF13:AG13"/>
    <mergeCell ref="AF14:AG14"/>
    <mergeCell ref="P6:W6"/>
    <mergeCell ref="P7:W7"/>
    <mergeCell ref="P8:W8"/>
    <mergeCell ref="U2:W2"/>
    <mergeCell ref="U3:W3"/>
    <mergeCell ref="U4:W4"/>
    <mergeCell ref="B9:F9"/>
    <mergeCell ref="C48:E48"/>
    <mergeCell ref="AL49:AO49"/>
    <mergeCell ref="AB15:AD15"/>
    <mergeCell ref="AB16:AD16"/>
    <mergeCell ref="AB17:AD17"/>
    <mergeCell ref="U36:V36"/>
    <mergeCell ref="AA40:AB40"/>
    <mergeCell ref="AA39:AB39"/>
    <mergeCell ref="AA38:AB38"/>
    <mergeCell ref="AK21:AM21"/>
    <mergeCell ref="AN21:AO21"/>
    <mergeCell ref="X27:AA28"/>
    <mergeCell ref="X29:AA30"/>
    <mergeCell ref="X31:AA32"/>
    <mergeCell ref="X33:AA34"/>
    <mergeCell ref="AA25:AE25"/>
    <mergeCell ref="AB27:AC28"/>
    <mergeCell ref="AB29:AC30"/>
    <mergeCell ref="AB31:AC32"/>
    <mergeCell ref="AB33:AC34"/>
    <mergeCell ref="X43:AD43"/>
    <mergeCell ref="T43:W43"/>
    <mergeCell ref="AE43:AJ43"/>
    <mergeCell ref="V31:W32"/>
    <mergeCell ref="V33:W34"/>
    <mergeCell ref="V45:W45"/>
    <mergeCell ref="V44:W44"/>
    <mergeCell ref="V46:W46"/>
    <mergeCell ref="V47:W47"/>
    <mergeCell ref="V48:W48"/>
    <mergeCell ref="V49:W49"/>
    <mergeCell ref="B36:C37"/>
    <mergeCell ref="AI46:AJ46"/>
    <mergeCell ref="AI47:AJ47"/>
    <mergeCell ref="AI48:AJ48"/>
    <mergeCell ref="AI49:AJ49"/>
    <mergeCell ref="AI51:AJ51"/>
    <mergeCell ref="AI52:AJ52"/>
    <mergeCell ref="AL43:AO43"/>
    <mergeCell ref="AL44:AO44"/>
    <mergeCell ref="Z45:AA45"/>
    <mergeCell ref="Z46:AA46"/>
    <mergeCell ref="Z47:AA47"/>
    <mergeCell ref="Z48:AA48"/>
    <mergeCell ref="X44:Y44"/>
    <mergeCell ref="Z44:AA44"/>
    <mergeCell ref="X49:Y49"/>
    <mergeCell ref="X51:Y51"/>
    <mergeCell ref="X52:Y52"/>
    <mergeCell ref="Z52:AA52"/>
    <mergeCell ref="Z51:AA51"/>
    <mergeCell ref="Z49:AA49"/>
    <mergeCell ref="AE44:AF44"/>
    <mergeCell ref="AE45:AF45"/>
    <mergeCell ref="AE46:AF46"/>
    <mergeCell ref="AE47:AF47"/>
    <mergeCell ref="AE48:AF48"/>
    <mergeCell ref="AE49:AF49"/>
    <mergeCell ref="AE51:AF51"/>
    <mergeCell ref="AE52:AF52"/>
    <mergeCell ref="X46:Y46"/>
    <mergeCell ref="X47:Y47"/>
    <mergeCell ref="X48:Y48"/>
    <mergeCell ref="L51:L52"/>
    <mergeCell ref="L45:L49"/>
    <mergeCell ref="AL51:AM52"/>
    <mergeCell ref="AN51:AO52"/>
    <mergeCell ref="AN50:AO50"/>
    <mergeCell ref="AL50:AM50"/>
    <mergeCell ref="M44:Q44"/>
    <mergeCell ref="G45:J45"/>
    <mergeCell ref="G46:J46"/>
    <mergeCell ref="G47:J47"/>
    <mergeCell ref="G48:J48"/>
    <mergeCell ref="G49:J49"/>
    <mergeCell ref="G50:J50"/>
    <mergeCell ref="G51:J51"/>
    <mergeCell ref="G52:J52"/>
    <mergeCell ref="M45:Q45"/>
    <mergeCell ref="M46:Q46"/>
    <mergeCell ref="M47:Q47"/>
    <mergeCell ref="M48:Q48"/>
    <mergeCell ref="M51:Q51"/>
    <mergeCell ref="M52:Q52"/>
    <mergeCell ref="M49:Q49"/>
    <mergeCell ref="AG44:AH44"/>
    <mergeCell ref="AG45:AH45"/>
    <mergeCell ref="AG46:AH46"/>
    <mergeCell ref="AG47:AH47"/>
    <mergeCell ref="AG48:AH48"/>
    <mergeCell ref="AG49:AH49"/>
    <mergeCell ref="AG51:AH51"/>
    <mergeCell ref="AG52:AH52"/>
    <mergeCell ref="AI44:AJ44"/>
    <mergeCell ref="AI45:AJ45"/>
  </mergeCells>
  <phoneticPr fontId="27" type="noConversion"/>
  <conditionalFormatting sqref="M51:M52 M45:M49 R45:R49 R51:R52">
    <cfRule type="notContainsText" dxfId="50" priority="133" operator="notContains" text="Aucune">
      <formula>ISERROR(SEARCH("Aucune",M45))</formula>
    </cfRule>
  </conditionalFormatting>
  <conditionalFormatting sqref="B11:C12">
    <cfRule type="expression" dxfId="49" priority="132">
      <formula>+ISBLANK(B11)</formula>
    </cfRule>
  </conditionalFormatting>
  <conditionalFormatting sqref="B13:C14 N7">
    <cfRule type="expression" dxfId="48" priority="131">
      <formula>ISBLANK(B7)</formula>
    </cfRule>
  </conditionalFormatting>
  <conditionalFormatting sqref="B15:C16">
    <cfRule type="expression" dxfId="47" priority="130">
      <formula>ISBLANK(B15)</formula>
    </cfRule>
  </conditionalFormatting>
  <conditionalFormatting sqref="B17:C18">
    <cfRule type="expression" dxfId="46" priority="129">
      <formula>ISBLANK(B17)</formula>
    </cfRule>
  </conditionalFormatting>
  <conditionalFormatting sqref="B19:C20">
    <cfRule type="expression" dxfId="45" priority="128">
      <formula>ISBLANK(B19)</formula>
    </cfRule>
  </conditionalFormatting>
  <conditionalFormatting sqref="B21:C22">
    <cfRule type="expression" dxfId="44" priority="127">
      <formula>ISBLANK(B21)</formula>
    </cfRule>
  </conditionalFormatting>
  <conditionalFormatting sqref="D11">
    <cfRule type="expression" dxfId="43" priority="126">
      <formula>ISBLANK(D11)</formula>
    </cfRule>
  </conditionalFormatting>
  <conditionalFormatting sqref="D26:K27">
    <cfRule type="notContainsText" dxfId="42" priority="123" operator="notContains" text="Aucune">
      <formula>ISERROR(SEARCH("Aucune",D26))</formula>
    </cfRule>
  </conditionalFormatting>
  <conditionalFormatting sqref="D28:K29">
    <cfRule type="notContainsText" dxfId="41" priority="122" operator="notContains" text="Aucun">
      <formula>ISERROR(SEARCH("Aucun",D28))</formula>
    </cfRule>
  </conditionalFormatting>
  <conditionalFormatting sqref="B2">
    <cfRule type="cellIs" dxfId="40" priority="120" operator="equal">
      <formula>#REF!</formula>
    </cfRule>
  </conditionalFormatting>
  <conditionalFormatting sqref="BE9">
    <cfRule type="cellIs" dxfId="39" priority="106" operator="greaterThan">
      <formula>$AU$5</formula>
    </cfRule>
  </conditionalFormatting>
  <conditionalFormatting sqref="CG9">
    <cfRule type="cellIs" dxfId="38" priority="105" operator="greaterThan">
      <formula>$AU$7</formula>
    </cfRule>
  </conditionalFormatting>
  <conditionalFormatting sqref="DG3">
    <cfRule type="cellIs" dxfId="37" priority="101" operator="greaterThan">
      <formula>$AZ$5</formula>
    </cfRule>
  </conditionalFormatting>
  <conditionalFormatting sqref="EI3">
    <cfRule type="cellIs" dxfId="36" priority="100" operator="greaterThan">
      <formula>$AZ$7</formula>
    </cfRule>
  </conditionalFormatting>
  <conditionalFormatting sqref="DG41">
    <cfRule type="cellIs" dxfId="35" priority="98" operator="greaterThan">
      <formula>$BE$5</formula>
    </cfRule>
  </conditionalFormatting>
  <conditionalFormatting sqref="EI41">
    <cfRule type="cellIs" dxfId="34" priority="97" operator="greaterThan">
      <formula>$BE$7</formula>
    </cfRule>
  </conditionalFormatting>
  <conditionalFormatting sqref="FI3">
    <cfRule type="cellIs" dxfId="33" priority="95" operator="greaterThan">
      <formula>$BJ$5</formula>
    </cfRule>
  </conditionalFormatting>
  <conditionalFormatting sqref="GK3">
    <cfRule type="cellIs" dxfId="32" priority="94" operator="greaterThan">
      <formula>$BJ$7</formula>
    </cfRule>
  </conditionalFormatting>
  <conditionalFormatting sqref="FI37">
    <cfRule type="cellIs" dxfId="31" priority="92" operator="greaterThan">
      <formula>$BO$5</formula>
    </cfRule>
  </conditionalFormatting>
  <conditionalFormatting sqref="GK37">
    <cfRule type="cellIs" dxfId="30" priority="91" operator="greaterThan">
      <formula>$BO$7</formula>
    </cfRule>
  </conditionalFormatting>
  <conditionalFormatting sqref="HK3">
    <cfRule type="cellIs" dxfId="29" priority="89" operator="greaterThan">
      <formula>$BT$5</formula>
    </cfRule>
  </conditionalFormatting>
  <conditionalFormatting sqref="IM3">
    <cfRule type="cellIs" dxfId="28" priority="88" operator="greaterThan">
      <formula>$BT$7</formula>
    </cfRule>
  </conditionalFormatting>
  <conditionalFormatting sqref="HK35">
    <cfRule type="cellIs" dxfId="27" priority="86" operator="greaterThan">
      <formula>$BY$5</formula>
    </cfRule>
  </conditionalFormatting>
  <conditionalFormatting sqref="IM35">
    <cfRule type="cellIs" dxfId="26" priority="85" operator="greaterThan">
      <formula>$BY$7</formula>
    </cfRule>
  </conditionalFormatting>
  <conditionalFormatting sqref="JM3">
    <cfRule type="cellIs" dxfId="25" priority="83" operator="greaterThan">
      <formula>$AU$5</formula>
    </cfRule>
  </conditionalFormatting>
  <conditionalFormatting sqref="KO3">
    <cfRule type="cellIs" dxfId="24" priority="82" operator="greaterThan">
      <formula>$CD$7</formula>
    </cfRule>
  </conditionalFormatting>
  <conditionalFormatting sqref="JM35">
    <cfRule type="cellIs" dxfId="23" priority="80" operator="greaterThan">
      <formula>$AU$5</formula>
    </cfRule>
  </conditionalFormatting>
  <conditionalFormatting sqref="KO35">
    <cfRule type="cellIs" dxfId="22" priority="79" operator="greaterThan">
      <formula>$CI$7</formula>
    </cfRule>
  </conditionalFormatting>
  <conditionalFormatting sqref="D30:K31">
    <cfRule type="notContainsText" dxfId="21" priority="77" operator="notContains" text="Aucun">
      <formula>ISERROR(SEARCH("Aucun",D30))</formula>
    </cfRule>
  </conditionalFormatting>
  <conditionalFormatting sqref="D32:K33">
    <cfRule type="notContainsText" dxfId="20" priority="76" operator="notContains" text="Aucun">
      <formula>ISERROR(SEARCH("Aucun",D32))</formula>
    </cfRule>
  </conditionalFormatting>
  <conditionalFormatting sqref="D34:K35">
    <cfRule type="notContainsText" dxfId="19" priority="75" operator="notContains" text="Aucun">
      <formula>ISERROR(SEARCH("Aucun",D34))</formula>
    </cfRule>
  </conditionalFormatting>
  <conditionalFormatting sqref="AK14">
    <cfRule type="expression" dxfId="18" priority="66">
      <formula>ISBLANK(AK14)</formula>
    </cfRule>
  </conditionalFormatting>
  <conditionalFormatting sqref="AN14">
    <cfRule type="expression" dxfId="17" priority="46">
      <formula>ISBLANK($AN$14)</formula>
    </cfRule>
  </conditionalFormatting>
  <conditionalFormatting sqref="AN18">
    <cfRule type="expression" dxfId="16" priority="41">
      <formula>ISBLANK($AN$14)</formula>
    </cfRule>
  </conditionalFormatting>
  <conditionalFormatting sqref="AN22">
    <cfRule type="expression" dxfId="15" priority="40">
      <formula>ISBLANK($AN$14)</formula>
    </cfRule>
  </conditionalFormatting>
  <conditionalFormatting sqref="AF16:AO16 AF19:AG19 AK19:AO19 AF17:AF18 AH17:AO18">
    <cfRule type="expression" dxfId="14" priority="38">
      <formula>$AO$11&lt;15</formula>
    </cfRule>
  </conditionalFormatting>
  <conditionalFormatting sqref="AF20:AO20 AF23:AG23 AK23:AO23 AF21:AF22 AH21:AO22">
    <cfRule type="expression" dxfId="13" priority="37">
      <formula>$AO$11&lt;33</formula>
    </cfRule>
  </conditionalFormatting>
  <conditionalFormatting sqref="BQ9 DS3 DS41 FU3 FU37 HW3 HW35 JY3 JY35">
    <cfRule type="cellIs" dxfId="12" priority="136" operator="between">
      <formula>$Q$13</formula>
      <formula>$U$13</formula>
    </cfRule>
  </conditionalFormatting>
  <conditionalFormatting sqref="U2">
    <cfRule type="expression" dxfId="11" priority="21">
      <formula>ISBLANK(U2)</formula>
    </cfRule>
  </conditionalFormatting>
  <conditionalFormatting sqref="U3">
    <cfRule type="expression" dxfId="10" priority="20">
      <formula>ISBLANK(U3)</formula>
    </cfRule>
  </conditionalFormatting>
  <conditionalFormatting sqref="U4">
    <cfRule type="expression" dxfId="9" priority="19">
      <formula>ISBLANK(U4)</formula>
    </cfRule>
  </conditionalFormatting>
  <conditionalFormatting sqref="P2:P4">
    <cfRule type="expression" dxfId="8" priority="16">
      <formula>ISBLANK(P2)</formula>
    </cfRule>
  </conditionalFormatting>
  <conditionalFormatting sqref="P6">
    <cfRule type="expression" dxfId="7" priority="13">
      <formula>ISBLANK(P6)</formula>
    </cfRule>
  </conditionalFormatting>
  <conditionalFormatting sqref="P7">
    <cfRule type="expression" dxfId="6" priority="12">
      <formula>ISBLANK(P7)</formula>
    </cfRule>
  </conditionalFormatting>
  <conditionalFormatting sqref="P8">
    <cfRule type="expression" dxfId="5" priority="11">
      <formula>ISBLANK(P8)</formula>
    </cfRule>
  </conditionalFormatting>
  <conditionalFormatting sqref="Y3">
    <cfRule type="expression" dxfId="4" priority="10">
      <formula>ISBLANK(Y3)</formula>
    </cfRule>
  </conditionalFormatting>
  <conditionalFormatting sqref="AB19">
    <cfRule type="expression" dxfId="3" priority="9">
      <formula>ISBLANK(AB19)</formula>
    </cfRule>
  </conditionalFormatting>
  <conditionalFormatting sqref="AH15">
    <cfRule type="dataBar" priority="137">
      <dataBar>
        <cfvo type="min"/>
        <cfvo type="max"/>
        <color theme="2" tint="-0.499984740745262"/>
      </dataBar>
      <extLst>
        <ext xmlns:x14="http://schemas.microsoft.com/office/spreadsheetml/2009/9/main" uri="{B025F937-C7B1-47D3-B67F-A62EFF666E3E}">
          <x14:id>{8E4F53D4-067F-4E60-A980-931B4516233F}</x14:id>
        </ext>
      </extLst>
    </cfRule>
  </conditionalFormatting>
  <conditionalFormatting sqref="AH23">
    <cfRule type="dataBar" priority="139">
      <dataBar>
        <cfvo type="min"/>
        <cfvo type="max"/>
        <color theme="2" tint="-0.499984740745262"/>
      </dataBar>
      <extLst>
        <ext xmlns:x14="http://schemas.microsoft.com/office/spreadsheetml/2009/9/main" uri="{B025F937-C7B1-47D3-B67F-A62EFF666E3E}">
          <x14:id>{DEAEB8CF-CA16-4A08-9560-3BD1DD997079}</x14:id>
        </ext>
      </extLst>
    </cfRule>
  </conditionalFormatting>
  <conditionalFormatting sqref="AH19">
    <cfRule type="dataBar" priority="7">
      <dataBar>
        <cfvo type="min"/>
        <cfvo type="max"/>
        <color theme="2" tint="-0.499984740745262"/>
      </dataBar>
      <extLst>
        <ext xmlns:x14="http://schemas.microsoft.com/office/spreadsheetml/2009/9/main" uri="{B025F937-C7B1-47D3-B67F-A62EFF666E3E}">
          <x14:id>{BDE759EE-F095-4A38-A119-90E9CD1C73BE}</x14:id>
        </ext>
      </extLst>
    </cfRule>
  </conditionalFormatting>
  <conditionalFormatting sqref="AI72:AI76">
    <cfRule type="cellIs" dxfId="2" priority="1" operator="equal">
      <formula>$F$82</formula>
    </cfRule>
  </conditionalFormatting>
  <dataValidations count="2">
    <dataValidation allowBlank="1" showInputMessage="1" showErrorMessage="1" error="CHOISIR DANS LE MENU DEROULANT" sqref="N8" xr:uid="{4767CF53-6FBA-471E-9C01-26368CA19F2B}"/>
    <dataValidation type="list" allowBlank="1" showInputMessage="1" showErrorMessage="1" sqref="L8" xr:uid="{DF8E86FF-8499-4BD8-8813-EC957B5A512E}">
      <formula1>"M,F"</formula1>
    </dataValidation>
  </dataValidations>
  <printOptions horizontalCentered="1"/>
  <pageMargins left="0" right="0" top="0" bottom="0" header="0.31496062992125984" footer="0.31496062992125984"/>
  <pageSetup paperSize="9" scale="15" fitToWidth="2" orientation="portrait" r:id="rId1"/>
  <colBreaks count="1" manualBreakCount="1">
    <brk id="41" max="1048575" man="1"/>
  </colBreaks>
  <ignoredErrors>
    <ignoredError sqref="S45:S49 S51:S52 AB22 AK18" unlockedFormula="1"/>
  </ignoredErrors>
  <drawing r:id="rId2"/>
  <legacyDrawing r:id="rId3"/>
  <extLst>
    <ext xmlns:x14="http://schemas.microsoft.com/office/spreadsheetml/2009/9/main" uri="{78C0D931-6437-407d-A8EE-F0AAD7539E65}">
      <x14:conditionalFormattings>
        <x14:conditionalFormatting xmlns:xm="http://schemas.microsoft.com/office/excel/2006/main">
          <x14:cfRule type="dataBar" id="{8E4F53D4-067F-4E60-A980-931B4516233F}">
            <x14:dataBar minLength="0" maxLength="100" border="1" negativeBarBorderColorSameAsPositive="0">
              <x14:cfvo type="autoMin"/>
              <x14:cfvo type="autoMax"/>
              <x14:borderColor theme="2" tint="-0.499984740745262"/>
              <x14:negativeFillColor rgb="FFFF0000"/>
              <x14:negativeBorderColor rgb="FFFF0000"/>
              <x14:axisColor rgb="FF000000"/>
            </x14:dataBar>
          </x14:cfRule>
          <xm:sqref>AH15</xm:sqref>
        </x14:conditionalFormatting>
        <x14:conditionalFormatting xmlns:xm="http://schemas.microsoft.com/office/excel/2006/main">
          <x14:cfRule type="dataBar" id="{DEAEB8CF-CA16-4A08-9560-3BD1DD997079}">
            <x14:dataBar minLength="0" maxLength="100" border="1" negativeBarBorderColorSameAsPositive="0">
              <x14:cfvo type="autoMin"/>
              <x14:cfvo type="autoMax"/>
              <x14:borderColor theme="2" tint="-0.499984740745262"/>
              <x14:negativeFillColor rgb="FFFF0000"/>
              <x14:negativeBorderColor rgb="FFFF0000"/>
              <x14:axisColor rgb="FF000000"/>
            </x14:dataBar>
          </x14:cfRule>
          <xm:sqref>AH23</xm:sqref>
        </x14:conditionalFormatting>
        <x14:conditionalFormatting xmlns:xm="http://schemas.microsoft.com/office/excel/2006/main">
          <x14:cfRule type="dataBar" id="{BDE759EE-F095-4A38-A119-90E9CD1C73BE}">
            <x14:dataBar minLength="0" maxLength="100" border="1" negativeBarBorderColorSameAsPositive="0">
              <x14:cfvo type="autoMin"/>
              <x14:cfvo type="autoMax"/>
              <x14:borderColor theme="2" tint="-0.499984740745262"/>
              <x14:negativeFillColor rgb="FFFF0000"/>
              <x14:negativeBorderColor rgb="FFFF0000"/>
              <x14:axisColor rgb="FF000000"/>
            </x14:dataBar>
          </x14:cfRule>
          <xm:sqref>AH19</xm:sqref>
        </x14:conditionalFormatting>
        <x14:conditionalFormatting xmlns:xm="http://schemas.microsoft.com/office/excel/2006/main">
          <x14:cfRule type="containsText" priority="103" operator="containsText" id="{3EA2421A-0C85-4D19-B120-1C0F1C954ADA}">
            <xm:f>NOT(ISERROR(SEARCH($CB$6,BQ4)))</xm:f>
            <xm:f>$CB$6</xm:f>
            <x14:dxf>
              <font>
                <color theme="0" tint="-0.34998626667073579"/>
              </font>
              <fill>
                <patternFill>
                  <bgColor theme="0" tint="-0.499984740745262"/>
                </patternFill>
              </fill>
            </x14:dxf>
          </x14:cfRule>
          <xm:sqref>BQ10:BQ49 DS4:DT39 FU4:FV35 HW4:HX33 JY4:JZ23</xm:sqref>
        </x14:conditionalFormatting>
        <x14:conditionalFormatting xmlns:xm="http://schemas.microsoft.com/office/excel/2006/main">
          <x14:cfRule type="containsText" priority="102" operator="containsText" id="{27513FBF-F8D4-445B-8202-4FD2673F7A8A}">
            <xm:f>NOT(ISERROR(SEARCH($CB$6,DS36)))</xm:f>
            <xm:f>$CB$6</xm:f>
            <x14:dxf>
              <font>
                <color theme="0" tint="-0.34998626667073579"/>
              </font>
              <fill>
                <patternFill>
                  <bgColor theme="0" tint="-0.499984740745262"/>
                </patternFill>
              </fill>
            </x14:dxf>
          </x14:cfRule>
          <xm:sqref>DS42:DT74 FU38:FV68 HW36:HX60 JY36:JZ52</xm:sqref>
        </x14:conditionalFormatting>
      </x14:conditionalFormattings>
    </ext>
    <ext xmlns:x14="http://schemas.microsoft.com/office/spreadsheetml/2009/9/main" uri="{CCE6A557-97BC-4b89-ADB6-D9C93CAAB3DF}">
      <x14:dataValidations xmlns:xm="http://schemas.microsoft.com/office/excel/2006/main" count="16">
        <x14:dataValidation type="list" allowBlank="1" showInputMessage="1" showErrorMessage="1" xr:uid="{72E003FA-D753-47E5-8F25-3C1A18E1639D}">
          <x14:formula1>
            <xm:f>'Armures-Armes'!$B$42:$B$52</xm:f>
          </x14:formula1>
          <xm:sqref>N26:O29 N32:O37</xm:sqref>
        </x14:dataValidation>
        <x14:dataValidation type="list" allowBlank="1" showInputMessage="1" showErrorMessage="1" error="CHOISIR DANS LE MENU DEROULANT" xr:uid="{72BF0392-8908-4972-8B22-66E7AE66E934}">
          <x14:formula1>
            <xm:f>'Armures-Armes'!$B$38:$B$39</xm:f>
          </x14:formula1>
          <xm:sqref>D34:K35</xm:sqref>
        </x14:dataValidation>
        <x14:dataValidation type="list" allowBlank="1" showInputMessage="1" showErrorMessage="1" error="CHOISIR DANS LE MENU DEROULANT" xr:uid="{245141BA-62D8-4432-9670-946FAC7439A7}">
          <x14:formula1>
            <xm:f>'Armures-Armes'!$B$34:$B$35</xm:f>
          </x14:formula1>
          <xm:sqref>D32:K33</xm:sqref>
        </x14:dataValidation>
        <x14:dataValidation type="list" allowBlank="1" showInputMessage="1" showErrorMessage="1" xr:uid="{4382CC10-499F-41E0-8556-F0F973C8EC54}">
          <x14:formula1>
            <xm:f>Sorts!$B$2:$B$3</xm:f>
          </x14:formula1>
          <xm:sqref>JM36:JM52 KO36:KO52 IM36:IM60 HK36:HK60 GK38:GK68 FI38:FI68 EI42:EI74 DG42:DG74 KO4:KO23 JM4:JM23 IM4:IM33 HK4:HK33 GK4:GK35 FI4:FI35 EI4:EI39 DG4:DG39 BE10:BE49 CG10:CG49</xm:sqref>
        </x14:dataValidation>
        <x14:dataValidation type="list" allowBlank="1" showInputMessage="1" showErrorMessage="1" xr:uid="{5D19B951-B87D-4DA0-BC6E-E1DED74DBFC7}">
          <x14:formula1>
            <xm:f>Sorts!$B$52:$B$54</xm:f>
          </x14:formula1>
          <xm:sqref>JY36:JY52 HW36:HW60 FU38:FU68 DS42:DS74 JY4:JY23 HW4:HW33 FU4:FU35 DS4:DS39 BQ10:BQ49</xm:sqref>
        </x14:dataValidation>
        <x14:dataValidation type="list" allowBlank="1" showInputMessage="1" showErrorMessage="1" promptTitle="RACE" xr:uid="{45F97E60-D0B9-4100-A527-305F71CEB111}">
          <x14:formula1>
            <xm:f>Race!$B$3:$B$17</xm:f>
          </x14:formula1>
          <xm:sqref>D6:L6</xm:sqref>
        </x14:dataValidation>
        <x14:dataValidation type="list" allowBlank="1" showInputMessage="1" showErrorMessage="1" error="CHOISIR DANS LE MENU DEROULANT" xr:uid="{B74AAA15-E8F9-4136-B61B-383B0B3CA14A}">
          <x14:formula1>
            <xm:f>Divers!$D$4:$D$12</xm:f>
          </x14:formula1>
          <xm:sqref>AM76:AO77</xm:sqref>
        </x14:dataValidation>
        <x14:dataValidation type="list" allowBlank="1" showInputMessage="1" showErrorMessage="1" error="CHOISIR DANS LE MENU DEROULANT" xr:uid="{5DD6E836-B09F-45E8-B466-E604E5360F9A}">
          <x14:formula1>
            <xm:f>'Armures-Armes'!$B$24:$B$31</xm:f>
          </x14:formula1>
          <xm:sqref>D30:K31</xm:sqref>
        </x14:dataValidation>
        <x14:dataValidation type="list" allowBlank="1" showInputMessage="1" showErrorMessage="1" error="CHOISIR DANS LE MENU DEROULANT" xr:uid="{37CF8D1D-A893-4199-B439-1B9200C1A9E6}">
          <x14:formula1>
            <xm:f>'Armures-Armes'!$B$18:$B$21</xm:f>
          </x14:formula1>
          <xm:sqref>D28:K29</xm:sqref>
        </x14:dataValidation>
        <x14:dataValidation type="list" allowBlank="1" showInputMessage="1" showErrorMessage="1" error="CHOISIR DANS LE MENU DEROULANT" xr:uid="{289090B9-CA64-408A-923F-2FA506609C05}">
          <x14:formula1>
            <xm:f>'Armures-Armes'!$B$4:$B$14</xm:f>
          </x14:formula1>
          <xm:sqref>D26:K27</xm:sqref>
        </x14:dataValidation>
        <x14:dataValidation type="list" allowBlank="1" showInputMessage="1" showErrorMessage="1" xr:uid="{A1FDBC9F-1F33-4D91-88C6-7EC2D88B223D}">
          <x14:formula1>
            <xm:f>'Armures-Armes'!$C$42:$C$52</xm:f>
          </x14:formula1>
          <xm:sqref>U45:U49 AC51:AC52 AC45:AC49 U51:U52</xm:sqref>
        </x14:dataValidation>
        <x14:dataValidation type="list" allowBlank="1" showInputMessage="1" showErrorMessage="1" error="CHOISIR DANS LE MENU DEROULANT" xr:uid="{909CB15B-114F-4467-A230-E02FBFEB8D6B}">
          <x14:formula1>
            <xm:f>Divers!$B$4:$B$23</xm:f>
          </x14:formula1>
          <xm:sqref>D8</xm:sqref>
        </x14:dataValidation>
        <x14:dataValidation type="list" allowBlank="1" showInputMessage="1" showErrorMessage="1" xr:uid="{8FB11538-132F-4CE5-947E-65272C610226}">
          <x14:formula1>
            <xm:f>'Armures-Armes'!$B$101:$B$186</xm:f>
          </x14:formula1>
          <xm:sqref>G45:J52 AL44:AO44</xm:sqref>
        </x14:dataValidation>
        <x14:dataValidation type="list" allowBlank="1" showInputMessage="1" showErrorMessage="1" error="CHOISIR DANS LE MENU DEROULANT" xr:uid="{4D08F224-96C3-4CFC-BAC2-8F2DEC072734}">
          <x14:formula1>
            <xm:f>'Armures-Armes'!$B$162:$B$186</xm:f>
          </x14:formula1>
          <xm:sqref>M51:Q52</xm:sqref>
        </x14:dataValidation>
        <x14:dataValidation type="list" allowBlank="1" showInputMessage="1" showErrorMessage="1" xr:uid="{8A0915B4-5891-48D0-A4AD-8FDE12AF8D9F}">
          <x14:formula1>
            <xm:f>'Armures-Armes'!$B$102:$B$160</xm:f>
          </x14:formula1>
          <xm:sqref>M46:Q49</xm:sqref>
        </x14:dataValidation>
        <x14:dataValidation type="list" allowBlank="1" showInputMessage="1" showErrorMessage="1" xr:uid="{99DA6831-F195-4A66-9C48-2424BB0850A4}">
          <x14:formula1>
            <xm:f>Race!$S$63:$S$90</xm:f>
          </x14:formula1>
          <xm:sqref>D7:L7</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8BB59C-1387-42BD-8434-B56AD0C771BA}">
  <sheetPr>
    <tabColor rgb="FFFFC000"/>
  </sheetPr>
  <dimension ref="A2:AM139"/>
  <sheetViews>
    <sheetView zoomScale="85" zoomScaleNormal="85" workbookViewId="0">
      <selection activeCell="S92" sqref="S92"/>
    </sheetView>
  </sheetViews>
  <sheetFormatPr baseColWidth="10" defaultColWidth="10.7109375" defaultRowHeight="15" x14ac:dyDescent="0.25"/>
  <cols>
    <col min="1" max="1" width="7" style="84" customWidth="1"/>
    <col min="2" max="2" width="30.5703125" style="144" customWidth="1"/>
    <col min="3" max="32" width="10.7109375" style="87" customWidth="1"/>
    <col min="33" max="35" width="10.7109375" style="84" customWidth="1"/>
    <col min="36" max="16384" width="10.7109375" style="84"/>
  </cols>
  <sheetData>
    <row r="2" spans="1:39" s="140" customFormat="1" ht="45" x14ac:dyDescent="0.25">
      <c r="B2" s="141" t="s">
        <v>29</v>
      </c>
      <c r="C2" s="142" t="s">
        <v>248</v>
      </c>
      <c r="D2" s="142" t="s">
        <v>61</v>
      </c>
      <c r="E2" s="142" t="s">
        <v>62</v>
      </c>
      <c r="F2" s="142" t="s">
        <v>94</v>
      </c>
      <c r="G2" s="142" t="s">
        <v>86</v>
      </c>
      <c r="H2" s="142" t="s">
        <v>1449</v>
      </c>
      <c r="I2" s="142" t="s">
        <v>1450</v>
      </c>
      <c r="J2" s="142" t="s">
        <v>102</v>
      </c>
      <c r="K2" s="142" t="s">
        <v>117</v>
      </c>
      <c r="L2" s="142" t="s">
        <v>126</v>
      </c>
      <c r="M2" s="142" t="s">
        <v>1452</v>
      </c>
      <c r="N2" s="142" t="s">
        <v>136</v>
      </c>
      <c r="O2" s="142" t="s">
        <v>361</v>
      </c>
      <c r="P2" s="142" t="s">
        <v>1451</v>
      </c>
      <c r="Q2" s="142" t="s">
        <v>1453</v>
      </c>
      <c r="R2" s="142" t="s">
        <v>1454</v>
      </c>
      <c r="S2" s="142" t="s">
        <v>1455</v>
      </c>
      <c r="T2" s="142" t="s">
        <v>1472</v>
      </c>
      <c r="U2" s="142" t="s">
        <v>1456</v>
      </c>
      <c r="V2" s="142" t="s">
        <v>1457</v>
      </c>
      <c r="W2" s="142" t="s">
        <v>1468</v>
      </c>
      <c r="X2" s="142" t="s">
        <v>1469</v>
      </c>
      <c r="Y2" s="142" t="s">
        <v>1470</v>
      </c>
      <c r="Z2" s="142" t="s">
        <v>1471</v>
      </c>
      <c r="AA2" s="142" t="s">
        <v>1458</v>
      </c>
      <c r="AB2" s="142" t="s">
        <v>1473</v>
      </c>
      <c r="AC2" s="142" t="s">
        <v>1467</v>
      </c>
      <c r="AD2" s="142" t="s">
        <v>1459</v>
      </c>
      <c r="AE2" s="142" t="s">
        <v>1460</v>
      </c>
      <c r="AF2" s="142" t="s">
        <v>1461</v>
      </c>
      <c r="AG2" s="142" t="s">
        <v>1462</v>
      </c>
      <c r="AH2" s="142" t="s">
        <v>1474</v>
      </c>
      <c r="AI2" s="142" t="s">
        <v>1507</v>
      </c>
      <c r="AJ2" s="142" t="s">
        <v>1463</v>
      </c>
      <c r="AK2" s="142" t="s">
        <v>1464</v>
      </c>
      <c r="AL2" s="142" t="s">
        <v>1466</v>
      </c>
      <c r="AM2" s="142" t="s">
        <v>1465</v>
      </c>
    </row>
    <row r="3" spans="1:39" x14ac:dyDescent="0.25">
      <c r="A3" s="84">
        <v>1</v>
      </c>
      <c r="B3" s="143" t="s">
        <v>1433</v>
      </c>
      <c r="C3" s="86" t="s">
        <v>1274</v>
      </c>
      <c r="D3" s="86" t="s">
        <v>1274</v>
      </c>
      <c r="E3" s="86" t="s">
        <v>1274</v>
      </c>
      <c r="F3" s="86" t="s">
        <v>1274</v>
      </c>
      <c r="G3" s="86" t="s">
        <v>1274</v>
      </c>
      <c r="H3" s="89"/>
      <c r="I3" s="89"/>
      <c r="J3" s="86" t="s">
        <v>1274</v>
      </c>
      <c r="K3" s="89"/>
      <c r="L3" s="86" t="s">
        <v>1274</v>
      </c>
      <c r="M3" s="89"/>
      <c r="N3" s="86" t="s">
        <v>1274</v>
      </c>
      <c r="O3" s="86" t="s">
        <v>1274</v>
      </c>
      <c r="P3" s="89"/>
      <c r="Q3" s="86" t="s">
        <v>1274</v>
      </c>
      <c r="R3" s="86" t="s">
        <v>1274</v>
      </c>
      <c r="S3" s="86" t="s">
        <v>1274</v>
      </c>
      <c r="T3" s="89"/>
      <c r="U3" s="86" t="s">
        <v>1274</v>
      </c>
      <c r="V3" s="86" t="s">
        <v>1274</v>
      </c>
      <c r="W3" s="89"/>
      <c r="X3" s="89"/>
      <c r="Y3" s="89"/>
      <c r="Z3" s="89"/>
      <c r="AA3" s="86" t="s">
        <v>1274</v>
      </c>
      <c r="AB3" s="89"/>
      <c r="AC3" s="89"/>
      <c r="AD3" s="86" t="s">
        <v>1274</v>
      </c>
      <c r="AE3" s="86" t="s">
        <v>1274</v>
      </c>
      <c r="AF3" s="86" t="s">
        <v>1274</v>
      </c>
      <c r="AG3" s="86" t="s">
        <v>1274</v>
      </c>
      <c r="AH3" s="89"/>
      <c r="AI3" s="89"/>
      <c r="AJ3" s="86" t="s">
        <v>1274</v>
      </c>
      <c r="AK3" s="86" t="s">
        <v>1274</v>
      </c>
      <c r="AL3" s="86" t="s">
        <v>1274</v>
      </c>
      <c r="AM3" s="86" t="s">
        <v>1274</v>
      </c>
    </row>
    <row r="4" spans="1:39" x14ac:dyDescent="0.25">
      <c r="A4" s="84">
        <v>2</v>
      </c>
      <c r="B4" s="143" t="s">
        <v>1434</v>
      </c>
      <c r="C4" s="86" t="s">
        <v>1274</v>
      </c>
      <c r="D4" s="86" t="s">
        <v>1274</v>
      </c>
      <c r="E4" s="86" t="s">
        <v>1274</v>
      </c>
      <c r="F4" s="86" t="s">
        <v>1274</v>
      </c>
      <c r="G4" s="89"/>
      <c r="H4" s="89"/>
      <c r="I4" s="89"/>
      <c r="J4" s="86" t="s">
        <v>1274</v>
      </c>
      <c r="K4" s="89"/>
      <c r="L4" s="86" t="s">
        <v>1274</v>
      </c>
      <c r="M4" s="86" t="s">
        <v>1274</v>
      </c>
      <c r="N4" s="86" t="s">
        <v>1274</v>
      </c>
      <c r="O4" s="89"/>
      <c r="P4" s="89"/>
      <c r="Q4" s="86" t="s">
        <v>1274</v>
      </c>
      <c r="R4" s="86" t="s">
        <v>1274</v>
      </c>
      <c r="S4" s="86" t="s">
        <v>1274</v>
      </c>
      <c r="T4" s="89"/>
      <c r="U4" s="86" t="s">
        <v>1274</v>
      </c>
      <c r="V4" s="86" t="s">
        <v>1274</v>
      </c>
      <c r="W4" s="86" t="s">
        <v>1274</v>
      </c>
      <c r="X4" s="86" t="s">
        <v>1274</v>
      </c>
      <c r="Y4" s="86" t="s">
        <v>1274</v>
      </c>
      <c r="Z4" s="86" t="s">
        <v>1274</v>
      </c>
      <c r="AA4" s="86" t="s">
        <v>1274</v>
      </c>
      <c r="AB4" s="89"/>
      <c r="AC4" s="86" t="s">
        <v>1274</v>
      </c>
      <c r="AD4" s="86" t="s">
        <v>1274</v>
      </c>
      <c r="AE4" s="86" t="s">
        <v>1274</v>
      </c>
      <c r="AF4" s="86" t="s">
        <v>1274</v>
      </c>
      <c r="AG4" s="86" t="s">
        <v>1274</v>
      </c>
      <c r="AH4" s="89"/>
      <c r="AI4" s="89"/>
      <c r="AJ4" s="86" t="s">
        <v>1274</v>
      </c>
      <c r="AK4" s="86" t="s">
        <v>1274</v>
      </c>
      <c r="AL4" s="86" t="s">
        <v>1274</v>
      </c>
      <c r="AM4" s="86" t="s">
        <v>1274</v>
      </c>
    </row>
    <row r="5" spans="1:39" x14ac:dyDescent="0.25">
      <c r="A5" s="84">
        <v>3</v>
      </c>
      <c r="B5" s="143" t="s">
        <v>1435</v>
      </c>
      <c r="C5" s="86" t="s">
        <v>1274</v>
      </c>
      <c r="D5" s="86" t="s">
        <v>1274</v>
      </c>
      <c r="E5" s="86" t="s">
        <v>1274</v>
      </c>
      <c r="F5" s="86" t="s">
        <v>1274</v>
      </c>
      <c r="G5" s="89"/>
      <c r="H5" s="89"/>
      <c r="I5" s="89"/>
      <c r="J5" s="86" t="s">
        <v>1274</v>
      </c>
      <c r="K5" s="89"/>
      <c r="L5" s="86" t="s">
        <v>1274</v>
      </c>
      <c r="M5" s="86" t="s">
        <v>1274</v>
      </c>
      <c r="N5" s="86" t="s">
        <v>1274</v>
      </c>
      <c r="O5" s="89"/>
      <c r="P5" s="89"/>
      <c r="Q5" s="86" t="s">
        <v>1274</v>
      </c>
      <c r="R5" s="86" t="s">
        <v>1274</v>
      </c>
      <c r="S5" s="86" t="s">
        <v>1274</v>
      </c>
      <c r="T5" s="89"/>
      <c r="U5" s="86" t="s">
        <v>1274</v>
      </c>
      <c r="V5" s="86" t="s">
        <v>1274</v>
      </c>
      <c r="W5" s="86" t="s">
        <v>1274</v>
      </c>
      <c r="X5" s="86" t="s">
        <v>1274</v>
      </c>
      <c r="Y5" s="86" t="s">
        <v>1274</v>
      </c>
      <c r="Z5" s="86" t="s">
        <v>1274</v>
      </c>
      <c r="AA5" s="86" t="s">
        <v>1274</v>
      </c>
      <c r="AB5" s="89"/>
      <c r="AC5" s="86" t="s">
        <v>1274</v>
      </c>
      <c r="AD5" s="86" t="s">
        <v>1274</v>
      </c>
      <c r="AE5" s="86" t="s">
        <v>1274</v>
      </c>
      <c r="AF5" s="86" t="s">
        <v>1274</v>
      </c>
      <c r="AG5" s="86" t="s">
        <v>1274</v>
      </c>
      <c r="AH5" s="89"/>
      <c r="AI5" s="89"/>
      <c r="AJ5" s="86" t="s">
        <v>1274</v>
      </c>
      <c r="AK5" s="86" t="s">
        <v>1274</v>
      </c>
      <c r="AL5" s="86" t="s">
        <v>1274</v>
      </c>
      <c r="AM5" s="86" t="s">
        <v>1274</v>
      </c>
    </row>
    <row r="6" spans="1:39" x14ac:dyDescent="0.25">
      <c r="A6" s="84">
        <v>4</v>
      </c>
      <c r="B6" s="143" t="s">
        <v>1436</v>
      </c>
      <c r="C6" s="86" t="s">
        <v>1274</v>
      </c>
      <c r="D6" s="86" t="s">
        <v>1274</v>
      </c>
      <c r="E6" s="86" t="s">
        <v>1274</v>
      </c>
      <c r="F6" s="86" t="s">
        <v>1274</v>
      </c>
      <c r="G6" s="89"/>
      <c r="H6" s="89"/>
      <c r="I6" s="86" t="s">
        <v>1274</v>
      </c>
      <c r="J6" s="86" t="s">
        <v>1274</v>
      </c>
      <c r="K6" s="89"/>
      <c r="L6" s="86" t="s">
        <v>1274</v>
      </c>
      <c r="M6" s="86" t="s">
        <v>1274</v>
      </c>
      <c r="N6" s="86" t="s">
        <v>1274</v>
      </c>
      <c r="O6" s="89"/>
      <c r="P6" s="89"/>
      <c r="Q6" s="86" t="s">
        <v>1274</v>
      </c>
      <c r="R6" s="86" t="s">
        <v>1274</v>
      </c>
      <c r="S6" s="86" t="s">
        <v>1274</v>
      </c>
      <c r="T6" s="89"/>
      <c r="U6" s="86" t="s">
        <v>1274</v>
      </c>
      <c r="V6" s="86" t="s">
        <v>1274</v>
      </c>
      <c r="W6" s="86" t="s">
        <v>1274</v>
      </c>
      <c r="X6" s="86" t="s">
        <v>1274</v>
      </c>
      <c r="Y6" s="86" t="s">
        <v>1274</v>
      </c>
      <c r="Z6" s="86" t="s">
        <v>1274</v>
      </c>
      <c r="AA6" s="86" t="s">
        <v>1274</v>
      </c>
      <c r="AB6" s="89"/>
      <c r="AC6" s="86" t="s">
        <v>1274</v>
      </c>
      <c r="AD6" s="86" t="s">
        <v>1274</v>
      </c>
      <c r="AE6" s="86" t="s">
        <v>1274</v>
      </c>
      <c r="AF6" s="86" t="s">
        <v>1274</v>
      </c>
      <c r="AG6" s="86" t="s">
        <v>1274</v>
      </c>
      <c r="AH6" s="89"/>
      <c r="AI6" s="89"/>
      <c r="AJ6" s="86" t="s">
        <v>1274</v>
      </c>
      <c r="AK6" s="86" t="s">
        <v>1274</v>
      </c>
      <c r="AL6" s="86" t="s">
        <v>1274</v>
      </c>
      <c r="AM6" s="86" t="s">
        <v>1274</v>
      </c>
    </row>
    <row r="7" spans="1:39" x14ac:dyDescent="0.25">
      <c r="A7" s="84">
        <v>5</v>
      </c>
      <c r="B7" s="143" t="s">
        <v>1437</v>
      </c>
      <c r="C7" s="86" t="s">
        <v>1274</v>
      </c>
      <c r="D7" s="86" t="s">
        <v>1274</v>
      </c>
      <c r="E7" s="86" t="s">
        <v>1274</v>
      </c>
      <c r="F7" s="86" t="s">
        <v>1274</v>
      </c>
      <c r="G7" s="89"/>
      <c r="H7" s="89"/>
      <c r="I7" s="86" t="s">
        <v>1274</v>
      </c>
      <c r="J7" s="86" t="s">
        <v>1274</v>
      </c>
      <c r="K7" s="89"/>
      <c r="L7" s="86" t="s">
        <v>1274</v>
      </c>
      <c r="M7" s="86" t="s">
        <v>1274</v>
      </c>
      <c r="N7" s="86" t="s">
        <v>1274</v>
      </c>
      <c r="O7" s="89"/>
      <c r="P7" s="89"/>
      <c r="Q7" s="86" t="s">
        <v>1274</v>
      </c>
      <c r="R7" s="86" t="s">
        <v>1274</v>
      </c>
      <c r="S7" s="86" t="s">
        <v>1274</v>
      </c>
      <c r="T7" s="89"/>
      <c r="U7" s="86" t="s">
        <v>1274</v>
      </c>
      <c r="V7" s="86" t="s">
        <v>1274</v>
      </c>
      <c r="W7" s="86" t="s">
        <v>1274</v>
      </c>
      <c r="X7" s="86" t="s">
        <v>1274</v>
      </c>
      <c r="Y7" s="86" t="s">
        <v>1274</v>
      </c>
      <c r="Z7" s="86" t="s">
        <v>1274</v>
      </c>
      <c r="AA7" s="86" t="s">
        <v>1274</v>
      </c>
      <c r="AB7" s="89"/>
      <c r="AC7" s="86" t="s">
        <v>1274</v>
      </c>
      <c r="AD7" s="86" t="s">
        <v>1274</v>
      </c>
      <c r="AE7" s="86" t="s">
        <v>1274</v>
      </c>
      <c r="AF7" s="86" t="s">
        <v>1274</v>
      </c>
      <c r="AG7" s="86" t="s">
        <v>1274</v>
      </c>
      <c r="AH7" s="89"/>
      <c r="AI7" s="89"/>
      <c r="AJ7" s="86" t="s">
        <v>1274</v>
      </c>
      <c r="AK7" s="86" t="s">
        <v>1274</v>
      </c>
      <c r="AL7" s="86" t="s">
        <v>1274</v>
      </c>
      <c r="AM7" s="86" t="s">
        <v>1274</v>
      </c>
    </row>
    <row r="8" spans="1:39" x14ac:dyDescent="0.25">
      <c r="A8" s="84">
        <v>6</v>
      </c>
      <c r="B8" s="143" t="s">
        <v>1438</v>
      </c>
      <c r="C8" s="86" t="s">
        <v>1274</v>
      </c>
      <c r="D8" s="89"/>
      <c r="E8" s="86" t="s">
        <v>1274</v>
      </c>
      <c r="F8" s="86" t="s">
        <v>1274</v>
      </c>
      <c r="G8" s="89"/>
      <c r="H8" s="89"/>
      <c r="I8" s="86" t="s">
        <v>1274</v>
      </c>
      <c r="J8" s="86" t="s">
        <v>1274</v>
      </c>
      <c r="K8" s="89"/>
      <c r="L8" s="86" t="s">
        <v>1274</v>
      </c>
      <c r="M8" s="86" t="s">
        <v>1274</v>
      </c>
      <c r="N8" s="86" t="s">
        <v>1274</v>
      </c>
      <c r="O8" s="89"/>
      <c r="P8" s="89"/>
      <c r="Q8" s="86" t="s">
        <v>1274</v>
      </c>
      <c r="R8" s="86" t="s">
        <v>1274</v>
      </c>
      <c r="S8" s="86" t="s">
        <v>1274</v>
      </c>
      <c r="T8" s="89"/>
      <c r="U8" s="86" t="s">
        <v>1274</v>
      </c>
      <c r="V8" s="86" t="s">
        <v>1274</v>
      </c>
      <c r="W8" s="89"/>
      <c r="X8" s="89"/>
      <c r="Y8" s="89"/>
      <c r="Z8" s="89"/>
      <c r="AA8" s="86" t="s">
        <v>1274</v>
      </c>
      <c r="AB8" s="89"/>
      <c r="AC8" s="86" t="s">
        <v>1274</v>
      </c>
      <c r="AD8" s="86" t="s">
        <v>1274</v>
      </c>
      <c r="AE8" s="86" t="s">
        <v>1274</v>
      </c>
      <c r="AF8" s="86" t="s">
        <v>1274</v>
      </c>
      <c r="AG8" s="86" t="s">
        <v>1274</v>
      </c>
      <c r="AH8" s="89"/>
      <c r="AI8" s="89"/>
      <c r="AJ8" s="86" t="s">
        <v>1274</v>
      </c>
      <c r="AK8" s="86" t="s">
        <v>1274</v>
      </c>
      <c r="AL8" s="86" t="s">
        <v>1274</v>
      </c>
      <c r="AM8" s="86" t="s">
        <v>1274</v>
      </c>
    </row>
    <row r="9" spans="1:39" x14ac:dyDescent="0.25">
      <c r="A9" s="84">
        <v>7</v>
      </c>
      <c r="B9" s="143" t="s">
        <v>1439</v>
      </c>
      <c r="C9" s="89"/>
      <c r="D9" s="86" t="s">
        <v>1274</v>
      </c>
      <c r="E9" s="86" t="s">
        <v>1274</v>
      </c>
      <c r="F9" s="89"/>
      <c r="G9" s="89"/>
      <c r="H9" s="89"/>
      <c r="I9" s="89"/>
      <c r="J9" s="89"/>
      <c r="K9" s="89"/>
      <c r="L9" s="86" t="s">
        <v>1274</v>
      </c>
      <c r="M9" s="86" t="s">
        <v>1274</v>
      </c>
      <c r="N9" s="86" t="s">
        <v>1274</v>
      </c>
      <c r="O9" s="89"/>
      <c r="P9" s="89"/>
      <c r="Q9" s="89"/>
      <c r="R9" s="89"/>
      <c r="S9" s="89"/>
      <c r="T9" s="89"/>
      <c r="U9" s="89"/>
      <c r="V9" s="89"/>
      <c r="W9" s="89"/>
      <c r="X9" s="89"/>
      <c r="Y9" s="89"/>
      <c r="Z9" s="89"/>
      <c r="AA9" s="89"/>
      <c r="AB9" s="89"/>
      <c r="AC9" s="86" t="s">
        <v>1274</v>
      </c>
      <c r="AD9" s="89"/>
      <c r="AE9" s="89"/>
      <c r="AF9" s="89"/>
      <c r="AG9" s="89"/>
      <c r="AH9" s="89"/>
      <c r="AI9" s="89"/>
      <c r="AJ9" s="89"/>
      <c r="AK9" s="89"/>
      <c r="AL9" s="89"/>
      <c r="AM9" s="89"/>
    </row>
    <row r="10" spans="1:39" x14ac:dyDescent="0.25">
      <c r="A10" s="84">
        <v>8</v>
      </c>
      <c r="B10" s="143" t="s">
        <v>1440</v>
      </c>
      <c r="C10" s="86" t="s">
        <v>1274</v>
      </c>
      <c r="D10" s="89"/>
      <c r="E10" s="86" t="s">
        <v>1274</v>
      </c>
      <c r="F10" s="89"/>
      <c r="G10" s="89"/>
      <c r="H10" s="89"/>
      <c r="I10" s="89"/>
      <c r="J10" s="89"/>
      <c r="K10" s="86" t="s">
        <v>1274</v>
      </c>
      <c r="L10" s="86" t="s">
        <v>1274</v>
      </c>
      <c r="M10" s="86" t="s">
        <v>1274</v>
      </c>
      <c r="N10" s="86" t="s">
        <v>1274</v>
      </c>
      <c r="O10" s="89"/>
      <c r="P10" s="89"/>
      <c r="Q10" s="86" t="s">
        <v>1274</v>
      </c>
      <c r="R10" s="89"/>
      <c r="S10" s="89"/>
      <c r="T10" s="86" t="s">
        <v>1274</v>
      </c>
      <c r="U10" s="86" t="s">
        <v>1274</v>
      </c>
      <c r="V10" s="86"/>
      <c r="W10" s="89"/>
      <c r="X10" s="89"/>
      <c r="Y10" s="89"/>
      <c r="Z10" s="89"/>
      <c r="AA10" s="89"/>
      <c r="AB10" s="86" t="s">
        <v>1274</v>
      </c>
      <c r="AC10" s="86" t="s">
        <v>1274</v>
      </c>
      <c r="AD10" s="89"/>
      <c r="AE10" s="89"/>
      <c r="AF10" s="89"/>
      <c r="AG10" s="89"/>
      <c r="AH10" s="86" t="s">
        <v>1274</v>
      </c>
      <c r="AI10" s="86" t="s">
        <v>1274</v>
      </c>
      <c r="AJ10" s="89"/>
      <c r="AK10" s="89"/>
      <c r="AL10" s="89"/>
      <c r="AM10" s="89"/>
    </row>
    <row r="11" spans="1:39" x14ac:dyDescent="0.25">
      <c r="A11" s="84">
        <v>9</v>
      </c>
      <c r="B11" s="143" t="s">
        <v>1441</v>
      </c>
      <c r="C11" s="86" t="s">
        <v>1274</v>
      </c>
      <c r="D11" s="89"/>
      <c r="E11" s="86" t="s">
        <v>1274</v>
      </c>
      <c r="F11" s="89"/>
      <c r="G11" s="89"/>
      <c r="H11" s="89"/>
      <c r="I11" s="89"/>
      <c r="J11" s="89"/>
      <c r="K11" s="86" t="s">
        <v>1274</v>
      </c>
      <c r="L11" s="86" t="s">
        <v>1274</v>
      </c>
      <c r="M11" s="86" t="s">
        <v>1274</v>
      </c>
      <c r="N11" s="86" t="s">
        <v>1274</v>
      </c>
      <c r="O11" s="89"/>
      <c r="P11" s="89"/>
      <c r="Q11" s="86" t="s">
        <v>1274</v>
      </c>
      <c r="R11" s="89"/>
      <c r="S11" s="89"/>
      <c r="T11" s="86" t="s">
        <v>1274</v>
      </c>
      <c r="U11" s="86" t="s">
        <v>1274</v>
      </c>
      <c r="V11" s="86" t="s">
        <v>1274</v>
      </c>
      <c r="W11" s="89"/>
      <c r="X11" s="89"/>
      <c r="Y11" s="89"/>
      <c r="Z11" s="89"/>
      <c r="AA11" s="89"/>
      <c r="AB11" s="86" t="s">
        <v>1274</v>
      </c>
      <c r="AC11" s="86" t="s">
        <v>1274</v>
      </c>
      <c r="AD11" s="86" t="s">
        <v>1274</v>
      </c>
      <c r="AE11" s="89"/>
      <c r="AF11" s="89"/>
      <c r="AG11" s="89"/>
      <c r="AH11" s="86" t="s">
        <v>1274</v>
      </c>
      <c r="AI11" s="86" t="s">
        <v>1274</v>
      </c>
      <c r="AJ11" s="89"/>
      <c r="AK11" s="89"/>
      <c r="AL11" s="89"/>
      <c r="AM11" s="89"/>
    </row>
    <row r="12" spans="1:39" x14ac:dyDescent="0.25">
      <c r="A12" s="84">
        <v>10</v>
      </c>
      <c r="B12" s="143" t="s">
        <v>1442</v>
      </c>
      <c r="C12" s="86" t="s">
        <v>1274</v>
      </c>
      <c r="D12" s="86" t="s">
        <v>1274</v>
      </c>
      <c r="E12" s="86" t="s">
        <v>1274</v>
      </c>
      <c r="F12" s="86" t="s">
        <v>1274</v>
      </c>
      <c r="G12" s="86"/>
      <c r="H12" s="86"/>
      <c r="I12" s="86" t="s">
        <v>1274</v>
      </c>
      <c r="J12" s="86" t="s">
        <v>1274</v>
      </c>
      <c r="K12" s="89"/>
      <c r="L12" s="86" t="s">
        <v>1274</v>
      </c>
      <c r="M12" s="86" t="s">
        <v>1274</v>
      </c>
      <c r="N12" s="86" t="s">
        <v>1274</v>
      </c>
      <c r="O12" s="89"/>
      <c r="P12" s="89"/>
      <c r="Q12" s="86" t="s">
        <v>1274</v>
      </c>
      <c r="R12" s="86" t="s">
        <v>1274</v>
      </c>
      <c r="S12" s="86" t="s">
        <v>1274</v>
      </c>
      <c r="T12" s="86"/>
      <c r="U12" s="86" t="s">
        <v>1274</v>
      </c>
      <c r="V12" s="86" t="s">
        <v>1274</v>
      </c>
      <c r="W12" s="86" t="s">
        <v>1274</v>
      </c>
      <c r="X12" s="86" t="s">
        <v>1274</v>
      </c>
      <c r="Y12" s="86" t="s">
        <v>1274</v>
      </c>
      <c r="Z12" s="86" t="s">
        <v>1274</v>
      </c>
      <c r="AA12" s="86" t="s">
        <v>1274</v>
      </c>
      <c r="AB12" s="89"/>
      <c r="AC12" s="86" t="s">
        <v>1274</v>
      </c>
      <c r="AD12" s="86" t="s">
        <v>1274</v>
      </c>
      <c r="AE12" s="86" t="s">
        <v>1274</v>
      </c>
      <c r="AF12" s="86" t="s">
        <v>1274</v>
      </c>
      <c r="AG12" s="86" t="s">
        <v>1274</v>
      </c>
      <c r="AH12" s="89"/>
      <c r="AI12" s="89"/>
      <c r="AJ12" s="86" t="s">
        <v>1274</v>
      </c>
      <c r="AK12" s="86" t="s">
        <v>1274</v>
      </c>
      <c r="AL12" s="86" t="s">
        <v>1274</v>
      </c>
      <c r="AM12" s="86" t="s">
        <v>1274</v>
      </c>
    </row>
    <row r="13" spans="1:39" x14ac:dyDescent="0.25">
      <c r="A13" s="84">
        <v>11</v>
      </c>
      <c r="B13" s="143" t="s">
        <v>1443</v>
      </c>
      <c r="C13" s="86" t="s">
        <v>1274</v>
      </c>
      <c r="D13" s="86" t="s">
        <v>1274</v>
      </c>
      <c r="E13" s="86" t="s">
        <v>1274</v>
      </c>
      <c r="F13" s="86" t="s">
        <v>1274</v>
      </c>
      <c r="G13" s="86" t="s">
        <v>1274</v>
      </c>
      <c r="H13" s="86" t="s">
        <v>1274</v>
      </c>
      <c r="I13" s="86" t="s">
        <v>1274</v>
      </c>
      <c r="J13" s="86" t="s">
        <v>1274</v>
      </c>
      <c r="K13" s="86" t="s">
        <v>1274</v>
      </c>
      <c r="L13" s="86" t="s">
        <v>1274</v>
      </c>
      <c r="M13" s="86" t="s">
        <v>1274</v>
      </c>
      <c r="N13" s="86" t="s">
        <v>1274</v>
      </c>
      <c r="O13" s="86" t="s">
        <v>1274</v>
      </c>
      <c r="P13" s="86" t="s">
        <v>1274</v>
      </c>
      <c r="Q13" s="89"/>
      <c r="R13" s="89"/>
      <c r="S13" s="89"/>
      <c r="T13" s="89"/>
      <c r="U13" s="89"/>
      <c r="V13" s="89"/>
      <c r="W13" s="89"/>
      <c r="X13" s="89"/>
      <c r="Y13" s="89"/>
      <c r="Z13" s="89"/>
      <c r="AA13" s="89"/>
      <c r="AB13" s="89"/>
      <c r="AC13" s="89"/>
      <c r="AD13" s="89"/>
      <c r="AE13" s="89"/>
      <c r="AF13" s="89"/>
      <c r="AG13" s="89"/>
      <c r="AH13" s="89"/>
      <c r="AI13" s="89"/>
      <c r="AJ13" s="89"/>
      <c r="AK13" s="89"/>
      <c r="AL13" s="89"/>
      <c r="AM13" s="89"/>
    </row>
    <row r="14" spans="1:39" x14ac:dyDescent="0.25">
      <c r="A14" s="84">
        <v>12</v>
      </c>
      <c r="B14" s="143" t="s">
        <v>1444</v>
      </c>
      <c r="C14" s="86" t="s">
        <v>1274</v>
      </c>
      <c r="D14" s="89"/>
      <c r="E14" s="86" t="s">
        <v>1274</v>
      </c>
      <c r="F14" s="89"/>
      <c r="G14" s="89"/>
      <c r="H14" s="89"/>
      <c r="I14" s="89"/>
      <c r="J14" s="89"/>
      <c r="K14" s="89"/>
      <c r="L14" s="86" t="s">
        <v>1274</v>
      </c>
      <c r="M14" s="86" t="s">
        <v>1274</v>
      </c>
      <c r="N14" s="86" t="s">
        <v>1274</v>
      </c>
      <c r="O14" s="89"/>
      <c r="P14" s="89"/>
      <c r="Q14" s="86" t="s">
        <v>1274</v>
      </c>
      <c r="R14" s="89"/>
      <c r="S14" s="89"/>
      <c r="T14" s="89"/>
      <c r="U14" s="89"/>
      <c r="V14" s="89"/>
      <c r="W14" s="89"/>
      <c r="X14" s="89"/>
      <c r="Y14" s="89"/>
      <c r="Z14" s="89"/>
      <c r="AA14" s="89"/>
      <c r="AB14" s="89"/>
      <c r="AC14" s="86" t="s">
        <v>1274</v>
      </c>
      <c r="AD14" s="89"/>
      <c r="AE14" s="89"/>
      <c r="AF14" s="89"/>
      <c r="AG14" s="89"/>
      <c r="AH14" s="89"/>
      <c r="AI14" s="89"/>
      <c r="AJ14" s="89"/>
      <c r="AK14" s="89"/>
      <c r="AL14" s="89"/>
      <c r="AM14" s="89"/>
    </row>
    <row r="15" spans="1:39" x14ac:dyDescent="0.25">
      <c r="A15" s="84">
        <v>13</v>
      </c>
      <c r="B15" s="143" t="s">
        <v>1445</v>
      </c>
      <c r="C15" s="86" t="s">
        <v>1274</v>
      </c>
      <c r="D15" s="89"/>
      <c r="E15" s="86" t="s">
        <v>1274</v>
      </c>
      <c r="F15" s="89"/>
      <c r="G15" s="89"/>
      <c r="H15" s="89"/>
      <c r="I15" s="89"/>
      <c r="J15" s="89"/>
      <c r="K15" s="89"/>
      <c r="L15" s="86" t="s">
        <v>1274</v>
      </c>
      <c r="M15" s="86" t="s">
        <v>1274</v>
      </c>
      <c r="N15" s="86" t="s">
        <v>1274</v>
      </c>
      <c r="O15" s="89"/>
      <c r="P15" s="89"/>
      <c r="Q15" s="86" t="s">
        <v>1274</v>
      </c>
      <c r="R15" s="89"/>
      <c r="S15" s="89"/>
      <c r="T15" s="89"/>
      <c r="U15" s="89"/>
      <c r="V15" s="89"/>
      <c r="W15" s="89"/>
      <c r="X15" s="89"/>
      <c r="Y15" s="89"/>
      <c r="Z15" s="89"/>
      <c r="AA15" s="89"/>
      <c r="AB15" s="89"/>
      <c r="AC15" s="86" t="s">
        <v>1274</v>
      </c>
      <c r="AD15" s="89"/>
      <c r="AE15" s="89"/>
      <c r="AF15" s="89"/>
      <c r="AG15" s="89"/>
      <c r="AH15" s="89"/>
      <c r="AI15" s="89"/>
      <c r="AJ15" s="89"/>
      <c r="AK15" s="89"/>
      <c r="AL15" s="89"/>
      <c r="AM15" s="89"/>
    </row>
    <row r="16" spans="1:39" x14ac:dyDescent="0.25">
      <c r="A16" s="84">
        <v>14</v>
      </c>
      <c r="B16" s="143" t="s">
        <v>1446</v>
      </c>
      <c r="C16" s="86" t="s">
        <v>1274</v>
      </c>
      <c r="D16" s="89"/>
      <c r="E16" s="86" t="s">
        <v>1274</v>
      </c>
      <c r="F16" s="89"/>
      <c r="G16" s="89"/>
      <c r="H16" s="89"/>
      <c r="I16" s="89"/>
      <c r="J16" s="89"/>
      <c r="K16" s="89"/>
      <c r="L16" s="86" t="s">
        <v>1274</v>
      </c>
      <c r="M16" s="86" t="s">
        <v>1274</v>
      </c>
      <c r="N16" s="86" t="s">
        <v>1274</v>
      </c>
      <c r="O16" s="89"/>
      <c r="P16" s="89"/>
      <c r="Q16" s="86" t="s">
        <v>1274</v>
      </c>
      <c r="R16" s="89"/>
      <c r="S16" s="89"/>
      <c r="T16" s="89"/>
      <c r="U16" s="86" t="s">
        <v>1274</v>
      </c>
      <c r="V16" s="86" t="s">
        <v>1274</v>
      </c>
      <c r="W16" s="89"/>
      <c r="X16" s="89"/>
      <c r="Y16" s="89"/>
      <c r="Z16" s="89"/>
      <c r="AA16" s="89"/>
      <c r="AB16" s="89"/>
      <c r="AC16" s="86" t="s">
        <v>1274</v>
      </c>
      <c r="AD16" s="86" t="s">
        <v>1274</v>
      </c>
      <c r="AE16" s="89"/>
      <c r="AF16" s="89"/>
      <c r="AG16" s="89"/>
      <c r="AH16" s="89"/>
      <c r="AI16" s="89"/>
      <c r="AJ16" s="89"/>
      <c r="AK16" s="89"/>
      <c r="AL16" s="89"/>
      <c r="AM16" s="89"/>
    </row>
    <row r="17" spans="1:39" x14ac:dyDescent="0.25">
      <c r="A17" s="84">
        <v>15</v>
      </c>
      <c r="B17" s="143" t="s">
        <v>1447</v>
      </c>
      <c r="C17" s="86" t="s">
        <v>1274</v>
      </c>
      <c r="D17" s="86" t="s">
        <v>1274</v>
      </c>
      <c r="E17" s="86" t="s">
        <v>1274</v>
      </c>
      <c r="F17" s="89"/>
      <c r="G17" s="89"/>
      <c r="H17" s="89"/>
      <c r="I17" s="89"/>
      <c r="J17" s="89"/>
      <c r="K17" s="89"/>
      <c r="L17" s="86" t="s">
        <v>1274</v>
      </c>
      <c r="M17" s="86" t="s">
        <v>1274</v>
      </c>
      <c r="N17" s="89"/>
      <c r="O17" s="89"/>
      <c r="P17" s="89"/>
      <c r="Q17" s="86" t="s">
        <v>1274</v>
      </c>
      <c r="R17" s="89"/>
      <c r="S17" s="89"/>
      <c r="T17" s="89"/>
      <c r="U17" s="86" t="s">
        <v>1274</v>
      </c>
      <c r="V17" s="89"/>
      <c r="W17" s="86" t="s">
        <v>1274</v>
      </c>
      <c r="X17" s="89"/>
      <c r="Y17" s="89"/>
      <c r="Z17" s="86" t="s">
        <v>1274</v>
      </c>
      <c r="AA17" s="89"/>
      <c r="AB17" s="89"/>
      <c r="AC17" s="86" t="s">
        <v>1274</v>
      </c>
      <c r="AD17" s="89"/>
      <c r="AE17" s="89"/>
      <c r="AF17" s="89"/>
      <c r="AG17" s="89"/>
      <c r="AH17" s="89"/>
      <c r="AI17" s="89"/>
      <c r="AJ17" s="89"/>
      <c r="AK17" s="89"/>
      <c r="AL17" s="89"/>
      <c r="AM17" s="89"/>
    </row>
    <row r="18" spans="1:39" x14ac:dyDescent="0.25">
      <c r="C18" s="87">
        <v>1</v>
      </c>
      <c r="D18" s="87">
        <v>2</v>
      </c>
      <c r="E18" s="87">
        <v>3</v>
      </c>
      <c r="F18" s="87">
        <v>4</v>
      </c>
      <c r="G18" s="87">
        <v>5</v>
      </c>
      <c r="H18" s="87">
        <v>6</v>
      </c>
      <c r="I18" s="87">
        <v>7</v>
      </c>
      <c r="J18" s="87">
        <v>8</v>
      </c>
      <c r="K18" s="87">
        <v>9</v>
      </c>
      <c r="L18" s="87">
        <v>10</v>
      </c>
      <c r="M18" s="87">
        <v>11</v>
      </c>
      <c r="N18" s="87">
        <v>12</v>
      </c>
      <c r="O18" s="87">
        <v>13</v>
      </c>
      <c r="P18" s="87">
        <v>14</v>
      </c>
      <c r="Q18" s="87">
        <v>15</v>
      </c>
      <c r="R18" s="87">
        <v>16</v>
      </c>
      <c r="S18" s="87">
        <v>17</v>
      </c>
      <c r="T18" s="87">
        <v>18</v>
      </c>
      <c r="U18" s="87">
        <v>19</v>
      </c>
      <c r="V18" s="87">
        <v>20</v>
      </c>
      <c r="W18" s="87">
        <v>21</v>
      </c>
      <c r="X18" s="87">
        <v>22</v>
      </c>
      <c r="Y18" s="87">
        <v>23</v>
      </c>
      <c r="Z18" s="87">
        <v>24</v>
      </c>
      <c r="AA18" s="87">
        <v>25</v>
      </c>
      <c r="AB18" s="87">
        <v>26</v>
      </c>
      <c r="AC18" s="87">
        <v>27</v>
      </c>
      <c r="AD18" s="87">
        <v>28</v>
      </c>
      <c r="AE18" s="87">
        <v>29</v>
      </c>
      <c r="AF18" s="87">
        <v>30</v>
      </c>
      <c r="AG18" s="87">
        <v>31</v>
      </c>
      <c r="AH18" s="87">
        <v>32</v>
      </c>
      <c r="AI18" s="87">
        <v>33</v>
      </c>
      <c r="AJ18" s="87">
        <v>34</v>
      </c>
      <c r="AK18" s="87">
        <v>35</v>
      </c>
      <c r="AL18" s="87">
        <v>36</v>
      </c>
      <c r="AM18" s="87">
        <v>37</v>
      </c>
    </row>
    <row r="20" spans="1:39" ht="15.75" thickBot="1" x14ac:dyDescent="0.3"/>
    <row r="21" spans="1:39" s="144" customFormat="1" x14ac:dyDescent="0.25">
      <c r="B21" s="165"/>
      <c r="C21" s="166"/>
      <c r="D21" s="166"/>
      <c r="E21" s="166"/>
      <c r="F21" s="166"/>
      <c r="G21" s="166"/>
      <c r="H21" s="263" t="s">
        <v>1497</v>
      </c>
      <c r="I21" s="264"/>
      <c r="J21" s="264"/>
      <c r="K21" s="264"/>
      <c r="L21" s="264"/>
      <c r="M21" s="264"/>
      <c r="N21" s="264"/>
      <c r="O21" s="265"/>
      <c r="P21" s="263" t="s">
        <v>1496</v>
      </c>
      <c r="Q21" s="264"/>
      <c r="R21" s="264"/>
      <c r="S21" s="264"/>
      <c r="T21" s="264"/>
      <c r="U21" s="264"/>
      <c r="V21" s="264"/>
      <c r="W21" s="264"/>
      <c r="X21" s="264"/>
      <c r="Y21" s="265"/>
      <c r="Z21" s="263" t="s">
        <v>1547</v>
      </c>
      <c r="AA21" s="264"/>
      <c r="AB21" s="264"/>
      <c r="AC21" s="265"/>
    </row>
    <row r="22" spans="1:39" s="220" customFormat="1" ht="45.75" customHeight="1" thickBot="1" x14ac:dyDescent="0.3">
      <c r="B22" s="174" t="s">
        <v>29</v>
      </c>
      <c r="C22" s="167" t="s">
        <v>1448</v>
      </c>
      <c r="D22" s="167" t="s">
        <v>1476</v>
      </c>
      <c r="E22" s="167" t="s">
        <v>1492</v>
      </c>
      <c r="F22" s="167" t="s">
        <v>1486</v>
      </c>
      <c r="G22" s="172" t="s">
        <v>53</v>
      </c>
      <c r="H22" s="174" t="s">
        <v>1488</v>
      </c>
      <c r="I22" s="167" t="s">
        <v>1477</v>
      </c>
      <c r="J22" s="167" t="s">
        <v>1478</v>
      </c>
      <c r="K22" s="167" t="s">
        <v>1479</v>
      </c>
      <c r="L22" s="167" t="s">
        <v>1480</v>
      </c>
      <c r="M22" s="167" t="s">
        <v>1481</v>
      </c>
      <c r="N22" s="167" t="s">
        <v>818</v>
      </c>
      <c r="O22" s="175" t="s">
        <v>1490</v>
      </c>
      <c r="P22" s="174" t="s">
        <v>1487</v>
      </c>
      <c r="Q22" s="167" t="s">
        <v>985</v>
      </c>
      <c r="R22" s="167" t="s">
        <v>1482</v>
      </c>
      <c r="S22" s="167" t="s">
        <v>1483</v>
      </c>
      <c r="T22" s="167" t="s">
        <v>1484</v>
      </c>
      <c r="U22" s="508" t="s">
        <v>1572</v>
      </c>
      <c r="V22" s="508" t="s">
        <v>1573</v>
      </c>
      <c r="W22" s="508" t="s">
        <v>1574</v>
      </c>
      <c r="X22" s="508" t="s">
        <v>47</v>
      </c>
      <c r="Y22" s="511" t="s">
        <v>36</v>
      </c>
      <c r="Z22" s="174" t="s">
        <v>214</v>
      </c>
      <c r="AA22" s="167" t="s">
        <v>1489</v>
      </c>
      <c r="AB22" s="167" t="s">
        <v>1491</v>
      </c>
      <c r="AC22" s="175" t="s">
        <v>1495</v>
      </c>
    </row>
    <row r="23" spans="1:39" ht="15.75" customHeight="1" x14ac:dyDescent="0.25">
      <c r="A23" s="84">
        <v>1</v>
      </c>
      <c r="B23" s="270" t="s">
        <v>1433</v>
      </c>
      <c r="C23" s="271">
        <v>36</v>
      </c>
      <c r="D23" s="271">
        <v>20</v>
      </c>
      <c r="E23" s="272"/>
      <c r="F23" s="272"/>
      <c r="G23" s="47" t="s">
        <v>1493</v>
      </c>
      <c r="H23" s="176" t="s">
        <v>226</v>
      </c>
      <c r="I23" s="103"/>
      <c r="J23" s="103"/>
      <c r="K23" s="103"/>
      <c r="L23" s="103"/>
      <c r="M23" s="103"/>
      <c r="N23" s="103"/>
      <c r="O23" s="105"/>
      <c r="P23" s="280">
        <v>0.3</v>
      </c>
      <c r="Q23" s="281">
        <v>0.3</v>
      </c>
      <c r="R23" s="272"/>
      <c r="S23" s="272"/>
      <c r="T23" s="272"/>
      <c r="U23" s="272"/>
      <c r="V23" s="272"/>
      <c r="W23" s="272"/>
      <c r="X23" s="272"/>
      <c r="Y23" s="125"/>
      <c r="Z23" s="102"/>
      <c r="AA23" s="103"/>
      <c r="AB23" s="103"/>
      <c r="AC23" s="105"/>
      <c r="AG23" s="87"/>
      <c r="AH23" s="87"/>
      <c r="AI23" s="87"/>
      <c r="AJ23" s="87"/>
    </row>
    <row r="24" spans="1:39" ht="15.75" customHeight="1" x14ac:dyDescent="0.25">
      <c r="A24" s="84">
        <v>2</v>
      </c>
      <c r="B24" s="214" t="s">
        <v>1434</v>
      </c>
      <c r="C24" s="85">
        <v>27</v>
      </c>
      <c r="D24" s="85">
        <v>20</v>
      </c>
      <c r="E24" s="89"/>
      <c r="F24" s="89"/>
      <c r="G24" s="178"/>
      <c r="H24" s="177"/>
      <c r="I24" s="89"/>
      <c r="J24" s="89"/>
      <c r="K24" s="89"/>
      <c r="L24" s="89"/>
      <c r="M24" s="89"/>
      <c r="N24" s="89"/>
      <c r="O24" s="178"/>
      <c r="P24" s="177"/>
      <c r="Q24" s="89"/>
      <c r="R24" s="89"/>
      <c r="S24" s="89"/>
      <c r="T24" s="89"/>
      <c r="U24" s="89"/>
      <c r="V24" s="89"/>
      <c r="W24" s="89"/>
      <c r="X24" s="89"/>
      <c r="Y24" s="178"/>
      <c r="Z24" s="177"/>
      <c r="AA24" s="89"/>
      <c r="AB24" s="89"/>
      <c r="AC24" s="178"/>
      <c r="AG24" s="87"/>
      <c r="AH24" s="87"/>
      <c r="AI24" s="87"/>
      <c r="AJ24" s="87"/>
    </row>
    <row r="25" spans="1:39" ht="15.75" customHeight="1" x14ac:dyDescent="0.25">
      <c r="A25" s="84">
        <v>3</v>
      </c>
      <c r="B25" s="214" t="s">
        <v>1435</v>
      </c>
      <c r="C25" s="85">
        <v>36</v>
      </c>
      <c r="D25" s="85">
        <v>20</v>
      </c>
      <c r="E25" s="89"/>
      <c r="F25" s="89"/>
      <c r="G25" s="30" t="s">
        <v>225</v>
      </c>
      <c r="H25" s="179" t="s">
        <v>226</v>
      </c>
      <c r="I25" s="89"/>
      <c r="J25" s="89"/>
      <c r="K25" s="89"/>
      <c r="L25" s="89"/>
      <c r="M25" s="89"/>
      <c r="N25" s="89"/>
      <c r="O25" s="178"/>
      <c r="P25" s="184">
        <v>0.9</v>
      </c>
      <c r="Q25" s="88">
        <v>0.9</v>
      </c>
      <c r="R25" s="89"/>
      <c r="S25" s="89"/>
      <c r="T25" s="89"/>
      <c r="U25" s="89"/>
      <c r="V25" s="89"/>
      <c r="W25" s="89"/>
      <c r="X25" s="89"/>
      <c r="Y25" s="178"/>
      <c r="Z25" s="186">
        <v>1</v>
      </c>
      <c r="AA25" s="92">
        <v>1</v>
      </c>
      <c r="AB25" s="89"/>
      <c r="AC25" s="178"/>
      <c r="AG25" s="87"/>
      <c r="AH25" s="87"/>
      <c r="AI25" s="87"/>
      <c r="AJ25" s="87"/>
    </row>
    <row r="26" spans="1:39" x14ac:dyDescent="0.25">
      <c r="A26" s="84">
        <v>4</v>
      </c>
      <c r="B26" s="214" t="s">
        <v>1436</v>
      </c>
      <c r="C26" s="85">
        <v>36</v>
      </c>
      <c r="D26" s="85">
        <v>20</v>
      </c>
      <c r="E26" s="89"/>
      <c r="F26" s="89"/>
      <c r="G26" s="30" t="s">
        <v>225</v>
      </c>
      <c r="H26" s="179" t="s">
        <v>226</v>
      </c>
      <c r="I26" s="89"/>
      <c r="J26" s="89"/>
      <c r="K26" s="89"/>
      <c r="L26" s="89"/>
      <c r="M26" s="89"/>
      <c r="N26" s="89"/>
      <c r="O26" s="178"/>
      <c r="P26" s="184">
        <v>0.9</v>
      </c>
      <c r="Q26" s="88">
        <v>0.9</v>
      </c>
      <c r="R26" s="89"/>
      <c r="S26" s="89"/>
      <c r="T26" s="89"/>
      <c r="U26" s="89"/>
      <c r="V26" s="89"/>
      <c r="W26" s="89"/>
      <c r="X26" s="89"/>
      <c r="Y26" s="178"/>
      <c r="Z26" s="186">
        <v>1</v>
      </c>
      <c r="AA26" s="92">
        <v>1</v>
      </c>
      <c r="AB26" s="89"/>
      <c r="AC26" s="178"/>
      <c r="AG26" s="87"/>
      <c r="AH26" s="87"/>
      <c r="AI26" s="87"/>
      <c r="AJ26" s="87"/>
    </row>
    <row r="27" spans="1:39" x14ac:dyDescent="0.25">
      <c r="A27" s="84">
        <v>5</v>
      </c>
      <c r="B27" s="214" t="s">
        <v>1437</v>
      </c>
      <c r="C27" s="85">
        <v>36</v>
      </c>
      <c r="D27" s="85">
        <v>20</v>
      </c>
      <c r="E27" s="89"/>
      <c r="F27" s="89"/>
      <c r="G27" s="30" t="s">
        <v>225</v>
      </c>
      <c r="H27" s="179" t="s">
        <v>226</v>
      </c>
      <c r="I27" s="89"/>
      <c r="J27" s="89"/>
      <c r="K27" s="89"/>
      <c r="L27" s="89"/>
      <c r="M27" s="89"/>
      <c r="N27" s="89"/>
      <c r="O27" s="178"/>
      <c r="P27" s="184">
        <v>0.9</v>
      </c>
      <c r="Q27" s="88">
        <v>0.9</v>
      </c>
      <c r="R27" s="89"/>
      <c r="S27" s="89"/>
      <c r="T27" s="89"/>
      <c r="U27" s="89"/>
      <c r="V27" s="89"/>
      <c r="W27" s="89"/>
      <c r="X27" s="89"/>
      <c r="Y27" s="178"/>
      <c r="Z27" s="186">
        <v>1</v>
      </c>
      <c r="AA27" s="92">
        <v>1</v>
      </c>
      <c r="AB27" s="89"/>
      <c r="AC27" s="178"/>
      <c r="AG27" s="87"/>
      <c r="AH27" s="87"/>
      <c r="AI27" s="87"/>
      <c r="AJ27" s="87"/>
    </row>
    <row r="28" spans="1:39" x14ac:dyDescent="0.25">
      <c r="A28" s="84">
        <v>6</v>
      </c>
      <c r="B28" s="214" t="s">
        <v>1438</v>
      </c>
      <c r="C28" s="85">
        <v>36</v>
      </c>
      <c r="D28" s="85">
        <v>36</v>
      </c>
      <c r="E28" s="89"/>
      <c r="F28" s="91" t="s">
        <v>650</v>
      </c>
      <c r="G28" s="30" t="s">
        <v>225</v>
      </c>
      <c r="H28" s="179" t="s">
        <v>226</v>
      </c>
      <c r="I28" s="88">
        <v>0.75</v>
      </c>
      <c r="J28" s="88">
        <v>0.75</v>
      </c>
      <c r="K28" s="88">
        <v>0.66</v>
      </c>
      <c r="L28" s="88">
        <v>0.5</v>
      </c>
      <c r="M28" s="88">
        <v>0.5</v>
      </c>
      <c r="N28" s="89"/>
      <c r="O28" s="178"/>
      <c r="P28" s="184">
        <v>1</v>
      </c>
      <c r="Q28" s="88">
        <v>1</v>
      </c>
      <c r="R28" s="85">
        <v>2</v>
      </c>
      <c r="S28" s="89"/>
      <c r="T28" s="89"/>
      <c r="U28" s="89"/>
      <c r="V28" s="85">
        <v>2</v>
      </c>
      <c r="W28" s="85">
        <v>2</v>
      </c>
      <c r="X28" s="85">
        <v>2</v>
      </c>
      <c r="Y28" s="180">
        <v>2</v>
      </c>
      <c r="Z28" s="177"/>
      <c r="AA28" s="89"/>
      <c r="AB28" s="89"/>
      <c r="AC28" s="178"/>
      <c r="AG28" s="87"/>
      <c r="AH28" s="87"/>
      <c r="AI28" s="87"/>
      <c r="AJ28" s="87"/>
    </row>
    <row r="29" spans="1:39" x14ac:dyDescent="0.25">
      <c r="A29" s="84">
        <v>7</v>
      </c>
      <c r="B29" s="214" t="s">
        <v>1439</v>
      </c>
      <c r="C29" s="85">
        <v>36</v>
      </c>
      <c r="D29" s="85">
        <v>20</v>
      </c>
      <c r="E29" s="89"/>
      <c r="F29" s="89"/>
      <c r="G29" s="30" t="s">
        <v>225</v>
      </c>
      <c r="H29" s="179" t="s">
        <v>226</v>
      </c>
      <c r="I29" s="89"/>
      <c r="J29" s="89"/>
      <c r="K29" s="89"/>
      <c r="L29" s="89"/>
      <c r="M29" s="89"/>
      <c r="N29" s="89"/>
      <c r="O29" s="178"/>
      <c r="P29" s="184">
        <v>0.9</v>
      </c>
      <c r="Q29" s="88">
        <v>0.9</v>
      </c>
      <c r="R29" s="89"/>
      <c r="S29" s="89"/>
      <c r="T29" s="89"/>
      <c r="U29" s="89"/>
      <c r="V29" s="89"/>
      <c r="W29" s="89"/>
      <c r="X29" s="89"/>
      <c r="Y29" s="178"/>
      <c r="Z29" s="186">
        <v>1</v>
      </c>
      <c r="AA29" s="92">
        <v>1</v>
      </c>
      <c r="AB29" s="89"/>
      <c r="AC29" s="178"/>
      <c r="AG29" s="87"/>
      <c r="AH29" s="87"/>
      <c r="AI29" s="87"/>
      <c r="AJ29" s="87"/>
    </row>
    <row r="30" spans="1:39" x14ac:dyDescent="0.25">
      <c r="A30" s="84">
        <v>8</v>
      </c>
      <c r="B30" s="214" t="s">
        <v>1440</v>
      </c>
      <c r="C30" s="85">
        <v>18</v>
      </c>
      <c r="D30" s="85">
        <v>20</v>
      </c>
      <c r="E30" s="89"/>
      <c r="F30" s="89"/>
      <c r="G30" s="30" t="s">
        <v>1493</v>
      </c>
      <c r="H30" s="177"/>
      <c r="I30" s="88">
        <v>0.8</v>
      </c>
      <c r="J30" s="89"/>
      <c r="K30" s="89"/>
      <c r="L30" s="89"/>
      <c r="M30" s="88">
        <v>0.6</v>
      </c>
      <c r="N30" s="88">
        <v>0.7</v>
      </c>
      <c r="O30" s="181">
        <v>0.5</v>
      </c>
      <c r="P30" s="177"/>
      <c r="Q30" s="89"/>
      <c r="R30" s="89"/>
      <c r="S30" s="89"/>
      <c r="T30" s="89"/>
      <c r="U30" s="89"/>
      <c r="V30" s="89"/>
      <c r="W30" s="279" t="s">
        <v>1575</v>
      </c>
      <c r="X30" s="279" t="s">
        <v>1575</v>
      </c>
      <c r="Y30" s="178"/>
      <c r="Z30" s="177"/>
      <c r="AA30" s="89"/>
      <c r="AB30" s="92">
        <v>1</v>
      </c>
      <c r="AC30" s="308"/>
      <c r="AG30" s="87"/>
      <c r="AH30" s="87"/>
      <c r="AI30" s="87"/>
      <c r="AJ30" s="87"/>
    </row>
    <row r="31" spans="1:39" x14ac:dyDescent="0.25">
      <c r="A31" s="84">
        <v>9</v>
      </c>
      <c r="B31" s="214" t="s">
        <v>1441</v>
      </c>
      <c r="C31" s="85">
        <v>18</v>
      </c>
      <c r="D31" s="85">
        <v>36</v>
      </c>
      <c r="E31" s="85">
        <v>1</v>
      </c>
      <c r="F31" s="91" t="s">
        <v>650</v>
      </c>
      <c r="G31" s="30" t="s">
        <v>1494</v>
      </c>
      <c r="H31" s="177"/>
      <c r="I31" s="88">
        <v>0.8</v>
      </c>
      <c r="J31" s="89"/>
      <c r="K31" s="89"/>
      <c r="L31" s="89"/>
      <c r="M31" s="88">
        <v>0.6</v>
      </c>
      <c r="N31" s="88">
        <v>0.7</v>
      </c>
      <c r="O31" s="181">
        <v>0.5</v>
      </c>
      <c r="P31" s="177"/>
      <c r="Q31" s="89"/>
      <c r="R31" s="85" t="s">
        <v>1485</v>
      </c>
      <c r="S31" s="89"/>
      <c r="T31" s="89"/>
      <c r="U31" s="507">
        <v>3</v>
      </c>
      <c r="V31" s="85">
        <v>3</v>
      </c>
      <c r="W31" s="85">
        <v>3</v>
      </c>
      <c r="X31" s="85">
        <v>3</v>
      </c>
      <c r="Y31" s="185">
        <v>3</v>
      </c>
      <c r="Z31" s="177"/>
      <c r="AA31" s="89"/>
      <c r="AB31" s="89"/>
      <c r="AC31" s="308">
        <v>1</v>
      </c>
      <c r="AG31" s="87"/>
      <c r="AH31" s="87"/>
      <c r="AI31" s="87"/>
      <c r="AJ31" s="87"/>
    </row>
    <row r="32" spans="1:39" x14ac:dyDescent="0.25">
      <c r="A32" s="84">
        <v>10</v>
      </c>
      <c r="B32" s="214" t="s">
        <v>1442</v>
      </c>
      <c r="C32" s="85">
        <v>36</v>
      </c>
      <c r="D32" s="85">
        <v>20</v>
      </c>
      <c r="E32" s="89"/>
      <c r="F32" s="89"/>
      <c r="G32" s="30" t="s">
        <v>225</v>
      </c>
      <c r="H32" s="179" t="s">
        <v>226</v>
      </c>
      <c r="I32" s="89"/>
      <c r="J32" s="89"/>
      <c r="K32" s="89"/>
      <c r="L32" s="89"/>
      <c r="M32" s="89"/>
      <c r="N32" s="89"/>
      <c r="O32" s="178"/>
      <c r="P32" s="184">
        <v>0.9</v>
      </c>
      <c r="Q32" s="88">
        <v>0.9</v>
      </c>
      <c r="R32" s="89"/>
      <c r="S32" s="89"/>
      <c r="T32" s="89"/>
      <c r="U32" s="89"/>
      <c r="V32" s="89"/>
      <c r="W32" s="89"/>
      <c r="X32" s="89"/>
      <c r="Y32" s="178"/>
      <c r="Z32" s="186">
        <v>1</v>
      </c>
      <c r="AA32" s="92">
        <v>1</v>
      </c>
      <c r="AB32" s="89"/>
      <c r="AC32" s="178"/>
      <c r="AG32" s="87"/>
      <c r="AH32" s="87"/>
      <c r="AI32" s="87"/>
      <c r="AJ32" s="87"/>
    </row>
    <row r="33" spans="1:36" x14ac:dyDescent="0.25">
      <c r="A33" s="84">
        <v>11</v>
      </c>
      <c r="B33" s="214" t="s">
        <v>1443</v>
      </c>
      <c r="C33" s="85">
        <v>36</v>
      </c>
      <c r="D33" s="89"/>
      <c r="E33" s="89"/>
      <c r="F33" s="89"/>
      <c r="G33" s="178"/>
      <c r="H33" s="177"/>
      <c r="I33" s="89"/>
      <c r="J33" s="89"/>
      <c r="K33" s="89"/>
      <c r="L33" s="89"/>
      <c r="M33" s="89"/>
      <c r="N33" s="89"/>
      <c r="O33" s="178"/>
      <c r="P33" s="177"/>
      <c r="Q33" s="89"/>
      <c r="R33" s="89"/>
      <c r="S33" s="89"/>
      <c r="T33" s="89"/>
      <c r="U33" s="89"/>
      <c r="V33" s="89"/>
      <c r="W33" s="89"/>
      <c r="X33" s="89"/>
      <c r="Y33" s="178"/>
      <c r="Z33" s="177"/>
      <c r="AA33" s="89"/>
      <c r="AB33" s="89"/>
      <c r="AC33" s="178"/>
      <c r="AG33" s="87"/>
      <c r="AH33" s="87"/>
      <c r="AI33" s="87"/>
      <c r="AJ33" s="87"/>
    </row>
    <row r="34" spans="1:36" x14ac:dyDescent="0.25">
      <c r="A34" s="84">
        <v>12</v>
      </c>
      <c r="B34" s="214" t="s">
        <v>1444</v>
      </c>
      <c r="C34" s="85">
        <v>18</v>
      </c>
      <c r="D34" s="85">
        <v>20</v>
      </c>
      <c r="E34" s="89"/>
      <c r="F34" s="89"/>
      <c r="G34" s="178"/>
      <c r="H34" s="177"/>
      <c r="I34" s="88">
        <v>0.75</v>
      </c>
      <c r="J34" s="88">
        <v>0.75</v>
      </c>
      <c r="K34" s="88">
        <v>0.66</v>
      </c>
      <c r="L34" s="88">
        <v>0.5</v>
      </c>
      <c r="M34" s="88">
        <v>0.5</v>
      </c>
      <c r="N34" s="89"/>
      <c r="O34" s="178"/>
      <c r="P34" s="177"/>
      <c r="Q34" s="89"/>
      <c r="R34" s="89"/>
      <c r="S34" s="89"/>
      <c r="T34" s="89"/>
      <c r="U34" s="279" t="s">
        <v>1575</v>
      </c>
      <c r="V34" s="89"/>
      <c r="W34" s="279" t="s">
        <v>1575</v>
      </c>
      <c r="X34" s="279" t="s">
        <v>1575</v>
      </c>
      <c r="Y34" s="178"/>
      <c r="Z34" s="177"/>
      <c r="AA34" s="89"/>
      <c r="AB34" s="92">
        <v>1</v>
      </c>
      <c r="AC34" s="178"/>
      <c r="AG34" s="87"/>
      <c r="AH34" s="87"/>
      <c r="AI34" s="87"/>
      <c r="AJ34" s="87"/>
    </row>
    <row r="35" spans="1:36" x14ac:dyDescent="0.25">
      <c r="A35" s="84">
        <v>13</v>
      </c>
      <c r="B35" s="214" t="s">
        <v>1445</v>
      </c>
      <c r="C35" s="85">
        <v>18</v>
      </c>
      <c r="D35" s="85">
        <v>20</v>
      </c>
      <c r="E35" s="89"/>
      <c r="F35" s="89"/>
      <c r="G35" s="178"/>
      <c r="H35" s="177"/>
      <c r="I35" s="88">
        <v>0.75</v>
      </c>
      <c r="J35" s="88">
        <v>0.75</v>
      </c>
      <c r="K35" s="88">
        <v>0.66</v>
      </c>
      <c r="L35" s="88">
        <v>0.5</v>
      </c>
      <c r="M35" s="88">
        <v>0.5</v>
      </c>
      <c r="N35" s="89"/>
      <c r="O35" s="178"/>
      <c r="P35" s="177"/>
      <c r="Q35" s="89"/>
      <c r="R35" s="89"/>
      <c r="S35" s="89"/>
      <c r="T35" s="89"/>
      <c r="U35" s="279" t="s">
        <v>1575</v>
      </c>
      <c r="V35" s="89"/>
      <c r="W35" s="279" t="s">
        <v>1575</v>
      </c>
      <c r="X35" s="279" t="s">
        <v>1575</v>
      </c>
      <c r="Y35" s="148"/>
      <c r="Z35" s="177"/>
      <c r="AA35" s="89"/>
      <c r="AB35" s="92">
        <v>1</v>
      </c>
      <c r="AC35" s="178"/>
      <c r="AG35" s="87"/>
      <c r="AH35" s="87"/>
      <c r="AI35" s="87"/>
      <c r="AJ35" s="87"/>
    </row>
    <row r="36" spans="1:36" x14ac:dyDescent="0.25">
      <c r="A36" s="84">
        <v>14</v>
      </c>
      <c r="B36" s="214" t="s">
        <v>1446</v>
      </c>
      <c r="C36" s="85">
        <v>18</v>
      </c>
      <c r="D36" s="85">
        <v>36</v>
      </c>
      <c r="E36" s="89"/>
      <c r="F36" s="91" t="s">
        <v>650</v>
      </c>
      <c r="G36" s="30" t="s">
        <v>226</v>
      </c>
      <c r="H36" s="177"/>
      <c r="I36" s="88">
        <v>0.75</v>
      </c>
      <c r="J36" s="88">
        <v>0.75</v>
      </c>
      <c r="K36" s="88">
        <v>0.66</v>
      </c>
      <c r="L36" s="88">
        <v>0.5</v>
      </c>
      <c r="M36" s="88">
        <v>0.5</v>
      </c>
      <c r="N36" s="89"/>
      <c r="O36" s="178"/>
      <c r="P36" s="177"/>
      <c r="Q36" s="89"/>
      <c r="R36" s="85" t="s">
        <v>1485</v>
      </c>
      <c r="S36" s="85" t="s">
        <v>1485</v>
      </c>
      <c r="T36" s="85" t="s">
        <v>1576</v>
      </c>
      <c r="U36" s="279" t="s">
        <v>1575</v>
      </c>
      <c r="V36" s="89"/>
      <c r="W36" s="279" t="s">
        <v>1575</v>
      </c>
      <c r="X36" s="279" t="s">
        <v>1575</v>
      </c>
      <c r="Y36" s="148"/>
      <c r="Z36" s="177"/>
      <c r="AA36" s="89"/>
      <c r="AB36" s="92">
        <v>1</v>
      </c>
      <c r="AC36" s="178"/>
      <c r="AG36" s="87"/>
      <c r="AH36" s="87"/>
      <c r="AI36" s="87"/>
      <c r="AJ36" s="87"/>
    </row>
    <row r="37" spans="1:36" ht="15.75" thickBot="1" x14ac:dyDescent="0.3">
      <c r="A37" s="84">
        <v>15</v>
      </c>
      <c r="B37" s="215" t="s">
        <v>1447</v>
      </c>
      <c r="C37" s="168">
        <v>27</v>
      </c>
      <c r="D37" s="169">
        <v>20</v>
      </c>
      <c r="E37" s="170"/>
      <c r="F37" s="170"/>
      <c r="G37" s="33" t="s">
        <v>225</v>
      </c>
      <c r="H37" s="182"/>
      <c r="I37" s="171">
        <v>0.75</v>
      </c>
      <c r="J37" s="170"/>
      <c r="K37" s="170"/>
      <c r="L37" s="170"/>
      <c r="M37" s="170"/>
      <c r="N37" s="171">
        <v>0.5</v>
      </c>
      <c r="O37" s="183"/>
      <c r="P37" s="182"/>
      <c r="Q37" s="170"/>
      <c r="R37" s="170"/>
      <c r="S37" s="170"/>
      <c r="T37" s="170"/>
      <c r="U37" s="282" t="s">
        <v>1575</v>
      </c>
      <c r="V37" s="170"/>
      <c r="W37" s="282" t="s">
        <v>1575</v>
      </c>
      <c r="X37" s="282" t="s">
        <v>1575</v>
      </c>
      <c r="Y37" s="183"/>
      <c r="Z37" s="182"/>
      <c r="AA37" s="170"/>
      <c r="AB37" s="170"/>
      <c r="AC37" s="183"/>
      <c r="AG37" s="87"/>
      <c r="AH37" s="87"/>
      <c r="AI37" s="87"/>
      <c r="AJ37" s="87"/>
    </row>
    <row r="38" spans="1:36" x14ac:dyDescent="0.25">
      <c r="AG38" s="87"/>
    </row>
    <row r="40" spans="1:36" ht="15.75" thickBot="1" x14ac:dyDescent="0.3"/>
    <row r="41" spans="1:36" ht="15.75" thickBot="1" x14ac:dyDescent="0.3">
      <c r="B41" s="292"/>
      <c r="C41" s="911" t="s">
        <v>1546</v>
      </c>
      <c r="D41" s="911"/>
      <c r="E41" s="911"/>
      <c r="F41" s="911"/>
      <c r="G41" s="911"/>
      <c r="H41" s="911"/>
      <c r="I41" s="911"/>
      <c r="J41" s="911"/>
      <c r="K41" s="912"/>
    </row>
    <row r="42" spans="1:36" ht="60.75" thickBot="1" x14ac:dyDescent="0.3">
      <c r="B42" s="291" t="s">
        <v>29</v>
      </c>
      <c r="C42" s="283" t="s">
        <v>1518</v>
      </c>
      <c r="D42" s="277" t="s">
        <v>25</v>
      </c>
      <c r="E42" s="277" t="s">
        <v>1548</v>
      </c>
      <c r="F42" s="277" t="s">
        <v>1520</v>
      </c>
      <c r="G42" s="277" t="s">
        <v>1523</v>
      </c>
      <c r="H42" s="277" t="s">
        <v>26</v>
      </c>
      <c r="I42" s="277" t="s">
        <v>27</v>
      </c>
      <c r="J42" s="277" t="s">
        <v>1549</v>
      </c>
      <c r="K42" s="278" t="s">
        <v>185</v>
      </c>
    </row>
    <row r="43" spans="1:36" x14ac:dyDescent="0.25">
      <c r="A43" s="84">
        <v>1</v>
      </c>
      <c r="B43" s="288" t="s">
        <v>1433</v>
      </c>
      <c r="C43" s="284">
        <v>0.1</v>
      </c>
      <c r="D43" s="273"/>
      <c r="E43" s="273"/>
      <c r="F43" s="273"/>
      <c r="G43" s="274">
        <v>0.05</v>
      </c>
      <c r="H43" s="273"/>
      <c r="I43" s="273"/>
      <c r="J43" s="275"/>
      <c r="K43" s="276"/>
    </row>
    <row r="44" spans="1:36" x14ac:dyDescent="0.25">
      <c r="A44" s="84">
        <v>2</v>
      </c>
      <c r="B44" s="289" t="s">
        <v>1434</v>
      </c>
      <c r="C44" s="285">
        <v>-0.05</v>
      </c>
      <c r="D44" s="200">
        <v>0.05</v>
      </c>
      <c r="E44" s="200">
        <v>0.05</v>
      </c>
      <c r="F44" s="201"/>
      <c r="G44" s="201"/>
      <c r="H44" s="200">
        <v>0.05</v>
      </c>
      <c r="I44" s="200">
        <v>0.05</v>
      </c>
      <c r="J44" s="217">
        <v>0.05</v>
      </c>
      <c r="K44" s="187"/>
    </row>
    <row r="45" spans="1:36" x14ac:dyDescent="0.25">
      <c r="A45" s="84">
        <v>3</v>
      </c>
      <c r="B45" s="289" t="s">
        <v>1435</v>
      </c>
      <c r="C45" s="285">
        <v>0.05</v>
      </c>
      <c r="D45" s="200">
        <v>-0.05</v>
      </c>
      <c r="E45" s="201"/>
      <c r="F45" s="200">
        <v>0.05</v>
      </c>
      <c r="G45" s="200">
        <v>0.1</v>
      </c>
      <c r="H45" s="200">
        <v>0.05</v>
      </c>
      <c r="I45" s="201"/>
      <c r="J45" s="216"/>
      <c r="K45" s="187"/>
    </row>
    <row r="46" spans="1:36" x14ac:dyDescent="0.25">
      <c r="A46" s="84">
        <v>4</v>
      </c>
      <c r="B46" s="289" t="s">
        <v>1436</v>
      </c>
      <c r="C46" s="285">
        <v>0.05</v>
      </c>
      <c r="D46" s="200">
        <v>-0.05</v>
      </c>
      <c r="E46" s="201"/>
      <c r="F46" s="200">
        <v>0.05</v>
      </c>
      <c r="G46" s="200">
        <v>0.1</v>
      </c>
      <c r="H46" s="200">
        <v>0.05</v>
      </c>
      <c r="I46" s="201"/>
      <c r="J46" s="216"/>
      <c r="K46" s="187"/>
    </row>
    <row r="47" spans="1:36" x14ac:dyDescent="0.25">
      <c r="A47" s="84">
        <v>5</v>
      </c>
      <c r="B47" s="289" t="s">
        <v>1437</v>
      </c>
      <c r="C47" s="285">
        <v>0.05</v>
      </c>
      <c r="D47" s="200">
        <v>-0.05</v>
      </c>
      <c r="E47" s="201"/>
      <c r="F47" s="200">
        <v>0.05</v>
      </c>
      <c r="G47" s="200">
        <v>0.1</v>
      </c>
      <c r="H47" s="200">
        <v>0.05</v>
      </c>
      <c r="I47" s="201"/>
      <c r="J47" s="216"/>
      <c r="K47" s="187"/>
    </row>
    <row r="48" spans="1:36" x14ac:dyDescent="0.25">
      <c r="A48" s="84">
        <v>6</v>
      </c>
      <c r="B48" s="289" t="s">
        <v>1438</v>
      </c>
      <c r="C48" s="285">
        <v>0.05</v>
      </c>
      <c r="D48" s="200">
        <v>-0.05</v>
      </c>
      <c r="E48" s="201"/>
      <c r="F48" s="200">
        <v>0.05</v>
      </c>
      <c r="G48" s="200">
        <v>0.1</v>
      </c>
      <c r="H48" s="200">
        <v>0.05</v>
      </c>
      <c r="I48" s="201"/>
      <c r="J48" s="216"/>
      <c r="K48" s="187"/>
    </row>
    <row r="49" spans="1:32" x14ac:dyDescent="0.25">
      <c r="A49" s="84">
        <v>7</v>
      </c>
      <c r="B49" s="289" t="s">
        <v>1439</v>
      </c>
      <c r="C49" s="285">
        <v>0.05</v>
      </c>
      <c r="D49" s="200">
        <v>-0.05</v>
      </c>
      <c r="E49" s="201"/>
      <c r="F49" s="200">
        <v>0.05</v>
      </c>
      <c r="G49" s="200">
        <v>0.1</v>
      </c>
      <c r="H49" s="200">
        <v>0.05</v>
      </c>
      <c r="I49" s="201"/>
      <c r="J49" s="216"/>
      <c r="K49" s="187"/>
    </row>
    <row r="50" spans="1:32" x14ac:dyDescent="0.25">
      <c r="A50" s="84">
        <v>8</v>
      </c>
      <c r="B50" s="289" t="s">
        <v>1440</v>
      </c>
      <c r="C50" s="286"/>
      <c r="D50" s="200">
        <v>0.05</v>
      </c>
      <c r="E50" s="200">
        <v>0.1</v>
      </c>
      <c r="F50" s="200">
        <v>0.05</v>
      </c>
      <c r="G50" s="200">
        <v>0.05</v>
      </c>
      <c r="H50" s="200">
        <v>0.1</v>
      </c>
      <c r="I50" s="200">
        <v>-0.15</v>
      </c>
      <c r="J50" s="216"/>
      <c r="K50" s="187"/>
    </row>
    <row r="51" spans="1:32" x14ac:dyDescent="0.25">
      <c r="A51" s="84">
        <v>9</v>
      </c>
      <c r="B51" s="289" t="s">
        <v>1441</v>
      </c>
      <c r="C51" s="286"/>
      <c r="D51" s="200">
        <v>0.05</v>
      </c>
      <c r="E51" s="200">
        <v>0.1</v>
      </c>
      <c r="F51" s="200">
        <v>0.05</v>
      </c>
      <c r="G51" s="200">
        <v>0.05</v>
      </c>
      <c r="H51" s="200">
        <v>0.1</v>
      </c>
      <c r="I51" s="200">
        <v>-0.15</v>
      </c>
      <c r="J51" s="216"/>
      <c r="K51" s="187"/>
    </row>
    <row r="52" spans="1:32" x14ac:dyDescent="0.25">
      <c r="A52" s="84">
        <v>10</v>
      </c>
      <c r="B52" s="289" t="s">
        <v>1442</v>
      </c>
      <c r="C52" s="285">
        <v>0.05</v>
      </c>
      <c r="D52" s="200">
        <v>-0.05</v>
      </c>
      <c r="E52" s="201"/>
      <c r="F52" s="200">
        <v>0.05</v>
      </c>
      <c r="G52" s="200">
        <v>0.1</v>
      </c>
      <c r="H52" s="200">
        <v>0.05</v>
      </c>
      <c r="I52" s="201"/>
      <c r="J52" s="216"/>
      <c r="K52" s="187"/>
    </row>
    <row r="53" spans="1:32" x14ac:dyDescent="0.25">
      <c r="A53" s="84">
        <v>11</v>
      </c>
      <c r="B53" s="289" t="s">
        <v>1443</v>
      </c>
      <c r="C53" s="286"/>
      <c r="D53" s="201"/>
      <c r="E53" s="201"/>
      <c r="F53" s="201"/>
      <c r="G53" s="201"/>
      <c r="H53" s="201"/>
      <c r="I53" s="201"/>
      <c r="J53" s="216"/>
      <c r="K53" s="187"/>
    </row>
    <row r="54" spans="1:32" x14ac:dyDescent="0.25">
      <c r="A54" s="84">
        <v>12</v>
      </c>
      <c r="B54" s="289" t="s">
        <v>1444</v>
      </c>
      <c r="C54" s="286"/>
      <c r="D54" s="200">
        <v>0.1</v>
      </c>
      <c r="E54" s="200">
        <v>0.15</v>
      </c>
      <c r="F54" s="201"/>
      <c r="G54" s="201"/>
      <c r="H54" s="201"/>
      <c r="I54" s="200">
        <v>-0.1</v>
      </c>
      <c r="J54" s="217">
        <v>-0.05</v>
      </c>
      <c r="K54" s="187"/>
    </row>
    <row r="55" spans="1:32" x14ac:dyDescent="0.25">
      <c r="A55" s="84">
        <v>13</v>
      </c>
      <c r="B55" s="289" t="s">
        <v>1445</v>
      </c>
      <c r="C55" s="286"/>
      <c r="D55" s="200">
        <v>0.1</v>
      </c>
      <c r="E55" s="200">
        <v>0.15</v>
      </c>
      <c r="F55" s="201"/>
      <c r="G55" s="201"/>
      <c r="H55" s="201"/>
      <c r="I55" s="200">
        <v>-0.1</v>
      </c>
      <c r="J55" s="217">
        <v>-0.05</v>
      </c>
      <c r="K55" s="187"/>
    </row>
    <row r="56" spans="1:32" x14ac:dyDescent="0.25">
      <c r="A56" s="84">
        <v>14</v>
      </c>
      <c r="B56" s="289" t="s">
        <v>1446</v>
      </c>
      <c r="C56" s="286"/>
      <c r="D56" s="200">
        <v>0.1</v>
      </c>
      <c r="E56" s="200">
        <v>0.15</v>
      </c>
      <c r="F56" s="201"/>
      <c r="G56" s="201"/>
      <c r="H56" s="201"/>
      <c r="I56" s="200">
        <v>-0.1</v>
      </c>
      <c r="J56" s="217">
        <v>-0.05</v>
      </c>
      <c r="K56" s="187"/>
    </row>
    <row r="57" spans="1:32" ht="15.75" thickBot="1" x14ac:dyDescent="0.3">
      <c r="A57" s="84">
        <v>15</v>
      </c>
      <c r="B57" s="290" t="s">
        <v>1447</v>
      </c>
      <c r="C57" s="287">
        <v>0.05</v>
      </c>
      <c r="D57" s="202">
        <v>0.05</v>
      </c>
      <c r="E57" s="202">
        <v>0.05</v>
      </c>
      <c r="F57" s="202">
        <v>0.1</v>
      </c>
      <c r="G57" s="202">
        <v>0.15</v>
      </c>
      <c r="H57" s="202">
        <v>0.05</v>
      </c>
      <c r="I57" s="202">
        <v>-0.15</v>
      </c>
      <c r="J57" s="218">
        <v>-0.05</v>
      </c>
      <c r="K57" s="219"/>
    </row>
    <row r="61" spans="1:32" x14ac:dyDescent="0.25">
      <c r="B61" s="144" t="s">
        <v>1880</v>
      </c>
    </row>
    <row r="62" spans="1:32" s="144" customFormat="1" x14ac:dyDescent="0.25">
      <c r="B62" s="519" t="s">
        <v>29</v>
      </c>
      <c r="C62" s="525" t="s">
        <v>1433</v>
      </c>
      <c r="D62" s="525" t="s">
        <v>1434</v>
      </c>
      <c r="E62" s="525" t="s">
        <v>1435</v>
      </c>
      <c r="F62" s="525" t="s">
        <v>1436</v>
      </c>
      <c r="G62" s="525" t="s">
        <v>1437</v>
      </c>
      <c r="H62" s="525" t="s">
        <v>1438</v>
      </c>
      <c r="I62" s="525" t="s">
        <v>1439</v>
      </c>
      <c r="J62" s="525" t="s">
        <v>1440</v>
      </c>
      <c r="K62" s="525" t="s">
        <v>1441</v>
      </c>
      <c r="L62" s="525" t="s">
        <v>1442</v>
      </c>
      <c r="M62" s="525" t="s">
        <v>1443</v>
      </c>
      <c r="N62" s="525" t="s">
        <v>1444</v>
      </c>
      <c r="O62" s="525" t="s">
        <v>1445</v>
      </c>
      <c r="P62" s="525" t="s">
        <v>1446</v>
      </c>
      <c r="Q62" s="525" t="s">
        <v>1447</v>
      </c>
      <c r="R62" s="526"/>
      <c r="S62" s="528" t="str">
        <f>RACE</f>
        <v>Demi-elfe</v>
      </c>
      <c r="T62" s="527"/>
      <c r="U62" s="525"/>
      <c r="V62" s="526"/>
      <c r="W62" s="526"/>
      <c r="X62" s="526"/>
      <c r="Y62" s="526"/>
      <c r="Z62" s="526"/>
      <c r="AA62" s="526"/>
      <c r="AB62" s="526"/>
      <c r="AC62" s="526"/>
      <c r="AD62" s="526"/>
      <c r="AE62" s="526"/>
      <c r="AF62" s="526"/>
    </row>
    <row r="63" spans="1:32" x14ac:dyDescent="0.25">
      <c r="B63" s="519" t="s">
        <v>248</v>
      </c>
      <c r="C63" s="522" t="s">
        <v>248</v>
      </c>
      <c r="D63" s="522" t="s">
        <v>248</v>
      </c>
      <c r="E63" s="522" t="s">
        <v>248</v>
      </c>
      <c r="F63" s="522" t="s">
        <v>248</v>
      </c>
      <c r="G63" s="522" t="s">
        <v>248</v>
      </c>
      <c r="H63" s="522" t="s">
        <v>248</v>
      </c>
      <c r="I63" s="523"/>
      <c r="J63" s="522" t="s">
        <v>248</v>
      </c>
      <c r="K63" s="522" t="s">
        <v>248</v>
      </c>
      <c r="L63" s="522" t="s">
        <v>248</v>
      </c>
      <c r="M63" s="522" t="s">
        <v>248</v>
      </c>
      <c r="N63" s="522" t="s">
        <v>248</v>
      </c>
      <c r="O63" s="522" t="s">
        <v>248</v>
      </c>
      <c r="P63" s="522" t="s">
        <v>248</v>
      </c>
      <c r="Q63" s="522" t="s">
        <v>248</v>
      </c>
      <c r="S63" s="524" t="str">
        <f>IF(S62=C62,C63,IF(S62=D62,D63,IF(S62=E62,E63,IF(S62=F62,F63,IF(S62=G62,G63,IF(S62=H62,H63,IF(S62=I62,I64,IF(S62=J62,J63,IF(S62=K62,K63,IF(S62=L62,L63,IF(S62=M62,M63,IF(S62=N62,N63,IF(S62=O62,O63,IF(S62=P62,P63,IF(S62=Q62,Q63)))))))))))))))</f>
        <v>Clerc</v>
      </c>
      <c r="T63" s="524"/>
      <c r="U63" s="520">
        <v>1</v>
      </c>
    </row>
    <row r="64" spans="1:32" x14ac:dyDescent="0.25">
      <c r="B64" s="519" t="s">
        <v>61</v>
      </c>
      <c r="C64" s="522" t="s">
        <v>61</v>
      </c>
      <c r="D64" s="522" t="s">
        <v>61</v>
      </c>
      <c r="E64" s="522" t="s">
        <v>61</v>
      </c>
      <c r="F64" s="522" t="s">
        <v>61</v>
      </c>
      <c r="G64" s="522" t="s">
        <v>61</v>
      </c>
      <c r="H64" s="523"/>
      <c r="I64" s="522" t="s">
        <v>61</v>
      </c>
      <c r="J64" s="523"/>
      <c r="K64" s="523"/>
      <c r="L64" s="522" t="s">
        <v>61</v>
      </c>
      <c r="M64" s="522" t="s">
        <v>61</v>
      </c>
      <c r="N64" s="523"/>
      <c r="O64" s="523"/>
      <c r="P64" s="523"/>
      <c r="Q64" s="522" t="s">
        <v>61</v>
      </c>
      <c r="S64" s="524" t="str">
        <f>IF(S62=C62,C64,IF(S62=D62,D64,IF(S62=E62,E64,IF(S62=F62,F64,IF(S62=G62,G64,IF(S62=H62,H65,IF(S62=I62,I65,IF(S62=J62,J65,IF(S62=K62,K65,IF(S62=L62,L64,IF(S62=M62,M64,IF(S62=N62,N65,IF(S62=O62,O65,IF(S62=P62,P65,IF(S62=Q62,Q64)))))))))))))))</f>
        <v>Druide</v>
      </c>
      <c r="T64" s="524"/>
      <c r="U64" s="520">
        <v>2</v>
      </c>
    </row>
    <row r="65" spans="2:21" x14ac:dyDescent="0.25">
      <c r="B65" s="519" t="s">
        <v>62</v>
      </c>
      <c r="C65" s="522" t="s">
        <v>62</v>
      </c>
      <c r="D65" s="522" t="s">
        <v>62</v>
      </c>
      <c r="E65" s="522" t="s">
        <v>62</v>
      </c>
      <c r="F65" s="522" t="s">
        <v>62</v>
      </c>
      <c r="G65" s="522" t="s">
        <v>62</v>
      </c>
      <c r="H65" s="522" t="s">
        <v>62</v>
      </c>
      <c r="I65" s="522" t="s">
        <v>62</v>
      </c>
      <c r="J65" s="522" t="s">
        <v>62</v>
      </c>
      <c r="K65" s="522" t="s">
        <v>62</v>
      </c>
      <c r="L65" s="522" t="s">
        <v>62</v>
      </c>
      <c r="M65" s="522" t="s">
        <v>62</v>
      </c>
      <c r="N65" s="522" t="s">
        <v>62</v>
      </c>
      <c r="O65" s="522" t="s">
        <v>62</v>
      </c>
      <c r="P65" s="522" t="s">
        <v>62</v>
      </c>
      <c r="Q65" s="522" t="s">
        <v>62</v>
      </c>
      <c r="S65" s="524" t="str">
        <f>IF(S62=C62,C65,IF(S62=D62,D65,IF(S62=E62,E65,IF(S62=F62,F65,IF(S62=G62,G65,IF(S62=H62,H66,IF(S62=I62,I72,IF(S62=J62,J71,IF(S62=K62,K71,IF(S62=L62,L65,IF(S62=M62,M65,IF(S62=N62,N72,IF(S62=O62,O72,IF(S62=P62,P72,IF(S62=Q62,Q65)))))))))))))))</f>
        <v>Guerrier</v>
      </c>
      <c r="T65" s="524"/>
      <c r="U65" s="520">
        <v>3</v>
      </c>
    </row>
    <row r="66" spans="2:21" x14ac:dyDescent="0.25">
      <c r="B66" s="519" t="s">
        <v>94</v>
      </c>
      <c r="C66" s="522" t="s">
        <v>94</v>
      </c>
      <c r="D66" s="522" t="s">
        <v>94</v>
      </c>
      <c r="E66" s="522" t="s">
        <v>94</v>
      </c>
      <c r="F66" s="522" t="s">
        <v>94</v>
      </c>
      <c r="G66" s="522" t="s">
        <v>94</v>
      </c>
      <c r="H66" s="522" t="s">
        <v>94</v>
      </c>
      <c r="I66" s="523"/>
      <c r="J66" s="523"/>
      <c r="K66" s="523"/>
      <c r="L66" s="522" t="s">
        <v>94</v>
      </c>
      <c r="M66" s="522" t="s">
        <v>94</v>
      </c>
      <c r="N66" s="523"/>
      <c r="O66" s="523"/>
      <c r="P66" s="523"/>
      <c r="Q66" s="523"/>
      <c r="S66" s="524" t="str">
        <f>IF(S62=C62,C66,IF(S62=D62,D66,IF(S62=E62,E66,IF(S62=F62,F66,IF(S62=G62,G66,IF(S62=H62,H69,IF(S62=I62,I73,IF(S62=J62,J72,IF(S62=K62,K72,IF(S62=L62,L66,IF(S62=M62,M66,IF(S62=N62,N73,IF(S62=O62,O73,IF(S62=P62,P73,IF(S62=Q62,Q72)))))))))))))))</f>
        <v>Ranger</v>
      </c>
      <c r="T66" s="524"/>
      <c r="U66" s="520">
        <v>4</v>
      </c>
    </row>
    <row r="67" spans="2:21" x14ac:dyDescent="0.25">
      <c r="B67" s="519" t="s">
        <v>86</v>
      </c>
      <c r="C67" s="522" t="s">
        <v>86</v>
      </c>
      <c r="D67" s="523"/>
      <c r="E67" s="523"/>
      <c r="F67" s="523"/>
      <c r="G67" s="523"/>
      <c r="H67" s="523"/>
      <c r="I67" s="523"/>
      <c r="J67" s="523"/>
      <c r="K67" s="523"/>
      <c r="L67" s="523"/>
      <c r="M67" s="522" t="s">
        <v>86</v>
      </c>
      <c r="N67" s="523"/>
      <c r="O67" s="523"/>
      <c r="P67" s="523"/>
      <c r="Q67" s="523"/>
      <c r="S67" s="524" t="str">
        <f>IF(S62=C62,C67,IF(S62=D62,D70,IF(S62=E62,E70,IF(S62=F62,F69,IF(S62=G62,G69,IF(S62=H62,H70,IF(S62=I62,I74,IF(S62=J62,J73,IF(S62=K62,K73,IF(S62=L62,L69,IF(S62=M62,M67,IF(S62=N62,N74,IF(S62=O62,O74,IF(S62=P62,P74,IF(S62=Q62,Q73)))))))))))))))</f>
        <v>Paladin</v>
      </c>
      <c r="T67" s="524"/>
      <c r="U67" s="520">
        <v>5</v>
      </c>
    </row>
    <row r="68" spans="2:21" x14ac:dyDescent="0.25">
      <c r="B68" s="519" t="s">
        <v>1449</v>
      </c>
      <c r="C68" s="523"/>
      <c r="D68" s="523"/>
      <c r="E68" s="523"/>
      <c r="F68" s="523"/>
      <c r="G68" s="523"/>
      <c r="H68" s="523"/>
      <c r="I68" s="523"/>
      <c r="J68" s="523"/>
      <c r="K68" s="523"/>
      <c r="L68" s="523"/>
      <c r="M68" s="522" t="s">
        <v>1449</v>
      </c>
      <c r="N68" s="523"/>
      <c r="O68" s="523"/>
      <c r="P68" s="523"/>
      <c r="Q68" s="523"/>
      <c r="S68" s="524" t="str">
        <f>IF(S62=C62,C70,IF(S62=D62,D72,IF(S62=E62,E72,IF(S62=F62,F70,IF(S62=G62,G70,IF(S62=H62,H72,IF(S62=I62,I89,IF(S62=J62,J74,IF(S62=K62,K74,IF(S62=L62,L70,IF(S62=M62,M68,IF(S62=N62,N77,IF(S62=O62,O77,IF(S62=P62,P77,IF(S62=Q62,Q77)))))))))))))))</f>
        <v>Magicien</v>
      </c>
      <c r="T68" s="524"/>
      <c r="U68" s="520">
        <v>6</v>
      </c>
    </row>
    <row r="69" spans="2:21" x14ac:dyDescent="0.25">
      <c r="B69" s="519" t="s">
        <v>1450</v>
      </c>
      <c r="C69" s="523"/>
      <c r="D69" s="523"/>
      <c r="E69" s="523"/>
      <c r="F69" s="522" t="s">
        <v>1450</v>
      </c>
      <c r="G69" s="522" t="s">
        <v>1450</v>
      </c>
      <c r="H69" s="522" t="s">
        <v>1450</v>
      </c>
      <c r="I69" s="523"/>
      <c r="J69" s="523"/>
      <c r="K69" s="523"/>
      <c r="L69" s="522" t="s">
        <v>1450</v>
      </c>
      <c r="M69" s="522" t="s">
        <v>1450</v>
      </c>
      <c r="N69" s="523"/>
      <c r="O69" s="523"/>
      <c r="P69" s="523"/>
      <c r="Q69" s="523"/>
      <c r="S69" s="524" t="str">
        <f>IF(S62=C62,C72,IF(S62=D62,D73,IF(S62=E62,E73,IF(S62=F62,F72,IF(S62=G62,G72,IF(S62=H62,H73,IF(S62=I62,"",IF(S62=J62,J77,IF(S62=K62,K77,IF(S62=L62,L72,IF(S62=M62,M69,IF(S62=N62,N89,IF(S62=O62,O89,IF(S62=P62,P81,IF(S62=Q62,Q81)))))))))))))))</f>
        <v>Voleur</v>
      </c>
      <c r="T69" s="524"/>
      <c r="U69" s="520">
        <v>7</v>
      </c>
    </row>
    <row r="70" spans="2:21" x14ac:dyDescent="0.25">
      <c r="B70" s="519" t="s">
        <v>102</v>
      </c>
      <c r="C70" s="522" t="s">
        <v>102</v>
      </c>
      <c r="D70" s="522" t="s">
        <v>102</v>
      </c>
      <c r="E70" s="522" t="s">
        <v>102</v>
      </c>
      <c r="F70" s="522" t="s">
        <v>102</v>
      </c>
      <c r="G70" s="522" t="s">
        <v>102</v>
      </c>
      <c r="H70" s="522" t="s">
        <v>102</v>
      </c>
      <c r="I70" s="523"/>
      <c r="J70" s="523"/>
      <c r="K70" s="523"/>
      <c r="L70" s="522" t="s">
        <v>102</v>
      </c>
      <c r="M70" s="522" t="s">
        <v>102</v>
      </c>
      <c r="N70" s="523"/>
      <c r="O70" s="523"/>
      <c r="P70" s="523"/>
      <c r="Q70" s="523"/>
      <c r="S70" s="524" t="str">
        <f>IF(S62=C62,C74,IF(S62=D62,D74,IF(S62=E62,E74,IF(S62=F62,F73,IF(S62=G62,G73,IF(S62=H62,H74,IF(S62=I62,"",IF(S62=J62,J80,IF(S62=K62,K80,IF(S62=L62,L73,IF(S62=M62,M70,IF(S62=N62,"",IF(S62=O62,"",IF(S62=P62,P82,IF(S62=Q62,Q83)))))))))))))))</f>
        <v>Assassin</v>
      </c>
      <c r="T70" s="524"/>
      <c r="U70" s="520">
        <v>8</v>
      </c>
    </row>
    <row r="71" spans="2:21" x14ac:dyDescent="0.25">
      <c r="B71" s="519" t="s">
        <v>117</v>
      </c>
      <c r="C71" s="523"/>
      <c r="D71" s="523"/>
      <c r="E71" s="523"/>
      <c r="F71" s="523"/>
      <c r="G71" s="523"/>
      <c r="H71" s="523"/>
      <c r="I71" s="523"/>
      <c r="J71" s="522" t="s">
        <v>117</v>
      </c>
      <c r="K71" s="522" t="s">
        <v>117</v>
      </c>
      <c r="L71" s="523"/>
      <c r="M71" s="522" t="s">
        <v>117</v>
      </c>
      <c r="N71" s="523"/>
      <c r="O71" s="523"/>
      <c r="P71" s="523"/>
      <c r="Q71" s="523"/>
      <c r="S71" s="524" t="str">
        <f>IF(S62=C62,C75,IF(S62=D62,D77,IF(S62=E62,E77,IF(S62=F62,F74,IF(S62=G62,G74,IF(S62=H62,H77,IF(S62=I62,"",IF(S62=J62,J81,IF(S62=K62,K81,IF(S62=L62,L74,IF(S62=M62,M71,IF(S62=N62,"",IF(S62=O62,"",IF(S62=P62,P89,IF(S62=Q62,Q86)))))))))))))))</f>
        <v>Barde</v>
      </c>
      <c r="T71" s="524"/>
      <c r="U71" s="520">
        <v>9</v>
      </c>
    </row>
    <row r="72" spans="2:21" x14ac:dyDescent="0.25">
      <c r="B72" s="519" t="s">
        <v>126</v>
      </c>
      <c r="C72" s="522" t="s">
        <v>126</v>
      </c>
      <c r="D72" s="522" t="s">
        <v>126</v>
      </c>
      <c r="E72" s="522" t="s">
        <v>126</v>
      </c>
      <c r="F72" s="522" t="s">
        <v>126</v>
      </c>
      <c r="G72" s="522" t="s">
        <v>126</v>
      </c>
      <c r="H72" s="522" t="s">
        <v>126</v>
      </c>
      <c r="I72" s="522" t="s">
        <v>126</v>
      </c>
      <c r="J72" s="522" t="s">
        <v>126</v>
      </c>
      <c r="K72" s="522" t="s">
        <v>126</v>
      </c>
      <c r="L72" s="522" t="s">
        <v>126</v>
      </c>
      <c r="M72" s="522" t="s">
        <v>126</v>
      </c>
      <c r="N72" s="522" t="s">
        <v>126</v>
      </c>
      <c r="O72" s="522" t="s">
        <v>126</v>
      </c>
      <c r="P72" s="522" t="s">
        <v>126</v>
      </c>
      <c r="Q72" s="522" t="s">
        <v>126</v>
      </c>
      <c r="S72" s="524" t="str">
        <f>IF(S62=C62,C77,IF(S62=D62,D78,IF(S62=E62,E78,IF(S62=F62,F77,IF(S62=G62,G77,IF(S62=H62,H78,IF(S62=I62,"",IF(S62=J62,J88,IF(S62=K62,K82,IF(S62=L62,L77,IF(S62=M62,M72,IF(S62=N62,"",IF(S62=O62,"",IF(S62=P62,P90,IF(S62=Q62,Q89)))))))))))))))</f>
        <v>Clerc Guerrier</v>
      </c>
      <c r="T72" s="524"/>
      <c r="U72" s="520">
        <v>10</v>
      </c>
    </row>
    <row r="73" spans="2:21" x14ac:dyDescent="0.25">
      <c r="B73" s="519" t="s">
        <v>1867</v>
      </c>
      <c r="C73" s="523"/>
      <c r="D73" s="522" t="s">
        <v>1867</v>
      </c>
      <c r="E73" s="522" t="s">
        <v>1867</v>
      </c>
      <c r="F73" s="522" t="s">
        <v>1867</v>
      </c>
      <c r="G73" s="522" t="s">
        <v>1867</v>
      </c>
      <c r="H73" s="522" t="s">
        <v>1867</v>
      </c>
      <c r="I73" s="522" t="s">
        <v>1867</v>
      </c>
      <c r="J73" s="522" t="s">
        <v>1867</v>
      </c>
      <c r="K73" s="522" t="s">
        <v>1867</v>
      </c>
      <c r="L73" s="522" t="s">
        <v>1867</v>
      </c>
      <c r="M73" s="522" t="s">
        <v>1867</v>
      </c>
      <c r="N73" s="522" t="s">
        <v>1867</v>
      </c>
      <c r="O73" s="522" t="s">
        <v>1867</v>
      </c>
      <c r="P73" s="522" t="s">
        <v>1867</v>
      </c>
      <c r="Q73" s="522" t="s">
        <v>1867</v>
      </c>
      <c r="S73" s="524" t="str">
        <f>IF(S62=C62,C78,IF(S62=D62,D79,IF(S62=E62,E79,IF(S62=F62,F78,IF(S62=G62,G78,IF(S62=H62,H79,IF(S62=I62,"",IF(S62=J62,J89,IF(S62=K62,K88,IF(S62=L62,L78,IF(S62=M62,M73,IF(S62=N62,"",IF(S62=O62,"",IF(S62=P62,"",IF(S62=Q62,"")))))))))))))))</f>
        <v>Clerc Ranger</v>
      </c>
      <c r="T73" s="524"/>
      <c r="U73" s="520">
        <v>11</v>
      </c>
    </row>
    <row r="74" spans="2:21" x14ac:dyDescent="0.25">
      <c r="B74" s="519" t="s">
        <v>136</v>
      </c>
      <c r="C74" s="522" t="s">
        <v>136</v>
      </c>
      <c r="D74" s="522" t="s">
        <v>136</v>
      </c>
      <c r="E74" s="522" t="s">
        <v>136</v>
      </c>
      <c r="F74" s="522" t="s">
        <v>136</v>
      </c>
      <c r="G74" s="522" t="s">
        <v>136</v>
      </c>
      <c r="H74" s="522" t="s">
        <v>136</v>
      </c>
      <c r="I74" s="522" t="s">
        <v>136</v>
      </c>
      <c r="J74" s="522" t="s">
        <v>136</v>
      </c>
      <c r="K74" s="522" t="s">
        <v>136</v>
      </c>
      <c r="L74" s="522" t="s">
        <v>136</v>
      </c>
      <c r="M74" s="522" t="s">
        <v>136</v>
      </c>
      <c r="N74" s="522" t="s">
        <v>136</v>
      </c>
      <c r="O74" s="522" t="s">
        <v>136</v>
      </c>
      <c r="P74" s="522" t="s">
        <v>136</v>
      </c>
      <c r="Q74" s="523"/>
      <c r="S74" s="524" t="str">
        <f>IF(S62=C62,C79,IF(S62=D62,D81,IF(S62=E62,E81,IF(S62=F62,F79,IF(S62=G62,G79,IF(S62=H62,H81,IF(S62=I62,"",IF(S62=J62,J94,IF(S62=K62,K89,IF(S62=L62,L79,IF(S62=M62,M74,IF(S62=N62,"",IF(S62=O62,"",IF(S62=P62,"",IF(S62=Q62,"")))))))))))))))</f>
        <v>Clerc Magicien</v>
      </c>
      <c r="T74" s="524"/>
      <c r="U74" s="520">
        <v>12</v>
      </c>
    </row>
    <row r="75" spans="2:21" x14ac:dyDescent="0.25">
      <c r="B75" s="519" t="s">
        <v>361</v>
      </c>
      <c r="C75" s="522" t="s">
        <v>361</v>
      </c>
      <c r="D75" s="523"/>
      <c r="E75" s="523"/>
      <c r="F75" s="523"/>
      <c r="G75" s="523"/>
      <c r="H75" s="523"/>
      <c r="I75" s="523"/>
      <c r="J75" s="523"/>
      <c r="K75" s="523"/>
      <c r="L75" s="523"/>
      <c r="M75" s="522" t="s">
        <v>361</v>
      </c>
      <c r="N75" s="523"/>
      <c r="O75" s="523"/>
      <c r="P75" s="523"/>
      <c r="Q75" s="523"/>
      <c r="S75" s="524" t="str">
        <f>IF(S62=C62,C81,IF(S62=D62,D82,IF(S62=E62,E82,IF(S62=F62,F81,IF(S62=G62,G81,IF(S62=H62,H82,IF(S62=I62,"",IF(S62=J62,J95,IF(S62=K62,K90,IF(S62=L62,L81,IF(S62=M62,M75,IF(S62=N62,"",IF(S62=O62,"",IF(S62=P62,"",IF(S62=Q62,"")))))))))))))))</f>
        <v>Clerc Voleur</v>
      </c>
      <c r="T75" s="524"/>
      <c r="U75" s="520">
        <v>13</v>
      </c>
    </row>
    <row r="76" spans="2:21" x14ac:dyDescent="0.25">
      <c r="B76" s="519" t="s">
        <v>1451</v>
      </c>
      <c r="C76" s="523"/>
      <c r="D76" s="523"/>
      <c r="E76" s="523"/>
      <c r="F76" s="523"/>
      <c r="G76" s="523"/>
      <c r="H76" s="523"/>
      <c r="I76" s="523"/>
      <c r="J76" s="523"/>
      <c r="K76" s="523"/>
      <c r="L76" s="523"/>
      <c r="M76" s="522" t="s">
        <v>1451</v>
      </c>
      <c r="N76" s="523"/>
      <c r="O76" s="523"/>
      <c r="P76" s="523"/>
      <c r="Q76" s="523"/>
      <c r="S76" s="524" t="str">
        <f>IF(S62=C62,C82,IF(S62=D62,D83,IF(S62=E62,E83,IF(S62=F62,F82,IF(S62=G62,G82,IF(S62=H62,H87,IF(S62=I62,"",IF(S62=J62,"",IF(S62=K62,K94,IF(S62=L62,L82,IF(S62=M62,M76,IF(S62=N62,"",IF(S62=O62,"",IF(S62=P62,"",IF(S62=Q62,"")))))))))))))))</f>
        <v>Clerc Assassin</v>
      </c>
      <c r="T76" s="524"/>
      <c r="U76" s="520">
        <v>14</v>
      </c>
    </row>
    <row r="77" spans="2:21" x14ac:dyDescent="0.25">
      <c r="B77" s="519" t="s">
        <v>1453</v>
      </c>
      <c r="C77" s="522" t="s">
        <v>1453</v>
      </c>
      <c r="D77" s="522" t="s">
        <v>1453</v>
      </c>
      <c r="E77" s="522" t="s">
        <v>1453</v>
      </c>
      <c r="F77" s="522" t="s">
        <v>1453</v>
      </c>
      <c r="G77" s="522" t="s">
        <v>1453</v>
      </c>
      <c r="H77" s="522" t="s">
        <v>1453</v>
      </c>
      <c r="I77" s="523"/>
      <c r="J77" s="522" t="s">
        <v>1453</v>
      </c>
      <c r="K77" s="522" t="s">
        <v>1453</v>
      </c>
      <c r="L77" s="522" t="s">
        <v>1453</v>
      </c>
      <c r="M77" s="523"/>
      <c r="N77" s="522" t="s">
        <v>1453</v>
      </c>
      <c r="O77" s="522" t="s">
        <v>1453</v>
      </c>
      <c r="P77" s="522" t="s">
        <v>1453</v>
      </c>
      <c r="Q77" s="522" t="s">
        <v>1453</v>
      </c>
      <c r="S77" s="524" t="str">
        <f>IF(S62=C62,C87,IF(S62=D62,D84,IF(S62=E62,E84,IF(S62=F62,F83,IF(S62=G62,G83,IF(S62=H62,H89,IF(S62=I62,"",IF(S62=J62,"",IF(S62=K62,K95,IF(S62=L62,L83,IF(S62=M62,"",IF(S62=N62,"",IF(S62=O62,"",IF(S62=P62,"",IF(S62=Q62,"")))))))))))))))</f>
        <v>Guerrier Magicien</v>
      </c>
      <c r="T77" s="524"/>
      <c r="U77" s="520">
        <v>15</v>
      </c>
    </row>
    <row r="78" spans="2:21" x14ac:dyDescent="0.25">
      <c r="B78" s="519" t="s">
        <v>1454</v>
      </c>
      <c r="C78" s="522" t="s">
        <v>1454</v>
      </c>
      <c r="D78" s="522" t="s">
        <v>1454</v>
      </c>
      <c r="E78" s="522" t="s">
        <v>1454</v>
      </c>
      <c r="F78" s="522" t="s">
        <v>1454</v>
      </c>
      <c r="G78" s="522" t="s">
        <v>1454</v>
      </c>
      <c r="H78" s="522" t="s">
        <v>1454</v>
      </c>
      <c r="I78" s="523"/>
      <c r="J78" s="523"/>
      <c r="K78" s="523"/>
      <c r="L78" s="522" t="s">
        <v>1454</v>
      </c>
      <c r="M78" s="523"/>
      <c r="N78" s="523"/>
      <c r="O78" s="523"/>
      <c r="P78" s="523"/>
      <c r="Q78" s="523"/>
      <c r="S78" s="524" t="str">
        <f>IF(S62=C62,C90,IF(S62=D62,D85,IF(S62=E62,E85,IF(S62=F62,F84,IF(S62=G62,G84,IF(S62=H62,H90,IF(S62=I62,"",IF(S62=J62,"",IF(S62=K62,"",IF(S62=L62,L84,IF(S62=M62,"",IF(S62=N62,"",IF(S62=O62,"",IF(S62=P62,"",IF(S62=Q62,"")))))))))))))))</f>
        <v>Guerrier Assassin</v>
      </c>
      <c r="T78" s="524"/>
      <c r="U78" s="520">
        <v>16</v>
      </c>
    </row>
    <row r="79" spans="2:21" x14ac:dyDescent="0.25">
      <c r="B79" s="519" t="s">
        <v>1455</v>
      </c>
      <c r="C79" s="522" t="s">
        <v>1455</v>
      </c>
      <c r="D79" s="522" t="s">
        <v>1455</v>
      </c>
      <c r="E79" s="522" t="s">
        <v>1455</v>
      </c>
      <c r="F79" s="522" t="s">
        <v>1455</v>
      </c>
      <c r="G79" s="522" t="s">
        <v>1455</v>
      </c>
      <c r="H79" s="522" t="s">
        <v>1455</v>
      </c>
      <c r="I79" s="523"/>
      <c r="J79" s="523"/>
      <c r="K79" s="523"/>
      <c r="L79" s="522" t="s">
        <v>1455</v>
      </c>
      <c r="M79" s="523"/>
      <c r="N79" s="523"/>
      <c r="O79" s="523"/>
      <c r="P79" s="523"/>
      <c r="Q79" s="523"/>
      <c r="S79" s="524" t="str">
        <f>IF(S62=C62,C91,IF(S62=D62,D86,IF(S62=E62,E86,IF(S62=F62,F85,IF(S62=G62,G85,IF(S62=H62,H91,IF(S62=I62,"",IF(S62=J62,"",IF(S62=K62,"",IF(S62=L62,L85,IF(S62=M62,"",IF(S62=N62,"",IF(S62=O62,"",IF(S62=P62,"",IF(S62=Q62,"")))))))))))))))</f>
        <v>Ranger Magicien</v>
      </c>
      <c r="T79" s="524"/>
      <c r="U79" s="520">
        <v>17</v>
      </c>
    </row>
    <row r="80" spans="2:21" x14ac:dyDescent="0.25">
      <c r="B80" s="519" t="s">
        <v>1472</v>
      </c>
      <c r="C80" s="523"/>
      <c r="D80" s="523"/>
      <c r="E80" s="523"/>
      <c r="F80" s="523"/>
      <c r="G80" s="523"/>
      <c r="H80" s="523"/>
      <c r="I80" s="523"/>
      <c r="J80" s="522" t="s">
        <v>1472</v>
      </c>
      <c r="K80" s="522" t="s">
        <v>1472</v>
      </c>
      <c r="L80" s="523"/>
      <c r="M80" s="523"/>
      <c r="N80" s="523"/>
      <c r="O80" s="523"/>
      <c r="P80" s="523"/>
      <c r="Q80" s="523"/>
      <c r="S80" s="524" t="str">
        <f>IF(S62=C62,C92,IF(S62=D62,D87,IF(S62=E62,E87,IF(S62=F62,F86,IF(S62=G62,G86,IF(S62=H62,H92,IF(S62=I62,"",IF(S62=J62,"",IF(S62=K62,"",IF(S62=L62,L86,IF(S62=M62,"",IF(S62=N62,"",IF(S62=O62,"",IF(S62=P62,"",IF(S62=Q62,"")))))))))))))))</f>
        <v>Magicien Voleur</v>
      </c>
      <c r="T80" s="524"/>
      <c r="U80" s="520">
        <v>18</v>
      </c>
    </row>
    <row r="81" spans="2:21" x14ac:dyDescent="0.25">
      <c r="B81" s="519" t="s">
        <v>1456</v>
      </c>
      <c r="C81" s="522" t="s">
        <v>1456</v>
      </c>
      <c r="D81" s="522" t="s">
        <v>1456</v>
      </c>
      <c r="E81" s="522" t="s">
        <v>1456</v>
      </c>
      <c r="F81" s="522" t="s">
        <v>1456</v>
      </c>
      <c r="G81" s="522" t="s">
        <v>1456</v>
      </c>
      <c r="H81" s="522" t="s">
        <v>1456</v>
      </c>
      <c r="I81" s="523"/>
      <c r="J81" s="522" t="s">
        <v>1456</v>
      </c>
      <c r="K81" s="522" t="s">
        <v>1456</v>
      </c>
      <c r="L81" s="522" t="s">
        <v>1456</v>
      </c>
      <c r="M81" s="523"/>
      <c r="N81" s="523"/>
      <c r="O81" s="523"/>
      <c r="P81" s="522" t="s">
        <v>1456</v>
      </c>
      <c r="Q81" s="522" t="s">
        <v>1456</v>
      </c>
      <c r="S81" s="524" t="str">
        <f>IF(S62=C62,C93,IF(S62=D62,D89,IF(S62=E62,E89,IF(S62=F62,F87,IF(S62=G62,G87,IF(S62=H62,H93,IF(S62=I62,"",IF(S62=J62,"",IF(S62=K62,"",IF(S62=L62,L87,IF(S62=M62,"",IF(S62=N62,"",IF(S62=O62,"",IF(S62=P62,"",IF(S62=Q62,"")))))))))))))))</f>
        <v>Magicien Assassin</v>
      </c>
      <c r="T81" s="524"/>
      <c r="U81" s="520">
        <v>19</v>
      </c>
    </row>
    <row r="82" spans="2:21" x14ac:dyDescent="0.25">
      <c r="B82" s="519" t="s">
        <v>1457</v>
      </c>
      <c r="C82" s="522" t="s">
        <v>1457</v>
      </c>
      <c r="D82" s="522" t="s">
        <v>1457</v>
      </c>
      <c r="E82" s="522" t="s">
        <v>1457</v>
      </c>
      <c r="F82" s="522" t="s">
        <v>1457</v>
      </c>
      <c r="G82" s="522" t="s">
        <v>1457</v>
      </c>
      <c r="H82" s="522" t="s">
        <v>1457</v>
      </c>
      <c r="I82" s="523"/>
      <c r="J82" s="523"/>
      <c r="K82" s="522" t="s">
        <v>1457</v>
      </c>
      <c r="L82" s="522" t="s">
        <v>1457</v>
      </c>
      <c r="M82" s="523"/>
      <c r="N82" s="523"/>
      <c r="O82" s="523"/>
      <c r="P82" s="522" t="s">
        <v>1457</v>
      </c>
      <c r="Q82" s="523"/>
      <c r="S82" s="524" t="str">
        <f>IF(S62=C62,C96,IF(S62=D62,D90,IF(S62=E62,E90,IF(S62=F62,F89,IF(S62=G62,G89,IF(S62=H62,H96,IF(S62=I62,"",IF(S62=J62,"",IF(S62=K62,"",IF(S62=L62,L89,IF(S62=M62,"",IF(S62=N62,"",IF(S62=O62,"",IF(S62=P62,"",IF(S62=Q62,"")))))))))))))))</f>
        <v>Clerc Guerrier Magicien</v>
      </c>
      <c r="T82" s="524"/>
      <c r="U82" s="520">
        <v>20</v>
      </c>
    </row>
    <row r="83" spans="2:21" x14ac:dyDescent="0.25">
      <c r="B83" s="519" t="s">
        <v>1468</v>
      </c>
      <c r="C83" s="523"/>
      <c r="D83" s="522" t="s">
        <v>1468</v>
      </c>
      <c r="E83" s="522" t="s">
        <v>1468</v>
      </c>
      <c r="F83" s="522" t="s">
        <v>1468</v>
      </c>
      <c r="G83" s="522" t="s">
        <v>1468</v>
      </c>
      <c r="H83" s="523"/>
      <c r="I83" s="523"/>
      <c r="J83" s="523"/>
      <c r="K83" s="523"/>
      <c r="L83" s="522" t="s">
        <v>1468</v>
      </c>
      <c r="M83" s="523"/>
      <c r="N83" s="523"/>
      <c r="O83" s="523"/>
      <c r="P83" s="523"/>
      <c r="Q83" s="522" t="s">
        <v>1468</v>
      </c>
      <c r="S83" s="524" t="str">
        <f>IF(S62=C62,C97,IF(S62=D62,D91,IF(S62=E62,E91,IF(S62=F62,F90,IF(S62=G62,G90,IF(S62=H62,H97,IF(S62=I62,"",IF(S62=J62,"",IF(S62=K62,"",IF(S62=L62,L90,IF(S62=M62,"",IF(S62=N62,"",IF(S62=O62,"",IF(S62=P62,"",IF(S62=Q62,"")))))))))))))))</f>
        <v>Clerc Guerrier Voleur</v>
      </c>
      <c r="T83" s="524"/>
      <c r="U83" s="520">
        <v>21</v>
      </c>
    </row>
    <row r="84" spans="2:21" x14ac:dyDescent="0.25">
      <c r="B84" s="519" t="s">
        <v>1469</v>
      </c>
      <c r="C84" s="523"/>
      <c r="D84" s="522" t="s">
        <v>1469</v>
      </c>
      <c r="E84" s="522" t="s">
        <v>1469</v>
      </c>
      <c r="F84" s="522" t="s">
        <v>1469</v>
      </c>
      <c r="G84" s="522" t="s">
        <v>1469</v>
      </c>
      <c r="H84" s="523"/>
      <c r="I84" s="523"/>
      <c r="J84" s="523"/>
      <c r="K84" s="523"/>
      <c r="L84" s="522" t="s">
        <v>1469</v>
      </c>
      <c r="M84" s="523"/>
      <c r="N84" s="523"/>
      <c r="O84" s="523"/>
      <c r="P84" s="523"/>
      <c r="Q84" s="523"/>
      <c r="S84" s="524" t="str">
        <f>IF(S62=C62,C98,IF(S62=D62,D92,IF(S62=E62,E92,IF(S62=F62,F91,IF(S62=G62,G91,IF(S62=H62,H98,IF(S62=I62,"",IF(S62=J62,"",IF(S62=K62,"",IF(S62=L62,L91,IF(S62=M62,"",IF(S62=N62,"",IF(S62=O62,"",IF(S62=P62,"",IF(S62=Q62,"")))))))))))))))</f>
        <v>Clerc  Magicien  Voleur</v>
      </c>
      <c r="T84" s="524"/>
      <c r="U84" s="520">
        <v>22</v>
      </c>
    </row>
    <row r="85" spans="2:21" x14ac:dyDescent="0.25">
      <c r="B85" s="519" t="s">
        <v>1470</v>
      </c>
      <c r="C85" s="523"/>
      <c r="D85" s="522" t="s">
        <v>1470</v>
      </c>
      <c r="E85" s="522" t="s">
        <v>1470</v>
      </c>
      <c r="F85" s="522" t="s">
        <v>1470</v>
      </c>
      <c r="G85" s="522" t="s">
        <v>1470</v>
      </c>
      <c r="H85" s="523"/>
      <c r="I85" s="523"/>
      <c r="J85" s="523"/>
      <c r="K85" s="523"/>
      <c r="L85" s="522" t="s">
        <v>1470</v>
      </c>
      <c r="M85" s="523"/>
      <c r="N85" s="523"/>
      <c r="O85" s="523"/>
      <c r="P85" s="523"/>
      <c r="Q85" s="523"/>
      <c r="S85" s="524" t="str">
        <f>IF(S62=C62,C99,IF(S62=D62,D93,IF(S62=E62,E93,IF(S62=F62,F92,IF(S62=G62,G92,IF(S62=H62,H99,IF(S62=I62,"",IF(S62=J62,"",IF(S62=K62,"",IF(S62=L62,L92,IF(S62=M62,"",IF(S62=N62,"",IF(S62=O62,"",IF(S62=P62,"",IF(S62=Q62,"")))))))))))))))</f>
        <v>Guerrier  Magicien  Voleur</v>
      </c>
      <c r="T85" s="524"/>
      <c r="U85" s="520">
        <v>23</v>
      </c>
    </row>
    <row r="86" spans="2:21" x14ac:dyDescent="0.25">
      <c r="B86" s="519" t="s">
        <v>1471</v>
      </c>
      <c r="C86" s="523"/>
      <c r="D86" s="522" t="s">
        <v>1471</v>
      </c>
      <c r="E86" s="522" t="s">
        <v>1471</v>
      </c>
      <c r="F86" s="522" t="s">
        <v>1471</v>
      </c>
      <c r="G86" s="522" t="s">
        <v>1471</v>
      </c>
      <c r="H86" s="523"/>
      <c r="I86" s="523"/>
      <c r="J86" s="523"/>
      <c r="K86" s="523"/>
      <c r="L86" s="522" t="s">
        <v>1471</v>
      </c>
      <c r="M86" s="523"/>
      <c r="N86" s="523"/>
      <c r="O86" s="523"/>
      <c r="P86" s="523"/>
      <c r="Q86" s="522" t="s">
        <v>1471</v>
      </c>
      <c r="S86" s="524" t="str">
        <f>IF(S62=C62,"",IF(S62=D62,D96,IF(S62=E62,E96,IF(S62=F62,F93,IF(S62=G62,G93,IF(S62=H62,"",IF(S62=I62,"",IF(S62=J62,"",IF(S62=K62,"",IF(S62=L62,L93,IF(S62=M62,"",IF(S62=N62,"",IF(S62=O62,"",IF(S62=P62,"",IF(S62=Q62,"")))))))))))))))</f>
        <v/>
      </c>
      <c r="T86" s="524"/>
      <c r="U86" s="520">
        <v>24</v>
      </c>
    </row>
    <row r="87" spans="2:21" x14ac:dyDescent="0.25">
      <c r="B87" s="519" t="s">
        <v>1458</v>
      </c>
      <c r="C87" s="522" t="s">
        <v>1458</v>
      </c>
      <c r="D87" s="522" t="s">
        <v>1458</v>
      </c>
      <c r="E87" s="522" t="s">
        <v>1458</v>
      </c>
      <c r="F87" s="522" t="s">
        <v>1458</v>
      </c>
      <c r="G87" s="522" t="s">
        <v>1458</v>
      </c>
      <c r="H87" s="522" t="s">
        <v>1458</v>
      </c>
      <c r="I87" s="523"/>
      <c r="J87" s="523"/>
      <c r="K87" s="523"/>
      <c r="L87" s="522" t="s">
        <v>1458</v>
      </c>
      <c r="M87" s="523"/>
      <c r="N87" s="523"/>
      <c r="O87" s="523"/>
      <c r="P87" s="523"/>
      <c r="Q87" s="523"/>
      <c r="S87" s="524" t="str">
        <f>IF(S62=C62,"",IF(S62=D62,D97,IF(S62=E62,E97,IF(S62=F62,F96,IF(S62=G62,G96,IF(S62=H62,"",IF(S62=I62,"",IF(S62=J62,"",IF(S62=K62,"",IF(S62=L62,L96,IF(S62=M62,"",IF(S62=N62,"",IF(S62=O62,"",IF(S62=P62,"",IF(S62=Q62,"")))))))))))))))</f>
        <v/>
      </c>
      <c r="T87" s="524"/>
      <c r="U87" s="520">
        <v>25</v>
      </c>
    </row>
    <row r="88" spans="2:21" x14ac:dyDescent="0.25">
      <c r="B88" s="519" t="s">
        <v>1473</v>
      </c>
      <c r="C88" s="523"/>
      <c r="D88" s="523"/>
      <c r="E88" s="523"/>
      <c r="F88" s="523"/>
      <c r="G88" s="523"/>
      <c r="H88" s="523"/>
      <c r="I88" s="523"/>
      <c r="J88" s="522" t="s">
        <v>1473</v>
      </c>
      <c r="K88" s="522" t="s">
        <v>1473</v>
      </c>
      <c r="L88" s="523"/>
      <c r="M88" s="523"/>
      <c r="N88" s="523"/>
      <c r="O88" s="523"/>
      <c r="P88" s="523"/>
      <c r="Q88" s="523"/>
      <c r="S88" s="524" t="str">
        <f>IF(S62=C62,"",IF(S62=D62,D98,IF(S62=E62,E98,IF(S62=F62,F97,IF(S62=G62,G97,IF(S62=H62,"",IF(S62=I62,"",IF(S62=J62,"",IF(S62=K62,"",IF(S62=L62,L97,IF(S62=M62,"",IF(S62=N62,"",IF(S62=O62,"",IF(S62=P62,"",IF(S62=Q62,"")))))))))))))))</f>
        <v/>
      </c>
      <c r="T88" s="524"/>
      <c r="U88" s="520">
        <v>26</v>
      </c>
    </row>
    <row r="89" spans="2:21" x14ac:dyDescent="0.25">
      <c r="B89" s="519" t="s">
        <v>1467</v>
      </c>
      <c r="C89" s="523"/>
      <c r="D89" s="522" t="s">
        <v>1467</v>
      </c>
      <c r="E89" s="522" t="s">
        <v>1467</v>
      </c>
      <c r="F89" s="522" t="s">
        <v>1467</v>
      </c>
      <c r="G89" s="522" t="s">
        <v>1467</v>
      </c>
      <c r="H89" s="522" t="s">
        <v>1467</v>
      </c>
      <c r="I89" s="522" t="s">
        <v>1467</v>
      </c>
      <c r="J89" s="522" t="s">
        <v>1467</v>
      </c>
      <c r="K89" s="522" t="s">
        <v>1467</v>
      </c>
      <c r="L89" s="522" t="s">
        <v>1467</v>
      </c>
      <c r="M89" s="523"/>
      <c r="N89" s="522" t="s">
        <v>1467</v>
      </c>
      <c r="O89" s="522" t="s">
        <v>1467</v>
      </c>
      <c r="P89" s="522" t="s">
        <v>1467</v>
      </c>
      <c r="Q89" s="522" t="s">
        <v>1467</v>
      </c>
      <c r="S89" s="524" t="str">
        <f>IF(S62=C62,"",IF(S62=D62,D99,IF(S62=E62,E99,IF(S62=F62,F98,IF(S62=G62,G98,IF(S62=H62,"",IF(S62=I62,"",IF(S62=J62,"",IF(S62=K62,"",IF(S62=L62,L98,IF(S62=M62,"",IF(S62=N62,"",IF(S62=O62,"",IF(S62=P62,"",IF(S62=Q62,"")))))))))))))))</f>
        <v/>
      </c>
      <c r="T89" s="520"/>
      <c r="U89" s="520">
        <v>27</v>
      </c>
    </row>
    <row r="90" spans="2:21" x14ac:dyDescent="0.25">
      <c r="B90" s="519" t="s">
        <v>1459</v>
      </c>
      <c r="C90" s="522" t="s">
        <v>1459</v>
      </c>
      <c r="D90" s="522" t="s">
        <v>1459</v>
      </c>
      <c r="E90" s="522" t="s">
        <v>1459</v>
      </c>
      <c r="F90" s="522" t="s">
        <v>1459</v>
      </c>
      <c r="G90" s="522" t="s">
        <v>1459</v>
      </c>
      <c r="H90" s="522" t="s">
        <v>1459</v>
      </c>
      <c r="I90" s="523"/>
      <c r="J90" s="523"/>
      <c r="K90" s="522" t="s">
        <v>1459</v>
      </c>
      <c r="L90" s="522" t="s">
        <v>1459</v>
      </c>
      <c r="M90" s="523"/>
      <c r="N90" s="523"/>
      <c r="O90" s="523"/>
      <c r="P90" s="522" t="s">
        <v>1459</v>
      </c>
      <c r="Q90" s="523"/>
      <c r="S90" s="524" t="str">
        <f>IF(S62=C62,"",IF(S62=D62,"",IF(S62=E62,"",IF(S62=F62,F99,IF(S62=G62,G99,IF(S62=H62,"",IF(S62=I62,"",IF(S62=J62,"",IF(S62=K62,"",IF(S62=L62,L99,IF(S62=M62,"",IF(S62=N62,"",IF(S62=O62,"",IF(S62=P62,"",IF(S62=Q62,"")))))))))))))))</f>
        <v/>
      </c>
      <c r="T90" s="520"/>
      <c r="U90" s="520">
        <v>28</v>
      </c>
    </row>
    <row r="91" spans="2:21" x14ac:dyDescent="0.25">
      <c r="B91" s="519" t="s">
        <v>1460</v>
      </c>
      <c r="C91" s="522" t="s">
        <v>1460</v>
      </c>
      <c r="D91" s="522" t="s">
        <v>1460</v>
      </c>
      <c r="E91" s="522" t="s">
        <v>1460</v>
      </c>
      <c r="F91" s="522" t="s">
        <v>1460</v>
      </c>
      <c r="G91" s="522" t="s">
        <v>1460</v>
      </c>
      <c r="H91" s="522" t="s">
        <v>1460</v>
      </c>
      <c r="I91" s="523"/>
      <c r="J91" s="523"/>
      <c r="K91" s="523"/>
      <c r="L91" s="522" t="s">
        <v>1460</v>
      </c>
      <c r="M91" s="523"/>
      <c r="N91" s="523"/>
      <c r="O91" s="523"/>
      <c r="P91" s="523"/>
      <c r="Q91" s="523"/>
    </row>
    <row r="92" spans="2:21" x14ac:dyDescent="0.25">
      <c r="B92" s="519" t="s">
        <v>1461</v>
      </c>
      <c r="C92" s="522" t="s">
        <v>1461</v>
      </c>
      <c r="D92" s="522" t="s">
        <v>1461</v>
      </c>
      <c r="E92" s="522" t="s">
        <v>1461</v>
      </c>
      <c r="F92" s="522" t="s">
        <v>1461</v>
      </c>
      <c r="G92" s="522" t="s">
        <v>1461</v>
      </c>
      <c r="H92" s="522" t="s">
        <v>1461</v>
      </c>
      <c r="I92" s="523"/>
      <c r="J92" s="523"/>
      <c r="K92" s="523"/>
      <c r="L92" s="522" t="s">
        <v>1461</v>
      </c>
      <c r="M92" s="523"/>
      <c r="N92" s="523"/>
      <c r="O92" s="523"/>
      <c r="P92" s="523"/>
      <c r="Q92" s="523"/>
    </row>
    <row r="93" spans="2:21" x14ac:dyDescent="0.25">
      <c r="B93" s="519" t="s">
        <v>1462</v>
      </c>
      <c r="C93" s="522" t="s">
        <v>1462</v>
      </c>
      <c r="D93" s="522" t="s">
        <v>1462</v>
      </c>
      <c r="E93" s="522" t="s">
        <v>1462</v>
      </c>
      <c r="F93" s="522" t="s">
        <v>1462</v>
      </c>
      <c r="G93" s="522" t="s">
        <v>1462</v>
      </c>
      <c r="H93" s="522" t="s">
        <v>1462</v>
      </c>
      <c r="I93" s="523"/>
      <c r="J93" s="523"/>
      <c r="K93" s="523"/>
      <c r="L93" s="522" t="s">
        <v>1462</v>
      </c>
      <c r="M93" s="523"/>
      <c r="N93" s="523"/>
      <c r="O93" s="523"/>
      <c r="P93" s="523"/>
      <c r="Q93" s="523"/>
    </row>
    <row r="94" spans="2:21" x14ac:dyDescent="0.25">
      <c r="B94" s="519" t="s">
        <v>1474</v>
      </c>
      <c r="C94" s="523"/>
      <c r="D94" s="523"/>
      <c r="E94" s="523"/>
      <c r="F94" s="523"/>
      <c r="G94" s="523"/>
      <c r="H94" s="523"/>
      <c r="I94" s="523"/>
      <c r="J94" s="522" t="s">
        <v>1474</v>
      </c>
      <c r="K94" s="522" t="s">
        <v>1474</v>
      </c>
      <c r="L94" s="523"/>
      <c r="M94" s="523"/>
      <c r="N94" s="523"/>
      <c r="O94" s="523"/>
      <c r="P94" s="523"/>
      <c r="Q94" s="523"/>
    </row>
    <row r="95" spans="2:21" x14ac:dyDescent="0.25">
      <c r="B95" s="519" t="s">
        <v>1507</v>
      </c>
      <c r="C95" s="523"/>
      <c r="D95" s="523"/>
      <c r="E95" s="523"/>
      <c r="F95" s="523"/>
      <c r="G95" s="523"/>
      <c r="H95" s="523"/>
      <c r="I95" s="523"/>
      <c r="J95" s="522" t="s">
        <v>1507</v>
      </c>
      <c r="K95" s="522" t="s">
        <v>1507</v>
      </c>
      <c r="L95" s="523"/>
      <c r="M95" s="523"/>
      <c r="N95" s="523"/>
      <c r="O95" s="523"/>
      <c r="P95" s="523"/>
      <c r="Q95" s="523"/>
    </row>
    <row r="96" spans="2:21" x14ac:dyDescent="0.25">
      <c r="B96" s="519" t="s">
        <v>1463</v>
      </c>
      <c r="C96" s="522" t="s">
        <v>1463</v>
      </c>
      <c r="D96" s="522" t="s">
        <v>1463</v>
      </c>
      <c r="E96" s="522" t="s">
        <v>1463</v>
      </c>
      <c r="F96" s="522" t="s">
        <v>1463</v>
      </c>
      <c r="G96" s="522" t="s">
        <v>1463</v>
      </c>
      <c r="H96" s="522" t="s">
        <v>1463</v>
      </c>
      <c r="I96" s="523"/>
      <c r="J96" s="523"/>
      <c r="K96" s="523"/>
      <c r="L96" s="522" t="s">
        <v>1463</v>
      </c>
      <c r="M96" s="523"/>
      <c r="N96" s="523"/>
      <c r="O96" s="523"/>
      <c r="P96" s="523"/>
      <c r="Q96" s="523"/>
    </row>
    <row r="97" spans="2:17" x14ac:dyDescent="0.25">
      <c r="B97" s="519" t="s">
        <v>1464</v>
      </c>
      <c r="C97" s="522" t="s">
        <v>1464</v>
      </c>
      <c r="D97" s="522" t="s">
        <v>1464</v>
      </c>
      <c r="E97" s="522" t="s">
        <v>1464</v>
      </c>
      <c r="F97" s="522" t="s">
        <v>1464</v>
      </c>
      <c r="G97" s="522" t="s">
        <v>1464</v>
      </c>
      <c r="H97" s="522" t="s">
        <v>1464</v>
      </c>
      <c r="I97" s="523"/>
      <c r="J97" s="523"/>
      <c r="K97" s="523"/>
      <c r="L97" s="522" t="s">
        <v>1464</v>
      </c>
      <c r="M97" s="523"/>
      <c r="N97" s="523"/>
      <c r="O97" s="523"/>
      <c r="P97" s="523"/>
      <c r="Q97" s="523"/>
    </row>
    <row r="98" spans="2:17" x14ac:dyDescent="0.25">
      <c r="B98" s="519" t="s">
        <v>1466</v>
      </c>
      <c r="C98" s="522" t="s">
        <v>1466</v>
      </c>
      <c r="D98" s="522" t="s">
        <v>1466</v>
      </c>
      <c r="E98" s="522" t="s">
        <v>1466</v>
      </c>
      <c r="F98" s="522" t="s">
        <v>1466</v>
      </c>
      <c r="G98" s="522" t="s">
        <v>1466</v>
      </c>
      <c r="H98" s="522" t="s">
        <v>1466</v>
      </c>
      <c r="I98" s="523"/>
      <c r="J98" s="523"/>
      <c r="K98" s="523"/>
      <c r="L98" s="522" t="s">
        <v>1466</v>
      </c>
      <c r="M98" s="523"/>
      <c r="N98" s="523"/>
      <c r="O98" s="523"/>
      <c r="P98" s="523"/>
      <c r="Q98" s="523"/>
    </row>
    <row r="99" spans="2:17" x14ac:dyDescent="0.25">
      <c r="B99" s="519" t="s">
        <v>1465</v>
      </c>
      <c r="C99" s="522" t="s">
        <v>1465</v>
      </c>
      <c r="D99" s="522" t="s">
        <v>1465</v>
      </c>
      <c r="E99" s="522" t="s">
        <v>1465</v>
      </c>
      <c r="F99" s="522" t="s">
        <v>1465</v>
      </c>
      <c r="G99" s="522" t="s">
        <v>1465</v>
      </c>
      <c r="H99" s="522" t="s">
        <v>1465</v>
      </c>
      <c r="I99" s="523"/>
      <c r="J99" s="523"/>
      <c r="K99" s="523"/>
      <c r="L99" s="522" t="s">
        <v>1465</v>
      </c>
      <c r="M99" s="523"/>
      <c r="N99" s="523"/>
      <c r="O99" s="523"/>
      <c r="P99" s="523"/>
      <c r="Q99" s="523"/>
    </row>
    <row r="100" spans="2:17" x14ac:dyDescent="0.25">
      <c r="C100" s="87">
        <f>COUNTA(C63:C99)</f>
        <v>23</v>
      </c>
      <c r="D100" s="87">
        <f t="shared" ref="D100:Q100" si="0">COUNTA(D63:D99)</f>
        <v>27</v>
      </c>
      <c r="E100" s="87">
        <f t="shared" si="0"/>
        <v>27</v>
      </c>
      <c r="F100" s="87">
        <f t="shared" si="0"/>
        <v>28</v>
      </c>
      <c r="G100" s="87">
        <f t="shared" si="0"/>
        <v>28</v>
      </c>
      <c r="H100" s="87">
        <f t="shared" si="0"/>
        <v>23</v>
      </c>
      <c r="I100" s="87">
        <f t="shared" si="0"/>
        <v>6</v>
      </c>
      <c r="J100" s="87">
        <f t="shared" si="0"/>
        <v>13</v>
      </c>
      <c r="K100" s="87">
        <f t="shared" si="0"/>
        <v>15</v>
      </c>
      <c r="L100" s="87">
        <f t="shared" si="0"/>
        <v>28</v>
      </c>
      <c r="M100" s="87">
        <f t="shared" si="0"/>
        <v>14</v>
      </c>
      <c r="N100" s="87">
        <f t="shared" si="0"/>
        <v>7</v>
      </c>
      <c r="O100" s="87">
        <f t="shared" si="0"/>
        <v>7</v>
      </c>
      <c r="P100" s="87">
        <f t="shared" si="0"/>
        <v>10</v>
      </c>
      <c r="Q100" s="87">
        <f t="shared" si="0"/>
        <v>10</v>
      </c>
    </row>
    <row r="102" spans="2:17" x14ac:dyDescent="0.25">
      <c r="B102" s="519" t="s">
        <v>29</v>
      </c>
      <c r="C102" s="520" t="s">
        <v>1433</v>
      </c>
      <c r="D102" s="520" t="s">
        <v>1434</v>
      </c>
      <c r="E102" s="520" t="s">
        <v>1435</v>
      </c>
      <c r="F102" s="520" t="s">
        <v>1436</v>
      </c>
      <c r="G102" s="520" t="s">
        <v>1437</v>
      </c>
      <c r="H102" s="520" t="s">
        <v>1438</v>
      </c>
      <c r="I102" s="520" t="s">
        <v>1439</v>
      </c>
      <c r="J102" s="520" t="s">
        <v>1440</v>
      </c>
      <c r="K102" s="520" t="s">
        <v>1441</v>
      </c>
      <c r="L102" s="520" t="s">
        <v>1442</v>
      </c>
      <c r="M102" s="520" t="s">
        <v>1443</v>
      </c>
      <c r="N102" s="520" t="s">
        <v>1444</v>
      </c>
      <c r="O102" s="520" t="s">
        <v>1445</v>
      </c>
      <c r="P102" s="520" t="s">
        <v>1446</v>
      </c>
      <c r="Q102" s="520" t="s">
        <v>1447</v>
      </c>
    </row>
    <row r="103" spans="2:17" x14ac:dyDescent="0.25">
      <c r="B103" s="519" t="s">
        <v>248</v>
      </c>
      <c r="C103" s="521" t="s">
        <v>1866</v>
      </c>
      <c r="D103" s="521" t="s">
        <v>1866</v>
      </c>
      <c r="E103" s="521" t="s">
        <v>1866</v>
      </c>
      <c r="F103" s="521" t="s">
        <v>1866</v>
      </c>
      <c r="G103" s="521" t="s">
        <v>1866</v>
      </c>
      <c r="H103" s="521" t="s">
        <v>1866</v>
      </c>
      <c r="I103" s="94"/>
      <c r="J103" s="521" t="s">
        <v>1866</v>
      </c>
      <c r="K103" s="521" t="s">
        <v>1866</v>
      </c>
      <c r="L103" s="521" t="s">
        <v>1866</v>
      </c>
      <c r="M103" s="521" t="s">
        <v>1866</v>
      </c>
      <c r="N103" s="521" t="s">
        <v>1866</v>
      </c>
      <c r="O103" s="521" t="s">
        <v>1866</v>
      </c>
      <c r="P103" s="521" t="s">
        <v>1866</v>
      </c>
      <c r="Q103" s="521" t="s">
        <v>1866</v>
      </c>
    </row>
    <row r="104" spans="2:17" x14ac:dyDescent="0.25">
      <c r="B104" s="519" t="s">
        <v>61</v>
      </c>
      <c r="C104" s="521" t="s">
        <v>1866</v>
      </c>
      <c r="D104" s="521" t="s">
        <v>1866</v>
      </c>
      <c r="E104" s="521" t="s">
        <v>1866</v>
      </c>
      <c r="F104" s="521" t="s">
        <v>1866</v>
      </c>
      <c r="G104" s="521" t="s">
        <v>1866</v>
      </c>
      <c r="H104" s="94"/>
      <c r="I104" s="521" t="s">
        <v>1866</v>
      </c>
      <c r="J104" s="94"/>
      <c r="K104" s="94"/>
      <c r="L104" s="521" t="s">
        <v>1866</v>
      </c>
      <c r="M104" s="521" t="s">
        <v>1866</v>
      </c>
      <c r="N104" s="94"/>
      <c r="O104" s="94"/>
      <c r="P104" s="94"/>
      <c r="Q104" s="521" t="s">
        <v>1866</v>
      </c>
    </row>
    <row r="105" spans="2:17" x14ac:dyDescent="0.25">
      <c r="B105" s="519" t="s">
        <v>62</v>
      </c>
      <c r="C105" s="521" t="s">
        <v>1866</v>
      </c>
      <c r="D105" s="521" t="s">
        <v>1866</v>
      </c>
      <c r="E105" s="521" t="s">
        <v>1866</v>
      </c>
      <c r="F105" s="521" t="s">
        <v>1866</v>
      </c>
      <c r="G105" s="521" t="s">
        <v>1866</v>
      </c>
      <c r="H105" s="521" t="s">
        <v>1866</v>
      </c>
      <c r="I105" s="521" t="s">
        <v>1866</v>
      </c>
      <c r="J105" s="521" t="s">
        <v>1866</v>
      </c>
      <c r="K105" s="521" t="s">
        <v>1866</v>
      </c>
      <c r="L105" s="521" t="s">
        <v>1866</v>
      </c>
      <c r="M105" s="521" t="s">
        <v>1866</v>
      </c>
      <c r="N105" s="521" t="s">
        <v>1866</v>
      </c>
      <c r="O105" s="521" t="s">
        <v>1866</v>
      </c>
      <c r="P105" s="521" t="s">
        <v>1866</v>
      </c>
      <c r="Q105" s="521" t="s">
        <v>1866</v>
      </c>
    </row>
    <row r="106" spans="2:17" x14ac:dyDescent="0.25">
      <c r="B106" s="519" t="s">
        <v>94</v>
      </c>
      <c r="C106" s="521" t="s">
        <v>1866</v>
      </c>
      <c r="D106" s="521" t="s">
        <v>1866</v>
      </c>
      <c r="E106" s="521" t="s">
        <v>1866</v>
      </c>
      <c r="F106" s="521" t="s">
        <v>1866</v>
      </c>
      <c r="G106" s="521" t="s">
        <v>1866</v>
      </c>
      <c r="H106" s="521" t="s">
        <v>1866</v>
      </c>
      <c r="I106" s="94"/>
      <c r="J106" s="94"/>
      <c r="K106" s="94"/>
      <c r="L106" s="521" t="s">
        <v>1866</v>
      </c>
      <c r="M106" s="521" t="s">
        <v>1866</v>
      </c>
      <c r="N106" s="94"/>
      <c r="O106" s="94"/>
      <c r="P106" s="94"/>
      <c r="Q106" s="94"/>
    </row>
    <row r="107" spans="2:17" x14ac:dyDescent="0.25">
      <c r="B107" s="519" t="s">
        <v>86</v>
      </c>
      <c r="C107" s="521" t="s">
        <v>1866</v>
      </c>
      <c r="D107" s="94"/>
      <c r="E107" s="94"/>
      <c r="F107" s="94"/>
      <c r="G107" s="94"/>
      <c r="H107" s="94"/>
      <c r="I107" s="94"/>
      <c r="J107" s="94"/>
      <c r="K107" s="94"/>
      <c r="L107" s="94"/>
      <c r="M107" s="521" t="s">
        <v>1866</v>
      </c>
      <c r="N107" s="94"/>
      <c r="O107" s="94"/>
      <c r="P107" s="94"/>
      <c r="Q107" s="94"/>
    </row>
    <row r="108" spans="2:17" x14ac:dyDescent="0.25">
      <c r="B108" s="519" t="s">
        <v>1449</v>
      </c>
      <c r="C108" s="94"/>
      <c r="D108" s="94"/>
      <c r="E108" s="94"/>
      <c r="F108" s="94"/>
      <c r="G108" s="94"/>
      <c r="H108" s="94"/>
      <c r="I108" s="94"/>
      <c r="J108" s="94"/>
      <c r="K108" s="94"/>
      <c r="L108" s="94"/>
      <c r="M108" s="521" t="s">
        <v>1866</v>
      </c>
      <c r="N108" s="94"/>
      <c r="O108" s="94"/>
      <c r="P108" s="94"/>
      <c r="Q108" s="94"/>
    </row>
    <row r="109" spans="2:17" x14ac:dyDescent="0.25">
      <c r="B109" s="519" t="s">
        <v>1450</v>
      </c>
      <c r="C109" s="94"/>
      <c r="D109" s="94"/>
      <c r="E109" s="94"/>
      <c r="F109" s="521" t="s">
        <v>1866</v>
      </c>
      <c r="G109" s="521" t="s">
        <v>1866</v>
      </c>
      <c r="H109" s="521" t="s">
        <v>1866</v>
      </c>
      <c r="I109" s="94"/>
      <c r="J109" s="94"/>
      <c r="K109" s="94"/>
      <c r="L109" s="521" t="s">
        <v>1866</v>
      </c>
      <c r="M109" s="521" t="s">
        <v>1866</v>
      </c>
      <c r="N109" s="94"/>
      <c r="O109" s="94"/>
      <c r="P109" s="94"/>
      <c r="Q109" s="94"/>
    </row>
    <row r="110" spans="2:17" x14ac:dyDescent="0.25">
      <c r="B110" s="519" t="s">
        <v>102</v>
      </c>
      <c r="C110" s="521" t="s">
        <v>1866</v>
      </c>
      <c r="D110" s="521" t="s">
        <v>1866</v>
      </c>
      <c r="E110" s="521" t="s">
        <v>1866</v>
      </c>
      <c r="F110" s="521" t="s">
        <v>1866</v>
      </c>
      <c r="G110" s="521" t="s">
        <v>1866</v>
      </c>
      <c r="H110" s="521" t="s">
        <v>1866</v>
      </c>
      <c r="I110" s="94"/>
      <c r="J110" s="94"/>
      <c r="K110" s="94"/>
      <c r="L110" s="521" t="s">
        <v>1866</v>
      </c>
      <c r="M110" s="521" t="s">
        <v>1866</v>
      </c>
      <c r="N110" s="94"/>
      <c r="O110" s="94"/>
      <c r="P110" s="94"/>
      <c r="Q110" s="94"/>
    </row>
    <row r="111" spans="2:17" x14ac:dyDescent="0.25">
      <c r="B111" s="519" t="s">
        <v>117</v>
      </c>
      <c r="C111" s="94"/>
      <c r="D111" s="94"/>
      <c r="E111" s="94"/>
      <c r="F111" s="94"/>
      <c r="G111" s="94"/>
      <c r="H111" s="94"/>
      <c r="I111" s="94"/>
      <c r="J111" s="521" t="s">
        <v>1866</v>
      </c>
      <c r="K111" s="521" t="s">
        <v>1866</v>
      </c>
      <c r="L111" s="94"/>
      <c r="M111" s="521" t="s">
        <v>1866</v>
      </c>
      <c r="N111" s="94"/>
      <c r="O111" s="94"/>
      <c r="P111" s="94"/>
      <c r="Q111" s="94"/>
    </row>
    <row r="112" spans="2:17" x14ac:dyDescent="0.25">
      <c r="B112" s="519" t="s">
        <v>126</v>
      </c>
      <c r="C112" s="521" t="s">
        <v>1866</v>
      </c>
      <c r="D112" s="521" t="s">
        <v>1866</v>
      </c>
      <c r="E112" s="521" t="s">
        <v>1866</v>
      </c>
      <c r="F112" s="521" t="s">
        <v>1866</v>
      </c>
      <c r="G112" s="521" t="s">
        <v>1866</v>
      </c>
      <c r="H112" s="521" t="s">
        <v>1866</v>
      </c>
      <c r="I112" s="521" t="s">
        <v>1866</v>
      </c>
      <c r="J112" s="521" t="s">
        <v>1866</v>
      </c>
      <c r="K112" s="521" t="s">
        <v>1866</v>
      </c>
      <c r="L112" s="521" t="s">
        <v>1866</v>
      </c>
      <c r="M112" s="521" t="s">
        <v>1866</v>
      </c>
      <c r="N112" s="521" t="s">
        <v>1866</v>
      </c>
      <c r="O112" s="521" t="s">
        <v>1866</v>
      </c>
      <c r="P112" s="521" t="s">
        <v>1866</v>
      </c>
      <c r="Q112" s="521" t="s">
        <v>1866</v>
      </c>
    </row>
    <row r="113" spans="2:17" x14ac:dyDescent="0.25">
      <c r="B113" s="519" t="s">
        <v>1452</v>
      </c>
      <c r="C113" s="94"/>
      <c r="D113" s="521" t="s">
        <v>1866</v>
      </c>
      <c r="E113" s="521" t="s">
        <v>1866</v>
      </c>
      <c r="F113" s="521" t="s">
        <v>1866</v>
      </c>
      <c r="G113" s="521" t="s">
        <v>1866</v>
      </c>
      <c r="H113" s="521" t="s">
        <v>1866</v>
      </c>
      <c r="I113" s="521" t="s">
        <v>1866</v>
      </c>
      <c r="J113" s="521" t="s">
        <v>1866</v>
      </c>
      <c r="K113" s="521" t="s">
        <v>1866</v>
      </c>
      <c r="L113" s="521" t="s">
        <v>1866</v>
      </c>
      <c r="M113" s="521" t="s">
        <v>1866</v>
      </c>
      <c r="N113" s="521" t="s">
        <v>1866</v>
      </c>
      <c r="O113" s="521" t="s">
        <v>1866</v>
      </c>
      <c r="P113" s="521" t="s">
        <v>1866</v>
      </c>
      <c r="Q113" s="521" t="s">
        <v>1866</v>
      </c>
    </row>
    <row r="114" spans="2:17" x14ac:dyDescent="0.25">
      <c r="B114" s="519" t="s">
        <v>136</v>
      </c>
      <c r="C114" s="521" t="s">
        <v>1866</v>
      </c>
      <c r="D114" s="521" t="s">
        <v>1866</v>
      </c>
      <c r="E114" s="521" t="s">
        <v>1866</v>
      </c>
      <c r="F114" s="521" t="s">
        <v>1866</v>
      </c>
      <c r="G114" s="521" t="s">
        <v>1866</v>
      </c>
      <c r="H114" s="521" t="s">
        <v>1866</v>
      </c>
      <c r="I114" s="521" t="s">
        <v>1866</v>
      </c>
      <c r="J114" s="521" t="s">
        <v>1866</v>
      </c>
      <c r="K114" s="521" t="s">
        <v>1866</v>
      </c>
      <c r="L114" s="521" t="s">
        <v>1866</v>
      </c>
      <c r="M114" s="521" t="s">
        <v>1866</v>
      </c>
      <c r="N114" s="521" t="s">
        <v>1866</v>
      </c>
      <c r="O114" s="521" t="s">
        <v>1866</v>
      </c>
      <c r="P114" s="521" t="s">
        <v>1866</v>
      </c>
      <c r="Q114" s="94"/>
    </row>
    <row r="115" spans="2:17" x14ac:dyDescent="0.25">
      <c r="B115" s="519" t="s">
        <v>361</v>
      </c>
      <c r="C115" s="521" t="s">
        <v>1866</v>
      </c>
      <c r="D115" s="94"/>
      <c r="E115" s="94"/>
      <c r="F115" s="94"/>
      <c r="G115" s="94"/>
      <c r="H115" s="94"/>
      <c r="I115" s="94"/>
      <c r="J115" s="94"/>
      <c r="K115" s="94"/>
      <c r="L115" s="94"/>
      <c r="M115" s="521" t="s">
        <v>1866</v>
      </c>
      <c r="N115" s="94"/>
      <c r="O115" s="94"/>
      <c r="P115" s="94"/>
      <c r="Q115" s="94"/>
    </row>
    <row r="116" spans="2:17" x14ac:dyDescent="0.25">
      <c r="B116" s="519" t="s">
        <v>1451</v>
      </c>
      <c r="C116" s="94"/>
      <c r="D116" s="94"/>
      <c r="E116" s="94"/>
      <c r="F116" s="94"/>
      <c r="G116" s="94"/>
      <c r="H116" s="94"/>
      <c r="I116" s="94"/>
      <c r="J116" s="94"/>
      <c r="K116" s="94"/>
      <c r="L116" s="94"/>
      <c r="M116" s="521" t="s">
        <v>1866</v>
      </c>
      <c r="N116" s="94"/>
      <c r="O116" s="94"/>
      <c r="P116" s="94"/>
      <c r="Q116" s="94"/>
    </row>
    <row r="117" spans="2:17" x14ac:dyDescent="0.25">
      <c r="B117" s="519" t="s">
        <v>1453</v>
      </c>
      <c r="C117" s="521" t="s">
        <v>1866</v>
      </c>
      <c r="D117" s="521" t="s">
        <v>1866</v>
      </c>
      <c r="E117" s="521" t="s">
        <v>1866</v>
      </c>
      <c r="F117" s="521" t="s">
        <v>1866</v>
      </c>
      <c r="G117" s="521" t="s">
        <v>1866</v>
      </c>
      <c r="H117" s="521" t="s">
        <v>1866</v>
      </c>
      <c r="I117" s="94"/>
      <c r="J117" s="521" t="s">
        <v>1866</v>
      </c>
      <c r="K117" s="521" t="s">
        <v>1866</v>
      </c>
      <c r="L117" s="521" t="s">
        <v>1866</v>
      </c>
      <c r="M117" s="94"/>
      <c r="N117" s="521" t="s">
        <v>1866</v>
      </c>
      <c r="O117" s="521" t="s">
        <v>1866</v>
      </c>
      <c r="P117" s="521" t="s">
        <v>1866</v>
      </c>
      <c r="Q117" s="521" t="s">
        <v>1866</v>
      </c>
    </row>
    <row r="118" spans="2:17" x14ac:dyDescent="0.25">
      <c r="B118" s="519" t="s">
        <v>1454</v>
      </c>
      <c r="C118" s="521" t="s">
        <v>1866</v>
      </c>
      <c r="D118" s="521" t="s">
        <v>1866</v>
      </c>
      <c r="E118" s="521" t="s">
        <v>1866</v>
      </c>
      <c r="F118" s="521" t="s">
        <v>1866</v>
      </c>
      <c r="G118" s="521" t="s">
        <v>1866</v>
      </c>
      <c r="H118" s="521" t="s">
        <v>1866</v>
      </c>
      <c r="I118" s="94"/>
      <c r="J118" s="94"/>
      <c r="K118" s="94"/>
      <c r="L118" s="521" t="s">
        <v>1866</v>
      </c>
      <c r="M118" s="94"/>
      <c r="N118" s="94"/>
      <c r="O118" s="94"/>
      <c r="P118" s="94"/>
      <c r="Q118" s="94"/>
    </row>
    <row r="119" spans="2:17" x14ac:dyDescent="0.25">
      <c r="B119" s="519" t="s">
        <v>1455</v>
      </c>
      <c r="C119" s="521" t="s">
        <v>1866</v>
      </c>
      <c r="D119" s="521" t="s">
        <v>1866</v>
      </c>
      <c r="E119" s="521" t="s">
        <v>1866</v>
      </c>
      <c r="F119" s="521" t="s">
        <v>1866</v>
      </c>
      <c r="G119" s="521" t="s">
        <v>1866</v>
      </c>
      <c r="H119" s="521" t="s">
        <v>1866</v>
      </c>
      <c r="I119" s="94"/>
      <c r="J119" s="94"/>
      <c r="K119" s="94"/>
      <c r="L119" s="521" t="s">
        <v>1866</v>
      </c>
      <c r="M119" s="94"/>
      <c r="N119" s="94"/>
      <c r="O119" s="94"/>
      <c r="P119" s="94"/>
      <c r="Q119" s="94"/>
    </row>
    <row r="120" spans="2:17" x14ac:dyDescent="0.25">
      <c r="B120" s="519" t="s">
        <v>1472</v>
      </c>
      <c r="C120" s="94"/>
      <c r="D120" s="94"/>
      <c r="E120" s="94"/>
      <c r="F120" s="94"/>
      <c r="G120" s="94"/>
      <c r="H120" s="94"/>
      <c r="I120" s="94"/>
      <c r="J120" s="521" t="s">
        <v>1866</v>
      </c>
      <c r="K120" s="521" t="s">
        <v>1866</v>
      </c>
      <c r="L120" s="94"/>
      <c r="M120" s="94"/>
      <c r="N120" s="94"/>
      <c r="O120" s="94"/>
      <c r="P120" s="94"/>
      <c r="Q120" s="94"/>
    </row>
    <row r="121" spans="2:17" x14ac:dyDescent="0.25">
      <c r="B121" s="519" t="s">
        <v>1456</v>
      </c>
      <c r="C121" s="521" t="s">
        <v>1866</v>
      </c>
      <c r="D121" s="521" t="s">
        <v>1866</v>
      </c>
      <c r="E121" s="521" t="s">
        <v>1866</v>
      </c>
      <c r="F121" s="521" t="s">
        <v>1866</v>
      </c>
      <c r="G121" s="521" t="s">
        <v>1866</v>
      </c>
      <c r="H121" s="521" t="s">
        <v>1866</v>
      </c>
      <c r="I121" s="94"/>
      <c r="J121" s="521" t="s">
        <v>1866</v>
      </c>
      <c r="K121" s="521" t="s">
        <v>1866</v>
      </c>
      <c r="L121" s="521" t="s">
        <v>1866</v>
      </c>
      <c r="M121" s="94"/>
      <c r="N121" s="94"/>
      <c r="O121" s="94"/>
      <c r="P121" s="521" t="s">
        <v>1866</v>
      </c>
      <c r="Q121" s="521" t="s">
        <v>1866</v>
      </c>
    </row>
    <row r="122" spans="2:17" x14ac:dyDescent="0.25">
      <c r="B122" s="519" t="s">
        <v>1457</v>
      </c>
      <c r="C122" s="521" t="s">
        <v>1866</v>
      </c>
      <c r="D122" s="521" t="s">
        <v>1866</v>
      </c>
      <c r="E122" s="521" t="s">
        <v>1866</v>
      </c>
      <c r="F122" s="521" t="s">
        <v>1866</v>
      </c>
      <c r="G122" s="521" t="s">
        <v>1866</v>
      </c>
      <c r="H122" s="521" t="s">
        <v>1866</v>
      </c>
      <c r="I122" s="94"/>
      <c r="J122" s="94"/>
      <c r="K122" s="521" t="s">
        <v>1866</v>
      </c>
      <c r="L122" s="521" t="s">
        <v>1866</v>
      </c>
      <c r="M122" s="94"/>
      <c r="N122" s="94"/>
      <c r="O122" s="94"/>
      <c r="P122" s="521" t="s">
        <v>1866</v>
      </c>
      <c r="Q122" s="94"/>
    </row>
    <row r="123" spans="2:17" x14ac:dyDescent="0.25">
      <c r="B123" s="519" t="s">
        <v>1468</v>
      </c>
      <c r="C123" s="94"/>
      <c r="D123" s="521" t="s">
        <v>1866</v>
      </c>
      <c r="E123" s="521" t="s">
        <v>1866</v>
      </c>
      <c r="F123" s="521" t="s">
        <v>1866</v>
      </c>
      <c r="G123" s="521" t="s">
        <v>1866</v>
      </c>
      <c r="H123" s="94"/>
      <c r="I123" s="94"/>
      <c r="J123" s="94"/>
      <c r="K123" s="94"/>
      <c r="L123" s="521" t="s">
        <v>1866</v>
      </c>
      <c r="M123" s="94"/>
      <c r="N123" s="94"/>
      <c r="O123" s="94"/>
      <c r="P123" s="94"/>
      <c r="Q123" s="521" t="s">
        <v>1866</v>
      </c>
    </row>
    <row r="124" spans="2:17" x14ac:dyDescent="0.25">
      <c r="B124" s="519" t="s">
        <v>1469</v>
      </c>
      <c r="C124" s="94"/>
      <c r="D124" s="521" t="s">
        <v>1866</v>
      </c>
      <c r="E124" s="521" t="s">
        <v>1866</v>
      </c>
      <c r="F124" s="521" t="s">
        <v>1866</v>
      </c>
      <c r="G124" s="521" t="s">
        <v>1866</v>
      </c>
      <c r="H124" s="94"/>
      <c r="I124" s="94"/>
      <c r="J124" s="94"/>
      <c r="K124" s="94"/>
      <c r="L124" s="521" t="s">
        <v>1866</v>
      </c>
      <c r="M124" s="94"/>
      <c r="N124" s="94"/>
      <c r="O124" s="94"/>
      <c r="P124" s="94"/>
      <c r="Q124" s="94"/>
    </row>
    <row r="125" spans="2:17" x14ac:dyDescent="0.25">
      <c r="B125" s="519" t="s">
        <v>1470</v>
      </c>
      <c r="C125" s="94"/>
      <c r="D125" s="521" t="s">
        <v>1866</v>
      </c>
      <c r="E125" s="521" t="s">
        <v>1866</v>
      </c>
      <c r="F125" s="521" t="s">
        <v>1866</v>
      </c>
      <c r="G125" s="521" t="s">
        <v>1866</v>
      </c>
      <c r="H125" s="94"/>
      <c r="I125" s="94"/>
      <c r="J125" s="94"/>
      <c r="K125" s="94"/>
      <c r="L125" s="521" t="s">
        <v>1866</v>
      </c>
      <c r="M125" s="94"/>
      <c r="N125" s="94"/>
      <c r="O125" s="94"/>
      <c r="P125" s="94"/>
      <c r="Q125" s="94"/>
    </row>
    <row r="126" spans="2:17" x14ac:dyDescent="0.25">
      <c r="B126" s="519" t="s">
        <v>1471</v>
      </c>
      <c r="C126" s="94"/>
      <c r="D126" s="521" t="s">
        <v>1866</v>
      </c>
      <c r="E126" s="521" t="s">
        <v>1866</v>
      </c>
      <c r="F126" s="521" t="s">
        <v>1866</v>
      </c>
      <c r="G126" s="521" t="s">
        <v>1866</v>
      </c>
      <c r="H126" s="94"/>
      <c r="I126" s="94"/>
      <c r="J126" s="94"/>
      <c r="K126" s="94"/>
      <c r="L126" s="521" t="s">
        <v>1866</v>
      </c>
      <c r="M126" s="94"/>
      <c r="N126" s="94"/>
      <c r="O126" s="94"/>
      <c r="P126" s="94"/>
      <c r="Q126" s="521" t="s">
        <v>1866</v>
      </c>
    </row>
    <row r="127" spans="2:17" x14ac:dyDescent="0.25">
      <c r="B127" s="519" t="s">
        <v>1458</v>
      </c>
      <c r="C127" s="521" t="s">
        <v>1866</v>
      </c>
      <c r="D127" s="521" t="s">
        <v>1866</v>
      </c>
      <c r="E127" s="521" t="s">
        <v>1866</v>
      </c>
      <c r="F127" s="521" t="s">
        <v>1866</v>
      </c>
      <c r="G127" s="521" t="s">
        <v>1866</v>
      </c>
      <c r="H127" s="521" t="s">
        <v>1866</v>
      </c>
      <c r="I127" s="94"/>
      <c r="J127" s="94"/>
      <c r="K127" s="94"/>
      <c r="L127" s="521" t="s">
        <v>1866</v>
      </c>
      <c r="M127" s="94"/>
      <c r="N127" s="94"/>
      <c r="O127" s="94"/>
      <c r="P127" s="94"/>
      <c r="Q127" s="94"/>
    </row>
    <row r="128" spans="2:17" x14ac:dyDescent="0.25">
      <c r="B128" s="519" t="s">
        <v>1473</v>
      </c>
      <c r="C128" s="94"/>
      <c r="D128" s="94"/>
      <c r="E128" s="94"/>
      <c r="F128" s="94"/>
      <c r="G128" s="94"/>
      <c r="H128" s="94"/>
      <c r="I128" s="94"/>
      <c r="J128" s="521" t="s">
        <v>1866</v>
      </c>
      <c r="K128" s="521" t="s">
        <v>1866</v>
      </c>
      <c r="L128" s="94"/>
      <c r="M128" s="94"/>
      <c r="N128" s="94"/>
      <c r="O128" s="94"/>
      <c r="P128" s="94"/>
      <c r="Q128" s="94"/>
    </row>
    <row r="129" spans="2:17" x14ac:dyDescent="0.25">
      <c r="B129" s="519" t="s">
        <v>1467</v>
      </c>
      <c r="C129" s="94"/>
      <c r="D129" s="521" t="s">
        <v>1866</v>
      </c>
      <c r="E129" s="521" t="s">
        <v>1866</v>
      </c>
      <c r="F129" s="521" t="s">
        <v>1866</v>
      </c>
      <c r="G129" s="521" t="s">
        <v>1866</v>
      </c>
      <c r="H129" s="521" t="s">
        <v>1866</v>
      </c>
      <c r="I129" s="521" t="s">
        <v>1866</v>
      </c>
      <c r="J129" s="521" t="s">
        <v>1866</v>
      </c>
      <c r="K129" s="521" t="s">
        <v>1866</v>
      </c>
      <c r="L129" s="521" t="s">
        <v>1866</v>
      </c>
      <c r="M129" s="94"/>
      <c r="N129" s="521" t="s">
        <v>1866</v>
      </c>
      <c r="O129" s="521" t="s">
        <v>1866</v>
      </c>
      <c r="P129" s="521" t="s">
        <v>1866</v>
      </c>
      <c r="Q129" s="521" t="s">
        <v>1866</v>
      </c>
    </row>
    <row r="130" spans="2:17" x14ac:dyDescent="0.25">
      <c r="B130" s="519" t="s">
        <v>1459</v>
      </c>
      <c r="C130" s="521" t="s">
        <v>1866</v>
      </c>
      <c r="D130" s="521" t="s">
        <v>1866</v>
      </c>
      <c r="E130" s="521" t="s">
        <v>1866</v>
      </c>
      <c r="F130" s="521" t="s">
        <v>1866</v>
      </c>
      <c r="G130" s="521" t="s">
        <v>1866</v>
      </c>
      <c r="H130" s="521" t="s">
        <v>1866</v>
      </c>
      <c r="I130" s="94"/>
      <c r="J130" s="94"/>
      <c r="K130" s="521" t="s">
        <v>1866</v>
      </c>
      <c r="L130" s="521" t="s">
        <v>1866</v>
      </c>
      <c r="M130" s="94"/>
      <c r="N130" s="94"/>
      <c r="O130" s="94"/>
      <c r="P130" s="521" t="s">
        <v>1866</v>
      </c>
      <c r="Q130" s="94"/>
    </row>
    <row r="131" spans="2:17" x14ac:dyDescent="0.25">
      <c r="B131" s="519" t="s">
        <v>1460</v>
      </c>
      <c r="C131" s="521" t="s">
        <v>1866</v>
      </c>
      <c r="D131" s="521" t="s">
        <v>1866</v>
      </c>
      <c r="E131" s="521" t="s">
        <v>1866</v>
      </c>
      <c r="F131" s="521" t="s">
        <v>1866</v>
      </c>
      <c r="G131" s="521" t="s">
        <v>1866</v>
      </c>
      <c r="H131" s="521" t="s">
        <v>1866</v>
      </c>
      <c r="I131" s="94"/>
      <c r="J131" s="94"/>
      <c r="K131" s="94"/>
      <c r="L131" s="521" t="s">
        <v>1866</v>
      </c>
      <c r="M131" s="94"/>
      <c r="N131" s="94"/>
      <c r="O131" s="94"/>
      <c r="P131" s="94"/>
      <c r="Q131" s="94"/>
    </row>
    <row r="132" spans="2:17" x14ac:dyDescent="0.25">
      <c r="B132" s="519" t="s">
        <v>1461</v>
      </c>
      <c r="C132" s="521" t="s">
        <v>1866</v>
      </c>
      <c r="D132" s="521" t="s">
        <v>1866</v>
      </c>
      <c r="E132" s="521" t="s">
        <v>1866</v>
      </c>
      <c r="F132" s="521" t="s">
        <v>1866</v>
      </c>
      <c r="G132" s="521" t="s">
        <v>1866</v>
      </c>
      <c r="H132" s="521" t="s">
        <v>1866</v>
      </c>
      <c r="I132" s="94"/>
      <c r="J132" s="94"/>
      <c r="K132" s="94"/>
      <c r="L132" s="521" t="s">
        <v>1866</v>
      </c>
      <c r="M132" s="94"/>
      <c r="N132" s="94"/>
      <c r="O132" s="94"/>
      <c r="P132" s="94"/>
      <c r="Q132" s="94"/>
    </row>
    <row r="133" spans="2:17" x14ac:dyDescent="0.25">
      <c r="B133" s="519" t="s">
        <v>1462</v>
      </c>
      <c r="C133" s="521" t="s">
        <v>1866</v>
      </c>
      <c r="D133" s="521" t="s">
        <v>1866</v>
      </c>
      <c r="E133" s="521" t="s">
        <v>1866</v>
      </c>
      <c r="F133" s="521" t="s">
        <v>1866</v>
      </c>
      <c r="G133" s="521" t="s">
        <v>1866</v>
      </c>
      <c r="H133" s="521" t="s">
        <v>1866</v>
      </c>
      <c r="I133" s="94"/>
      <c r="J133" s="94"/>
      <c r="K133" s="94"/>
      <c r="L133" s="521" t="s">
        <v>1866</v>
      </c>
      <c r="M133" s="94"/>
      <c r="N133" s="94"/>
      <c r="O133" s="94"/>
      <c r="P133" s="94"/>
      <c r="Q133" s="94"/>
    </row>
    <row r="134" spans="2:17" x14ac:dyDescent="0.25">
      <c r="B134" s="519" t="s">
        <v>1474</v>
      </c>
      <c r="C134" s="94"/>
      <c r="D134" s="94"/>
      <c r="E134" s="94"/>
      <c r="F134" s="94"/>
      <c r="G134" s="94"/>
      <c r="H134" s="94"/>
      <c r="I134" s="94"/>
      <c r="J134" s="521" t="s">
        <v>1866</v>
      </c>
      <c r="K134" s="521" t="s">
        <v>1866</v>
      </c>
      <c r="L134" s="94"/>
      <c r="M134" s="94"/>
      <c r="N134" s="94"/>
      <c r="O134" s="94"/>
      <c r="P134" s="94"/>
      <c r="Q134" s="94"/>
    </row>
    <row r="135" spans="2:17" x14ac:dyDescent="0.25">
      <c r="B135" s="519" t="s">
        <v>1507</v>
      </c>
      <c r="C135" s="94"/>
      <c r="D135" s="94"/>
      <c r="E135" s="94"/>
      <c r="F135" s="94"/>
      <c r="G135" s="94"/>
      <c r="H135" s="94"/>
      <c r="I135" s="94"/>
      <c r="J135" s="521" t="s">
        <v>1866</v>
      </c>
      <c r="K135" s="521" t="s">
        <v>1866</v>
      </c>
      <c r="L135" s="94"/>
      <c r="M135" s="94"/>
      <c r="N135" s="94"/>
      <c r="O135" s="94"/>
      <c r="P135" s="94"/>
      <c r="Q135" s="94"/>
    </row>
    <row r="136" spans="2:17" x14ac:dyDescent="0.25">
      <c r="B136" s="519" t="s">
        <v>1463</v>
      </c>
      <c r="C136" s="521" t="s">
        <v>1866</v>
      </c>
      <c r="D136" s="521" t="s">
        <v>1866</v>
      </c>
      <c r="E136" s="521" t="s">
        <v>1866</v>
      </c>
      <c r="F136" s="521" t="s">
        <v>1866</v>
      </c>
      <c r="G136" s="521" t="s">
        <v>1866</v>
      </c>
      <c r="H136" s="521" t="s">
        <v>1866</v>
      </c>
      <c r="I136" s="94"/>
      <c r="J136" s="94"/>
      <c r="K136" s="94"/>
      <c r="L136" s="521" t="s">
        <v>1866</v>
      </c>
      <c r="M136" s="94"/>
      <c r="N136" s="94"/>
      <c r="O136" s="94"/>
      <c r="P136" s="94"/>
      <c r="Q136" s="94"/>
    </row>
    <row r="137" spans="2:17" x14ac:dyDescent="0.25">
      <c r="B137" s="519" t="s">
        <v>1464</v>
      </c>
      <c r="C137" s="521" t="s">
        <v>1866</v>
      </c>
      <c r="D137" s="521" t="s">
        <v>1866</v>
      </c>
      <c r="E137" s="521" t="s">
        <v>1866</v>
      </c>
      <c r="F137" s="521" t="s">
        <v>1866</v>
      </c>
      <c r="G137" s="521" t="s">
        <v>1866</v>
      </c>
      <c r="H137" s="521" t="s">
        <v>1866</v>
      </c>
      <c r="I137" s="94"/>
      <c r="J137" s="94"/>
      <c r="K137" s="94"/>
      <c r="L137" s="521" t="s">
        <v>1866</v>
      </c>
      <c r="M137" s="94"/>
      <c r="N137" s="94"/>
      <c r="O137" s="94"/>
      <c r="P137" s="94"/>
      <c r="Q137" s="94"/>
    </row>
    <row r="138" spans="2:17" x14ac:dyDescent="0.25">
      <c r="B138" s="519" t="s">
        <v>1466</v>
      </c>
      <c r="C138" s="521" t="s">
        <v>1866</v>
      </c>
      <c r="D138" s="521" t="s">
        <v>1866</v>
      </c>
      <c r="E138" s="521" t="s">
        <v>1866</v>
      </c>
      <c r="F138" s="521" t="s">
        <v>1866</v>
      </c>
      <c r="G138" s="521" t="s">
        <v>1866</v>
      </c>
      <c r="H138" s="521" t="s">
        <v>1866</v>
      </c>
      <c r="I138" s="94"/>
      <c r="J138" s="94"/>
      <c r="K138" s="94"/>
      <c r="L138" s="521" t="s">
        <v>1866</v>
      </c>
      <c r="M138" s="94"/>
      <c r="N138" s="94"/>
      <c r="O138" s="94"/>
      <c r="P138" s="94"/>
      <c r="Q138" s="94"/>
    </row>
    <row r="139" spans="2:17" x14ac:dyDescent="0.25">
      <c r="B139" s="519" t="s">
        <v>1465</v>
      </c>
      <c r="C139" s="519" t="s">
        <v>1866</v>
      </c>
      <c r="D139" s="519" t="s">
        <v>1866</v>
      </c>
      <c r="E139" s="519" t="s">
        <v>1866</v>
      </c>
      <c r="F139" s="519" t="s">
        <v>1866</v>
      </c>
      <c r="G139" s="519" t="s">
        <v>1866</v>
      </c>
      <c r="H139" s="519" t="s">
        <v>1866</v>
      </c>
      <c r="I139" s="94"/>
      <c r="J139" s="94"/>
      <c r="K139" s="94"/>
      <c r="L139" s="521" t="s">
        <v>1866</v>
      </c>
      <c r="M139" s="94"/>
      <c r="N139" s="94"/>
      <c r="O139" s="94"/>
      <c r="P139" s="94"/>
      <c r="Q139" s="94"/>
    </row>
  </sheetData>
  <mergeCells count="1">
    <mergeCell ref="C41:K41"/>
  </mergeCells>
  <dataValidations count="1">
    <dataValidation type="list" allowBlank="1" showInputMessage="1" showErrorMessage="1" sqref="S62" xr:uid="{8B6E694F-966A-4DCC-98F6-2D6391C032EE}">
      <formula1>$B$43:$B$57</formula1>
    </dataValidation>
  </dataValidations>
  <hyperlinks>
    <hyperlink ref="B3" r:id="rId1" display="https://www.donjondudragon.fr/drs/ad-d/races/515757-demi-elfe.html" xr:uid="{011DA35C-E032-4F7E-B213-BD2CF214AED7}"/>
    <hyperlink ref="B4" r:id="rId2" display="https://www.donjondudragon.fr/drs/ad-d/races/515758-demi-orque.html" xr:uid="{F2231F90-D978-4E14-BC7C-40A6CBA3C293}"/>
    <hyperlink ref="B5" r:id="rId3" display="https://www.donjondudragon.fr/drs/ad-d/races/515763-elfe-de-la-vall%C3%A9e.html" xr:uid="{08A6E700-C6A1-4A6B-A6E5-4CDAA9EDC94A}"/>
    <hyperlink ref="B6" r:id="rId4" display="https://www.donjondudragon.fr/drs/ad-d/races/515759-elfe-des-bois.html" xr:uid="{D1487742-BAF1-47B1-B742-D60734DA9503}"/>
    <hyperlink ref="B7" r:id="rId5" display="https://www.donjondudragon.fr/drs/ad-d/races/515760-elfe-gris.html" xr:uid="{2FAA5B00-2256-4D46-8893-627CD1F0A6BE}"/>
    <hyperlink ref="B8" r:id="rId6" display="https://www.donjondudragon.fr/drs/ad-d/races/515761-elfe-noir.html" xr:uid="{7A237C84-B946-41AA-8610-67E2C49C32D4}"/>
    <hyperlink ref="B9" r:id="rId7" display="https://www.donjondudragon.fr/drs/ad-d/races/515762-elfe-sauvage.html" xr:uid="{D05860EB-8A43-4F45-9E64-A6E11853D4FB}"/>
    <hyperlink ref="B10" r:id="rId8" display="https://www.donjondudragon.fr/drs/ad-d/races/515765-gnome-de-la-surface.html" xr:uid="{33A07E54-EAB9-4AC8-919F-3C645ADEAE6B}"/>
    <hyperlink ref="B11" r:id="rId9" display="https://www.donjondudragon.fr/drs/ad-d/races/515766-gnome-des-profondeurs.html" xr:uid="{0E7DBDC3-9207-4DFD-8BC9-AA3A5DE9045C}"/>
    <hyperlink ref="B12" r:id="rId10" display="https://www.donjondudragon.fr/drs/ad-d/races/515764-haut-elfe.html" xr:uid="{B9E67954-AF43-4A8D-87D2-0665CE6EC8CF}"/>
    <hyperlink ref="B13" r:id="rId11" display="https://www.donjondudragon.fr/drs/ad-d/races/515767-humain.html" xr:uid="{8417BA50-2229-476A-A0E5-F29CAB6D503F}"/>
    <hyperlink ref="B14" r:id="rId12" display="https://www.donjondudragon.fr/drs/ad-d/races/515768-nain-des-collines.html" xr:uid="{26DF3A10-82B5-4D04-A5CF-EB3841DFB54F}"/>
    <hyperlink ref="B15" r:id="rId13" display="https://www.donjondudragon.fr/drs/ad-d/races/515769-nain-des-montagnes.html" xr:uid="{FA0760D3-9E0D-4AA9-8CD1-5F2E9B5C184B}"/>
    <hyperlink ref="B16" r:id="rId14" display="https://www.donjondudragon.fr/drs/ad-d/races/515770-nain-gris.html" xr:uid="{CF0D9B31-A898-42E0-A931-9C30D9C9629A}"/>
    <hyperlink ref="B17" r:id="rId15" display="https://www.donjondudragon.fr/drs/ad-d/races/515771-petite-gens.html" xr:uid="{BFB3D82F-CBDD-4FA2-B50D-E6A1C5F8B300}"/>
  </hyperlinks>
  <pageMargins left="0.7" right="0.7" top="0.75" bottom="0.75" header="0.3" footer="0.3"/>
  <pageSetup paperSize="9" orientation="portrait" r:id="rId16"/>
  <drawing r:id="rId17"/>
  <legacyDrawing r:id="rId18"/>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3AE77B-9224-4BC8-BC2C-507CE793BDC7}">
  <sheetPr>
    <tabColor rgb="FFFFFF00"/>
  </sheetPr>
  <dimension ref="A1:AH146"/>
  <sheetViews>
    <sheetView zoomScale="70" zoomScaleNormal="70" workbookViewId="0">
      <selection activeCell="AB8" sqref="AB8"/>
    </sheetView>
  </sheetViews>
  <sheetFormatPr baseColWidth="10" defaultRowHeight="15" outlineLevelCol="1" x14ac:dyDescent="0.25"/>
  <cols>
    <col min="2" max="2" width="24.42578125" style="26" bestFit="1" customWidth="1"/>
    <col min="3" max="6" width="11.7109375" style="42" customWidth="1"/>
    <col min="7" max="19" width="11.42578125" customWidth="1" outlineLevel="1"/>
    <col min="20" max="25" width="11.42578125" style="1"/>
  </cols>
  <sheetData>
    <row r="1" spans="2:31" ht="15.75" thickBot="1" x14ac:dyDescent="0.3"/>
    <row r="2" spans="2:31" s="26" customFormat="1" ht="15.75" thickBot="1" x14ac:dyDescent="0.3">
      <c r="B2" s="37"/>
      <c r="C2" s="188"/>
      <c r="D2" s="39"/>
      <c r="E2" s="39"/>
      <c r="F2" s="40"/>
      <c r="G2" s="913" t="s">
        <v>1503</v>
      </c>
      <c r="H2" s="913"/>
      <c r="I2" s="913"/>
      <c r="J2" s="913"/>
      <c r="K2" s="913"/>
      <c r="L2" s="914"/>
      <c r="M2" s="915" t="s">
        <v>1504</v>
      </c>
      <c r="N2" s="913"/>
      <c r="O2" s="913"/>
      <c r="P2" s="913"/>
      <c r="Q2" s="913"/>
      <c r="R2" s="913"/>
      <c r="S2" s="914"/>
      <c r="T2" s="915" t="s">
        <v>1675</v>
      </c>
      <c r="U2" s="913"/>
      <c r="V2" s="913"/>
      <c r="W2" s="913"/>
      <c r="X2" s="913"/>
      <c r="Y2" s="914"/>
      <c r="Z2" s="916" t="s">
        <v>1676</v>
      </c>
      <c r="AA2" s="917"/>
      <c r="AB2" s="917"/>
      <c r="AC2" s="917"/>
      <c r="AD2" s="917"/>
      <c r="AE2" s="918"/>
    </row>
    <row r="3" spans="2:31" s="26" customFormat="1" ht="15" customHeight="1" thickBot="1" x14ac:dyDescent="0.3">
      <c r="B3" s="107" t="s">
        <v>1522</v>
      </c>
      <c r="C3" s="155" t="s">
        <v>1559</v>
      </c>
      <c r="D3" s="156" t="s">
        <v>1560</v>
      </c>
      <c r="E3" s="156" t="s">
        <v>1561</v>
      </c>
      <c r="F3" s="157" t="s">
        <v>1562</v>
      </c>
      <c r="G3" s="110" t="s">
        <v>1</v>
      </c>
      <c r="H3" s="108" t="s">
        <v>2</v>
      </c>
      <c r="I3" s="108" t="s">
        <v>3</v>
      </c>
      <c r="J3" s="108" t="s">
        <v>4</v>
      </c>
      <c r="K3" s="108" t="s">
        <v>5</v>
      </c>
      <c r="L3" s="109" t="s">
        <v>6</v>
      </c>
      <c r="M3" s="110" t="s">
        <v>1</v>
      </c>
      <c r="N3" s="108" t="s">
        <v>2</v>
      </c>
      <c r="O3" s="108" t="s">
        <v>3</v>
      </c>
      <c r="P3" s="108" t="s">
        <v>4</v>
      </c>
      <c r="Q3" s="108" t="s">
        <v>5</v>
      </c>
      <c r="R3" s="116" t="s">
        <v>6</v>
      </c>
      <c r="S3" s="109" t="s">
        <v>15</v>
      </c>
      <c r="T3" s="122" t="s">
        <v>17</v>
      </c>
      <c r="U3" s="123" t="s">
        <v>18</v>
      </c>
      <c r="V3" s="123" t="s">
        <v>1498</v>
      </c>
      <c r="W3" s="123" t="s">
        <v>1499</v>
      </c>
      <c r="X3" s="124" t="s">
        <v>1484</v>
      </c>
      <c r="Y3" s="124" t="s">
        <v>1521</v>
      </c>
      <c r="Z3" s="206" t="s">
        <v>382</v>
      </c>
      <c r="AA3" s="206" t="s">
        <v>1659</v>
      </c>
      <c r="AB3" s="206" t="s">
        <v>383</v>
      </c>
      <c r="AC3" s="206" t="s">
        <v>1677</v>
      </c>
      <c r="AD3" s="413" t="s">
        <v>1678</v>
      </c>
      <c r="AE3" s="243" t="s">
        <v>1522</v>
      </c>
    </row>
    <row r="4" spans="2:31" ht="15" customHeight="1" x14ac:dyDescent="0.25">
      <c r="B4" s="303" t="s">
        <v>248</v>
      </c>
      <c r="C4" s="252">
        <v>1</v>
      </c>
      <c r="D4" s="253" t="s">
        <v>248</v>
      </c>
      <c r="E4" s="254"/>
      <c r="F4" s="255"/>
      <c r="G4" s="106"/>
      <c r="H4" s="103"/>
      <c r="I4" s="104">
        <v>9</v>
      </c>
      <c r="J4" s="103"/>
      <c r="K4" s="103"/>
      <c r="L4" s="105"/>
      <c r="M4" s="318"/>
      <c r="N4" s="272"/>
      <c r="O4" s="93">
        <v>16</v>
      </c>
      <c r="P4" s="272"/>
      <c r="Q4" s="272"/>
      <c r="R4" s="319"/>
      <c r="S4" s="320" t="s">
        <v>1664</v>
      </c>
      <c r="T4" s="120" t="s">
        <v>1500</v>
      </c>
      <c r="U4" s="93" t="s">
        <v>1271</v>
      </c>
      <c r="V4" s="93" t="s">
        <v>1508</v>
      </c>
      <c r="W4" s="93" t="s">
        <v>1501</v>
      </c>
      <c r="X4" s="93" t="s">
        <v>1502</v>
      </c>
      <c r="Y4" s="319"/>
      <c r="Z4" s="301">
        <v>2</v>
      </c>
      <c r="AA4" s="46">
        <v>-3</v>
      </c>
      <c r="AB4" s="46">
        <v>4</v>
      </c>
      <c r="AC4" s="46">
        <v>1</v>
      </c>
      <c r="AD4" s="561" t="s">
        <v>1679</v>
      </c>
      <c r="AE4" s="316" t="s">
        <v>248</v>
      </c>
    </row>
    <row r="5" spans="2:31" x14ac:dyDescent="0.25">
      <c r="B5" s="304" t="s">
        <v>61</v>
      </c>
      <c r="C5" s="249">
        <v>2</v>
      </c>
      <c r="D5" s="142" t="s">
        <v>61</v>
      </c>
      <c r="E5" s="248"/>
      <c r="F5" s="250"/>
      <c r="G5" s="112"/>
      <c r="H5" s="111"/>
      <c r="I5" s="94">
        <v>12</v>
      </c>
      <c r="J5" s="111"/>
      <c r="K5" s="111"/>
      <c r="L5" s="95">
        <v>15</v>
      </c>
      <c r="M5" s="321"/>
      <c r="N5" s="111"/>
      <c r="O5" s="94">
        <v>16</v>
      </c>
      <c r="P5" s="111"/>
      <c r="Q5" s="111"/>
      <c r="R5" s="117">
        <v>16</v>
      </c>
      <c r="S5" s="95" t="s">
        <v>1665</v>
      </c>
      <c r="T5" s="100" t="s">
        <v>1515</v>
      </c>
      <c r="U5" s="94" t="s">
        <v>1509</v>
      </c>
      <c r="V5" s="94" t="s">
        <v>1517</v>
      </c>
      <c r="W5" s="94" t="s">
        <v>1501</v>
      </c>
      <c r="X5" s="94" t="s">
        <v>1511</v>
      </c>
      <c r="Y5" s="118"/>
      <c r="Z5" s="179">
        <v>2</v>
      </c>
      <c r="AA5" s="28">
        <v>-4</v>
      </c>
      <c r="AB5" s="28">
        <v>5</v>
      </c>
      <c r="AC5" s="28">
        <v>2</v>
      </c>
      <c r="AD5" s="562" t="s">
        <v>1679</v>
      </c>
      <c r="AE5" s="314" t="s">
        <v>61</v>
      </c>
    </row>
    <row r="6" spans="2:31" x14ac:dyDescent="0.25">
      <c r="B6" s="304" t="s">
        <v>62</v>
      </c>
      <c r="C6" s="249">
        <v>3</v>
      </c>
      <c r="D6" s="142" t="s">
        <v>62</v>
      </c>
      <c r="E6" s="248"/>
      <c r="F6" s="250"/>
      <c r="G6" s="99">
        <v>9</v>
      </c>
      <c r="H6" s="111"/>
      <c r="I6" s="111"/>
      <c r="J6" s="111"/>
      <c r="K6" s="94">
        <v>7</v>
      </c>
      <c r="L6" s="113"/>
      <c r="M6" s="100">
        <v>16</v>
      </c>
      <c r="N6" s="111"/>
      <c r="O6" s="111"/>
      <c r="P6" s="111"/>
      <c r="Q6" s="111"/>
      <c r="R6" s="118"/>
      <c r="S6" s="95" t="s">
        <v>1666</v>
      </c>
      <c r="T6" s="100" t="s">
        <v>1500</v>
      </c>
      <c r="U6" s="94" t="s">
        <v>1271</v>
      </c>
      <c r="V6" s="94" t="s">
        <v>1500</v>
      </c>
      <c r="W6" s="94" t="s">
        <v>1501</v>
      </c>
      <c r="X6" s="94" t="s">
        <v>1511</v>
      </c>
      <c r="Y6" s="118"/>
      <c r="Z6" s="179">
        <v>4</v>
      </c>
      <c r="AA6" s="28">
        <v>-2</v>
      </c>
      <c r="AB6" s="28">
        <v>3</v>
      </c>
      <c r="AC6" s="28">
        <v>3</v>
      </c>
      <c r="AD6" s="562" t="s">
        <v>1679</v>
      </c>
      <c r="AE6" s="314" t="s">
        <v>62</v>
      </c>
    </row>
    <row r="7" spans="2:31" x14ac:dyDescent="0.25">
      <c r="B7" s="304" t="s">
        <v>94</v>
      </c>
      <c r="C7" s="249">
        <v>4</v>
      </c>
      <c r="D7" s="142" t="s">
        <v>94</v>
      </c>
      <c r="E7" s="248"/>
      <c r="F7" s="250"/>
      <c r="G7" s="99">
        <v>13</v>
      </c>
      <c r="H7" s="94">
        <v>13</v>
      </c>
      <c r="I7" s="94">
        <v>14</v>
      </c>
      <c r="J7" s="111"/>
      <c r="K7" s="94">
        <v>14</v>
      </c>
      <c r="L7" s="113"/>
      <c r="M7" s="100">
        <v>16</v>
      </c>
      <c r="N7" s="94">
        <v>16</v>
      </c>
      <c r="O7" s="94">
        <v>16</v>
      </c>
      <c r="P7" s="111"/>
      <c r="Q7" s="111"/>
      <c r="R7" s="118"/>
      <c r="S7" s="95" t="s">
        <v>244</v>
      </c>
      <c r="T7" s="100" t="s">
        <v>1500</v>
      </c>
      <c r="U7" s="94" t="s">
        <v>1271</v>
      </c>
      <c r="V7" s="94" t="s">
        <v>1500</v>
      </c>
      <c r="W7" s="94" t="s">
        <v>1501</v>
      </c>
      <c r="X7" s="94" t="s">
        <v>1511</v>
      </c>
      <c r="Y7" s="118"/>
      <c r="Z7" s="179">
        <v>3</v>
      </c>
      <c r="AA7" s="28">
        <v>-2</v>
      </c>
      <c r="AB7" s="28">
        <v>3</v>
      </c>
      <c r="AC7" s="28">
        <v>4</v>
      </c>
      <c r="AD7" s="562" t="s">
        <v>1679</v>
      </c>
      <c r="AE7" s="314" t="s">
        <v>94</v>
      </c>
    </row>
    <row r="8" spans="2:31" x14ac:dyDescent="0.25">
      <c r="B8" s="304" t="s">
        <v>86</v>
      </c>
      <c r="C8" s="249">
        <v>5</v>
      </c>
      <c r="D8" s="142" t="s">
        <v>86</v>
      </c>
      <c r="E8" s="248"/>
      <c r="F8" s="250"/>
      <c r="G8" s="99">
        <v>15</v>
      </c>
      <c r="H8" s="94">
        <v>10</v>
      </c>
      <c r="I8" s="94">
        <v>13</v>
      </c>
      <c r="J8" s="94">
        <v>15</v>
      </c>
      <c r="K8" s="94">
        <v>15</v>
      </c>
      <c r="L8" s="95">
        <v>17</v>
      </c>
      <c r="M8" s="321"/>
      <c r="N8" s="111"/>
      <c r="O8" s="111"/>
      <c r="P8" s="111"/>
      <c r="Q8" s="111"/>
      <c r="R8" s="118"/>
      <c r="S8" s="95" t="s">
        <v>243</v>
      </c>
      <c r="T8" s="100" t="s">
        <v>1500</v>
      </c>
      <c r="U8" s="94" t="s">
        <v>1271</v>
      </c>
      <c r="V8" s="94" t="s">
        <v>1500</v>
      </c>
      <c r="W8" s="94" t="s">
        <v>1510</v>
      </c>
      <c r="X8" s="94" t="s">
        <v>1512</v>
      </c>
      <c r="Y8" s="118"/>
      <c r="Z8" s="179">
        <v>3</v>
      </c>
      <c r="AA8" s="28">
        <v>-3</v>
      </c>
      <c r="AB8" s="28">
        <v>2</v>
      </c>
      <c r="AC8" s="28">
        <v>5</v>
      </c>
      <c r="AD8" s="562" t="s">
        <v>1679</v>
      </c>
      <c r="AE8" s="314" t="s">
        <v>86</v>
      </c>
    </row>
    <row r="9" spans="2:31" x14ac:dyDescent="0.25">
      <c r="B9" s="304" t="s">
        <v>1449</v>
      </c>
      <c r="C9" s="249">
        <v>6</v>
      </c>
      <c r="D9" s="142" t="s">
        <v>1449</v>
      </c>
      <c r="E9" s="248"/>
      <c r="F9" s="250"/>
      <c r="G9" s="99">
        <v>15</v>
      </c>
      <c r="H9" s="111"/>
      <c r="I9" s="94" t="s">
        <v>1506</v>
      </c>
      <c r="J9" s="94">
        <v>14</v>
      </c>
      <c r="K9" s="94">
        <v>15</v>
      </c>
      <c r="L9" s="113"/>
      <c r="M9" s="321"/>
      <c r="N9" s="111"/>
      <c r="O9" s="111"/>
      <c r="P9" s="111"/>
      <c r="Q9" s="111"/>
      <c r="R9" s="118"/>
      <c r="S9" s="113" t="s">
        <v>227</v>
      </c>
      <c r="T9" s="100" t="s">
        <v>1500</v>
      </c>
      <c r="U9" s="94" t="s">
        <v>1271</v>
      </c>
      <c r="V9" s="94" t="s">
        <v>1500</v>
      </c>
      <c r="W9" s="94" t="s">
        <v>1510</v>
      </c>
      <c r="X9" s="94" t="s">
        <v>1511</v>
      </c>
      <c r="Y9" s="118"/>
      <c r="Z9" s="179">
        <v>6</v>
      </c>
      <c r="AA9" s="28">
        <v>-1</v>
      </c>
      <c r="AB9" s="28">
        <v>2</v>
      </c>
      <c r="AC9" s="28">
        <v>6</v>
      </c>
      <c r="AD9" s="562" t="s">
        <v>1679</v>
      </c>
      <c r="AE9" s="314" t="s">
        <v>1449</v>
      </c>
    </row>
    <row r="10" spans="2:31" x14ac:dyDescent="0.25">
      <c r="B10" s="304" t="s">
        <v>1450</v>
      </c>
      <c r="C10" s="249">
        <v>7</v>
      </c>
      <c r="D10" s="142" t="s">
        <v>1450</v>
      </c>
      <c r="E10" s="248"/>
      <c r="F10" s="250"/>
      <c r="G10" s="99">
        <v>15</v>
      </c>
      <c r="H10" s="94">
        <v>10</v>
      </c>
      <c r="I10" s="94">
        <v>10</v>
      </c>
      <c r="J10" s="94">
        <v>15</v>
      </c>
      <c r="K10" s="94">
        <v>15</v>
      </c>
      <c r="L10" s="113"/>
      <c r="M10" s="321"/>
      <c r="N10" s="111"/>
      <c r="O10" s="111"/>
      <c r="P10" s="111"/>
      <c r="Q10" s="111"/>
      <c r="R10" s="118"/>
      <c r="S10" s="113" t="s">
        <v>227</v>
      </c>
      <c r="T10" s="100" t="s">
        <v>1500</v>
      </c>
      <c r="U10" s="94" t="s">
        <v>1271</v>
      </c>
      <c r="V10" s="94" t="s">
        <v>1500</v>
      </c>
      <c r="W10" s="94" t="s">
        <v>1501</v>
      </c>
      <c r="X10" s="94" t="s">
        <v>1502</v>
      </c>
      <c r="Y10" s="118"/>
      <c r="Z10" s="179">
        <v>3</v>
      </c>
      <c r="AA10" s="28">
        <v>-3</v>
      </c>
      <c r="AB10" s="28">
        <v>2</v>
      </c>
      <c r="AC10" s="28">
        <v>7</v>
      </c>
      <c r="AD10" s="562" t="s">
        <v>1679</v>
      </c>
      <c r="AE10" s="314" t="s">
        <v>1450</v>
      </c>
    </row>
    <row r="11" spans="2:31" x14ac:dyDescent="0.25">
      <c r="B11" s="304" t="s">
        <v>102</v>
      </c>
      <c r="C11" s="249">
        <v>8</v>
      </c>
      <c r="D11" s="142" t="s">
        <v>102</v>
      </c>
      <c r="E11" s="248"/>
      <c r="F11" s="250"/>
      <c r="G11" s="112"/>
      <c r="H11" s="94">
        <v>9</v>
      </c>
      <c r="I11" s="111"/>
      <c r="J11" s="94">
        <v>6</v>
      </c>
      <c r="K11" s="111"/>
      <c r="L11" s="113"/>
      <c r="M11" s="321"/>
      <c r="N11" s="94">
        <v>16</v>
      </c>
      <c r="O11" s="111"/>
      <c r="P11" s="111"/>
      <c r="Q11" s="111"/>
      <c r="R11" s="118"/>
      <c r="S11" s="95" t="s">
        <v>245</v>
      </c>
      <c r="T11" s="100" t="s">
        <v>185</v>
      </c>
      <c r="U11" s="94" t="s">
        <v>227</v>
      </c>
      <c r="V11" s="94" t="s">
        <v>1513</v>
      </c>
      <c r="W11" s="94" t="s">
        <v>1501</v>
      </c>
      <c r="X11" s="94" t="s">
        <v>1511</v>
      </c>
      <c r="Y11" s="118"/>
      <c r="Z11" s="179">
        <v>1</v>
      </c>
      <c r="AA11" s="28">
        <v>-5</v>
      </c>
      <c r="AB11" s="28">
        <v>6</v>
      </c>
      <c r="AC11" s="28">
        <v>8</v>
      </c>
      <c r="AD11" s="562" t="s">
        <v>1679</v>
      </c>
      <c r="AE11" s="314" t="s">
        <v>102</v>
      </c>
    </row>
    <row r="12" spans="2:31" ht="30" x14ac:dyDescent="0.25">
      <c r="B12" s="304" t="s">
        <v>117</v>
      </c>
      <c r="C12" s="249">
        <v>9</v>
      </c>
      <c r="D12" s="142" t="s">
        <v>117</v>
      </c>
      <c r="E12" s="248"/>
      <c r="F12" s="250"/>
      <c r="G12" s="112"/>
      <c r="H12" s="94">
        <v>15</v>
      </c>
      <c r="I12" s="111"/>
      <c r="J12" s="94">
        <v>16</v>
      </c>
      <c r="K12" s="111"/>
      <c r="L12" s="113"/>
      <c r="M12" s="321"/>
      <c r="N12" s="111"/>
      <c r="O12" s="111"/>
      <c r="P12" s="111"/>
      <c r="Q12" s="111"/>
      <c r="R12" s="118"/>
      <c r="S12" s="113" t="s">
        <v>227</v>
      </c>
      <c r="T12" s="100" t="s">
        <v>185</v>
      </c>
      <c r="U12" s="94" t="s">
        <v>227</v>
      </c>
      <c r="V12" s="94" t="s">
        <v>1513</v>
      </c>
      <c r="W12" s="94" t="s">
        <v>1501</v>
      </c>
      <c r="X12" s="94" t="s">
        <v>1511</v>
      </c>
      <c r="Y12" s="118"/>
      <c r="Z12" s="179">
        <v>1</v>
      </c>
      <c r="AA12" s="28">
        <v>-5</v>
      </c>
      <c r="AB12" s="28">
        <v>6</v>
      </c>
      <c r="AC12" s="28">
        <v>9</v>
      </c>
      <c r="AD12" s="562" t="s">
        <v>1679</v>
      </c>
      <c r="AE12" s="314" t="s">
        <v>117</v>
      </c>
    </row>
    <row r="13" spans="2:31" x14ac:dyDescent="0.25">
      <c r="B13" s="304" t="s">
        <v>126</v>
      </c>
      <c r="C13" s="249">
        <v>10</v>
      </c>
      <c r="D13" s="142" t="s">
        <v>126</v>
      </c>
      <c r="E13" s="248"/>
      <c r="F13" s="250"/>
      <c r="G13" s="112"/>
      <c r="H13" s="111"/>
      <c r="I13" s="111"/>
      <c r="J13" s="94">
        <v>9</v>
      </c>
      <c r="K13" s="111"/>
      <c r="L13" s="113"/>
      <c r="M13" s="321"/>
      <c r="N13" s="111"/>
      <c r="O13" s="111"/>
      <c r="P13" s="94">
        <v>16</v>
      </c>
      <c r="Q13" s="111"/>
      <c r="R13" s="118"/>
      <c r="S13" s="95" t="s">
        <v>246</v>
      </c>
      <c r="T13" s="100" t="s">
        <v>1515</v>
      </c>
      <c r="U13" s="94" t="s">
        <v>227</v>
      </c>
      <c r="V13" s="94" t="s">
        <v>1514</v>
      </c>
      <c r="W13" s="94" t="s">
        <v>1501</v>
      </c>
      <c r="X13" s="94" t="s">
        <v>1511</v>
      </c>
      <c r="Y13" s="117" t="s">
        <v>1201</v>
      </c>
      <c r="Z13" s="179">
        <v>2</v>
      </c>
      <c r="AA13" s="28">
        <v>-3</v>
      </c>
      <c r="AB13" s="28">
        <v>4</v>
      </c>
      <c r="AC13" s="28">
        <v>10</v>
      </c>
      <c r="AD13" s="562" t="s">
        <v>1679</v>
      </c>
      <c r="AE13" s="314" t="s">
        <v>126</v>
      </c>
    </row>
    <row r="14" spans="2:31" ht="30" x14ac:dyDescent="0.25">
      <c r="B14" s="346" t="s">
        <v>1558</v>
      </c>
      <c r="C14" s="249">
        <v>11</v>
      </c>
      <c r="D14" s="142" t="s">
        <v>1558</v>
      </c>
      <c r="E14" s="248"/>
      <c r="F14" s="250"/>
      <c r="G14" s="99">
        <v>15</v>
      </c>
      <c r="H14" s="111"/>
      <c r="I14" s="111"/>
      <c r="J14" s="94">
        <v>16</v>
      </c>
      <c r="K14" s="111"/>
      <c r="L14" s="113"/>
      <c r="M14" s="100">
        <v>16</v>
      </c>
      <c r="N14" s="111"/>
      <c r="O14" s="111"/>
      <c r="P14" s="94">
        <v>16</v>
      </c>
      <c r="Q14" s="111"/>
      <c r="R14" s="118"/>
      <c r="S14" s="113" t="s">
        <v>227</v>
      </c>
      <c r="T14" s="100" t="s">
        <v>1515</v>
      </c>
      <c r="U14" s="94" t="s">
        <v>227</v>
      </c>
      <c r="V14" s="94" t="s">
        <v>1514</v>
      </c>
      <c r="W14" s="94" t="s">
        <v>1501</v>
      </c>
      <c r="X14" s="94" t="s">
        <v>1511</v>
      </c>
      <c r="Y14" s="117" t="s">
        <v>1201</v>
      </c>
      <c r="Z14" s="179">
        <v>2</v>
      </c>
      <c r="AA14" s="28">
        <v>-3</v>
      </c>
      <c r="AB14" s="28">
        <v>4</v>
      </c>
      <c r="AC14" s="28">
        <v>11</v>
      </c>
      <c r="AD14" s="562" t="s">
        <v>1679</v>
      </c>
      <c r="AE14" s="314" t="s">
        <v>1558</v>
      </c>
    </row>
    <row r="15" spans="2:31" x14ac:dyDescent="0.25">
      <c r="B15" s="304" t="s">
        <v>136</v>
      </c>
      <c r="C15" s="249">
        <v>12</v>
      </c>
      <c r="D15" s="142" t="s">
        <v>136</v>
      </c>
      <c r="E15" s="248"/>
      <c r="F15" s="250"/>
      <c r="G15" s="99">
        <v>12</v>
      </c>
      <c r="H15" s="94">
        <v>11</v>
      </c>
      <c r="I15" s="111"/>
      <c r="J15" s="94">
        <v>12</v>
      </c>
      <c r="K15" s="111"/>
      <c r="L15" s="113"/>
      <c r="M15" s="321"/>
      <c r="N15" s="111"/>
      <c r="O15" s="111"/>
      <c r="P15" s="111"/>
      <c r="Q15" s="111"/>
      <c r="R15" s="118"/>
      <c r="S15" s="113" t="s">
        <v>227</v>
      </c>
      <c r="T15" s="100" t="s">
        <v>1515</v>
      </c>
      <c r="U15" s="94" t="s">
        <v>1271</v>
      </c>
      <c r="V15" s="94" t="s">
        <v>1500</v>
      </c>
      <c r="W15" s="94" t="s">
        <v>1501</v>
      </c>
      <c r="X15" s="94" t="s">
        <v>1501</v>
      </c>
      <c r="Y15" s="117" t="s">
        <v>1505</v>
      </c>
      <c r="Z15" s="179">
        <v>3</v>
      </c>
      <c r="AA15" s="28">
        <v>-2</v>
      </c>
      <c r="AB15" s="28">
        <v>4</v>
      </c>
      <c r="AC15" s="28">
        <v>12</v>
      </c>
      <c r="AD15" s="562" t="s">
        <v>1679</v>
      </c>
      <c r="AE15" s="314" t="s">
        <v>136</v>
      </c>
    </row>
    <row r="16" spans="2:31" x14ac:dyDescent="0.25">
      <c r="B16" s="304" t="s">
        <v>361</v>
      </c>
      <c r="C16" s="249">
        <v>13</v>
      </c>
      <c r="D16" s="142" t="s">
        <v>361</v>
      </c>
      <c r="E16" s="248"/>
      <c r="F16" s="250"/>
      <c r="G16" s="99">
        <v>15</v>
      </c>
      <c r="H16" s="94">
        <v>12</v>
      </c>
      <c r="I16" s="94">
        <v>15</v>
      </c>
      <c r="J16" s="94">
        <v>15</v>
      </c>
      <c r="K16" s="94">
        <v>10</v>
      </c>
      <c r="L16" s="95">
        <v>15</v>
      </c>
      <c r="M16" s="321"/>
      <c r="N16" s="111"/>
      <c r="O16" s="111"/>
      <c r="P16" s="111"/>
      <c r="Q16" s="111"/>
      <c r="R16" s="118"/>
      <c r="S16" s="113" t="s">
        <v>227</v>
      </c>
      <c r="T16" s="100" t="s">
        <v>1516</v>
      </c>
      <c r="U16" s="94" t="s">
        <v>227</v>
      </c>
      <c r="V16" s="94" t="s">
        <v>1514</v>
      </c>
      <c r="W16" s="94" t="s">
        <v>1501</v>
      </c>
      <c r="X16" s="94" t="s">
        <v>1511</v>
      </c>
      <c r="Y16" s="117" t="s">
        <v>1534</v>
      </c>
      <c r="Z16" s="179">
        <v>5</v>
      </c>
      <c r="AA16" s="28">
        <v>-2</v>
      </c>
      <c r="AB16" s="28">
        <v>4</v>
      </c>
      <c r="AC16" s="28">
        <v>13</v>
      </c>
      <c r="AD16" s="562" t="s">
        <v>1679</v>
      </c>
      <c r="AE16" s="314" t="s">
        <v>361</v>
      </c>
    </row>
    <row r="17" spans="1:31" x14ac:dyDescent="0.25">
      <c r="B17" s="304" t="s">
        <v>1451</v>
      </c>
      <c r="C17" s="249">
        <v>14</v>
      </c>
      <c r="D17" s="142" t="s">
        <v>1451</v>
      </c>
      <c r="E17" s="248"/>
      <c r="F17" s="250"/>
      <c r="G17" s="99">
        <v>15</v>
      </c>
      <c r="H17" s="111"/>
      <c r="I17" s="94">
        <v>15</v>
      </c>
      <c r="J17" s="94">
        <v>15</v>
      </c>
      <c r="K17" s="94">
        <v>11</v>
      </c>
      <c r="L17" s="113"/>
      <c r="M17" s="321"/>
      <c r="N17" s="111"/>
      <c r="O17" s="111"/>
      <c r="P17" s="111"/>
      <c r="Q17" s="111"/>
      <c r="R17" s="118"/>
      <c r="S17" s="113" t="s">
        <v>227</v>
      </c>
      <c r="T17" s="100" t="s">
        <v>185</v>
      </c>
      <c r="U17" s="94" t="s">
        <v>227</v>
      </c>
      <c r="V17" s="94" t="s">
        <v>1514</v>
      </c>
      <c r="W17" s="94" t="s">
        <v>1510</v>
      </c>
      <c r="X17" s="94" t="s">
        <v>1511</v>
      </c>
      <c r="Y17" s="117" t="s">
        <v>388</v>
      </c>
      <c r="Z17" s="179">
        <v>1</v>
      </c>
      <c r="AA17" s="28">
        <v>-3</v>
      </c>
      <c r="AB17" s="28">
        <v>2</v>
      </c>
      <c r="AC17" s="28">
        <v>14</v>
      </c>
      <c r="AD17" s="562" t="s">
        <v>1679</v>
      </c>
      <c r="AE17" s="314" t="s">
        <v>1451</v>
      </c>
    </row>
    <row r="18" spans="1:31" x14ac:dyDescent="0.25">
      <c r="A18" t="s">
        <v>1685</v>
      </c>
      <c r="B18" s="97" t="s">
        <v>1453</v>
      </c>
      <c r="C18" s="249">
        <v>15</v>
      </c>
      <c r="D18" s="142" t="s">
        <v>248</v>
      </c>
      <c r="E18" s="142" t="s">
        <v>62</v>
      </c>
      <c r="F18" s="250"/>
      <c r="G18" s="99">
        <v>9</v>
      </c>
      <c r="H18" s="111"/>
      <c r="I18" s="94">
        <v>9</v>
      </c>
      <c r="J18" s="111"/>
      <c r="K18" s="94">
        <v>7</v>
      </c>
      <c r="L18" s="113"/>
      <c r="M18" s="321"/>
      <c r="N18" s="111"/>
      <c r="O18" s="111"/>
      <c r="P18" s="111"/>
      <c r="Q18" s="111"/>
      <c r="R18" s="118"/>
      <c r="S18" s="113" t="s">
        <v>227</v>
      </c>
      <c r="T18" s="100" t="s">
        <v>1500</v>
      </c>
      <c r="U18" s="94" t="s">
        <v>1271</v>
      </c>
      <c r="V18" s="94" t="s">
        <v>1500</v>
      </c>
      <c r="W18" s="94" t="s">
        <v>1501</v>
      </c>
      <c r="X18" s="94" t="s">
        <v>1502</v>
      </c>
      <c r="Y18" s="118"/>
      <c r="Z18" s="179">
        <f>VLOOKUP(AC18,C3:AD17,24,FALSE)</f>
        <v>4</v>
      </c>
      <c r="AA18" s="28">
        <v>-2</v>
      </c>
      <c r="AB18" s="28">
        <v>3</v>
      </c>
      <c r="AC18" s="28">
        <v>3</v>
      </c>
      <c r="AD18" s="562" t="s">
        <v>1680</v>
      </c>
      <c r="AE18" s="314" t="s">
        <v>1453</v>
      </c>
    </row>
    <row r="19" spans="1:31" x14ac:dyDescent="0.25">
      <c r="B19" s="97" t="s">
        <v>1454</v>
      </c>
      <c r="C19" s="249">
        <v>16</v>
      </c>
      <c r="D19" s="142" t="s">
        <v>248</v>
      </c>
      <c r="E19" s="142" t="s">
        <v>94</v>
      </c>
      <c r="F19" s="250"/>
      <c r="G19" s="99">
        <v>13</v>
      </c>
      <c r="H19" s="94">
        <v>13</v>
      </c>
      <c r="I19" s="94">
        <v>14</v>
      </c>
      <c r="J19" s="111"/>
      <c r="K19" s="94">
        <v>14</v>
      </c>
      <c r="L19" s="113"/>
      <c r="M19" s="321"/>
      <c r="N19" s="111"/>
      <c r="O19" s="111"/>
      <c r="P19" s="111"/>
      <c r="Q19" s="111"/>
      <c r="R19" s="118"/>
      <c r="S19" s="113" t="s">
        <v>227</v>
      </c>
      <c r="T19" s="100" t="s">
        <v>1500</v>
      </c>
      <c r="U19" s="94" t="s">
        <v>1271</v>
      </c>
      <c r="V19" s="94" t="s">
        <v>1500</v>
      </c>
      <c r="W19" s="94" t="s">
        <v>1501</v>
      </c>
      <c r="X19" s="94" t="s">
        <v>1502</v>
      </c>
      <c r="Y19" s="118"/>
      <c r="Z19" s="179">
        <v>3</v>
      </c>
      <c r="AA19" s="28">
        <v>-2</v>
      </c>
      <c r="AB19" s="28">
        <v>3</v>
      </c>
      <c r="AC19" s="28">
        <v>4</v>
      </c>
      <c r="AD19" s="562" t="s">
        <v>1680</v>
      </c>
      <c r="AE19" s="314" t="s">
        <v>1454</v>
      </c>
    </row>
    <row r="20" spans="1:31" x14ac:dyDescent="0.25">
      <c r="B20" s="97" t="s">
        <v>1455</v>
      </c>
      <c r="C20" s="249">
        <v>17</v>
      </c>
      <c r="D20" s="142" t="s">
        <v>248</v>
      </c>
      <c r="E20" s="142" t="s">
        <v>102</v>
      </c>
      <c r="F20" s="250"/>
      <c r="G20" s="112"/>
      <c r="H20" s="94">
        <v>9</v>
      </c>
      <c r="I20" s="94">
        <v>9</v>
      </c>
      <c r="J20" s="94">
        <v>6</v>
      </c>
      <c r="K20" s="111"/>
      <c r="L20" s="113"/>
      <c r="M20" s="321"/>
      <c r="N20" s="111"/>
      <c r="O20" s="111"/>
      <c r="P20" s="111"/>
      <c r="Q20" s="111"/>
      <c r="R20" s="118"/>
      <c r="S20" s="113" t="s">
        <v>227</v>
      </c>
      <c r="T20" s="100" t="s">
        <v>1515</v>
      </c>
      <c r="U20" s="94" t="s">
        <v>227</v>
      </c>
      <c r="V20" s="94" t="s">
        <v>1513</v>
      </c>
      <c r="W20" s="94" t="s">
        <v>1501</v>
      </c>
      <c r="X20" s="94" t="s">
        <v>1502</v>
      </c>
      <c r="Y20" s="118"/>
      <c r="Z20" s="179">
        <v>2</v>
      </c>
      <c r="AA20" s="28">
        <v>-3</v>
      </c>
      <c r="AB20" s="28">
        <v>4</v>
      </c>
      <c r="AC20" s="28">
        <v>1</v>
      </c>
      <c r="AD20" s="562" t="s">
        <v>1679</v>
      </c>
      <c r="AE20" s="314" t="s">
        <v>1455</v>
      </c>
    </row>
    <row r="21" spans="1:31" ht="30" x14ac:dyDescent="0.25">
      <c r="B21" s="97" t="s">
        <v>1472</v>
      </c>
      <c r="C21" s="249">
        <v>18</v>
      </c>
      <c r="D21" s="142" t="s">
        <v>248</v>
      </c>
      <c r="E21" s="142" t="s">
        <v>117</v>
      </c>
      <c r="F21" s="250"/>
      <c r="G21" s="112"/>
      <c r="H21" s="94">
        <v>15</v>
      </c>
      <c r="I21" s="94">
        <v>9</v>
      </c>
      <c r="J21" s="94">
        <v>16</v>
      </c>
      <c r="K21" s="111"/>
      <c r="L21" s="113"/>
      <c r="M21" s="321"/>
      <c r="N21" s="111"/>
      <c r="O21" s="111"/>
      <c r="P21" s="111"/>
      <c r="Q21" s="111"/>
      <c r="R21" s="118"/>
      <c r="S21" s="113" t="s">
        <v>227</v>
      </c>
      <c r="T21" s="100" t="s">
        <v>1515</v>
      </c>
      <c r="U21" s="94" t="s">
        <v>227</v>
      </c>
      <c r="V21" s="94" t="s">
        <v>1513</v>
      </c>
      <c r="W21" s="94" t="s">
        <v>1501</v>
      </c>
      <c r="X21" s="94" t="s">
        <v>1502</v>
      </c>
      <c r="Y21" s="118"/>
      <c r="Z21" s="179">
        <v>2</v>
      </c>
      <c r="AA21" s="28">
        <v>-3</v>
      </c>
      <c r="AB21" s="28">
        <v>4</v>
      </c>
      <c r="AC21" s="28">
        <v>1</v>
      </c>
      <c r="AD21" s="562" t="s">
        <v>1679</v>
      </c>
      <c r="AE21" s="314" t="s">
        <v>1472</v>
      </c>
    </row>
    <row r="22" spans="1:31" x14ac:dyDescent="0.25">
      <c r="B22" s="97" t="s">
        <v>1456</v>
      </c>
      <c r="C22" s="249">
        <v>19</v>
      </c>
      <c r="D22" s="142" t="s">
        <v>248</v>
      </c>
      <c r="E22" s="142" t="s">
        <v>126</v>
      </c>
      <c r="F22" s="250"/>
      <c r="G22" s="112"/>
      <c r="H22" s="111"/>
      <c r="I22" s="94">
        <v>9</v>
      </c>
      <c r="J22" s="94">
        <v>9</v>
      </c>
      <c r="K22" s="111"/>
      <c r="L22" s="113"/>
      <c r="M22" s="321"/>
      <c r="N22" s="111"/>
      <c r="O22" s="111"/>
      <c r="P22" s="111"/>
      <c r="Q22" s="111"/>
      <c r="R22" s="118"/>
      <c r="S22" s="113" t="s">
        <v>227</v>
      </c>
      <c r="T22" s="100" t="s">
        <v>1515</v>
      </c>
      <c r="U22" s="94" t="s">
        <v>227</v>
      </c>
      <c r="V22" s="94" t="s">
        <v>1514</v>
      </c>
      <c r="W22" s="94" t="s">
        <v>1501</v>
      </c>
      <c r="X22" s="94" t="s">
        <v>1502</v>
      </c>
      <c r="Y22" s="117" t="s">
        <v>1201</v>
      </c>
      <c r="Z22" s="179">
        <v>2</v>
      </c>
      <c r="AA22" s="28">
        <v>-3</v>
      </c>
      <c r="AB22" s="28">
        <v>4</v>
      </c>
      <c r="AC22" s="28">
        <v>1</v>
      </c>
      <c r="AD22" s="562" t="s">
        <v>1679</v>
      </c>
      <c r="AE22" s="314" t="s">
        <v>1456</v>
      </c>
    </row>
    <row r="23" spans="1:31" x14ac:dyDescent="0.25">
      <c r="B23" s="97" t="s">
        <v>1457</v>
      </c>
      <c r="C23" s="249">
        <v>20</v>
      </c>
      <c r="D23" s="142" t="s">
        <v>248</v>
      </c>
      <c r="E23" s="142" t="s">
        <v>136</v>
      </c>
      <c r="F23" s="250"/>
      <c r="G23" s="99">
        <v>12</v>
      </c>
      <c r="H23" s="94">
        <v>11</v>
      </c>
      <c r="I23" s="94">
        <v>9</v>
      </c>
      <c r="J23" s="94">
        <v>12</v>
      </c>
      <c r="K23" s="111"/>
      <c r="L23" s="113"/>
      <c r="M23" s="321"/>
      <c r="N23" s="111"/>
      <c r="O23" s="111"/>
      <c r="P23" s="111"/>
      <c r="Q23" s="111"/>
      <c r="R23" s="118"/>
      <c r="S23" s="113" t="s">
        <v>227</v>
      </c>
      <c r="T23" s="100" t="s">
        <v>1516</v>
      </c>
      <c r="U23" s="94" t="s">
        <v>1271</v>
      </c>
      <c r="V23" s="94" t="s">
        <v>1500</v>
      </c>
      <c r="W23" s="94" t="s">
        <v>1501</v>
      </c>
      <c r="X23" s="94" t="s">
        <v>1502</v>
      </c>
      <c r="Y23" s="117" t="s">
        <v>1505</v>
      </c>
      <c r="Z23" s="179">
        <v>3</v>
      </c>
      <c r="AA23" s="28">
        <v>-2</v>
      </c>
      <c r="AB23" s="28">
        <v>4</v>
      </c>
      <c r="AC23" s="28">
        <v>12</v>
      </c>
      <c r="AD23" s="562" t="s">
        <v>1679</v>
      </c>
      <c r="AE23" s="314" t="s">
        <v>1457</v>
      </c>
    </row>
    <row r="24" spans="1:31" x14ac:dyDescent="0.25">
      <c r="B24" s="97" t="s">
        <v>1468</v>
      </c>
      <c r="C24" s="249">
        <v>21</v>
      </c>
      <c r="D24" s="142" t="s">
        <v>61</v>
      </c>
      <c r="E24" s="142" t="s">
        <v>62</v>
      </c>
      <c r="F24" s="250"/>
      <c r="G24" s="99">
        <v>9</v>
      </c>
      <c r="H24" s="111"/>
      <c r="I24" s="94">
        <v>12</v>
      </c>
      <c r="J24" s="111"/>
      <c r="K24" s="94">
        <v>7</v>
      </c>
      <c r="L24" s="95">
        <v>15</v>
      </c>
      <c r="M24" s="321"/>
      <c r="N24" s="111"/>
      <c r="O24" s="111"/>
      <c r="P24" s="111"/>
      <c r="Q24" s="111"/>
      <c r="R24" s="118"/>
      <c r="S24" s="113" t="s">
        <v>227</v>
      </c>
      <c r="T24" s="100" t="s">
        <v>1515</v>
      </c>
      <c r="U24" s="94" t="s">
        <v>1509</v>
      </c>
      <c r="V24" s="94" t="s">
        <v>1517</v>
      </c>
      <c r="W24" s="94" t="s">
        <v>1501</v>
      </c>
      <c r="X24" s="94" t="s">
        <v>1511</v>
      </c>
      <c r="Y24" s="118"/>
      <c r="Z24" s="179">
        <v>4</v>
      </c>
      <c r="AA24" s="28">
        <v>-2</v>
      </c>
      <c r="AB24" s="28">
        <v>3</v>
      </c>
      <c r="AC24" s="28">
        <v>3</v>
      </c>
      <c r="AD24" s="562" t="s">
        <v>1680</v>
      </c>
      <c r="AE24" s="314" t="s">
        <v>1468</v>
      </c>
    </row>
    <row r="25" spans="1:31" x14ac:dyDescent="0.25">
      <c r="B25" s="97" t="s">
        <v>1469</v>
      </c>
      <c r="C25" s="249">
        <v>22</v>
      </c>
      <c r="D25" s="142" t="s">
        <v>61</v>
      </c>
      <c r="E25" s="142" t="s">
        <v>94</v>
      </c>
      <c r="F25" s="250"/>
      <c r="G25" s="99">
        <v>13</v>
      </c>
      <c r="H25" s="94">
        <v>13</v>
      </c>
      <c r="I25" s="94">
        <v>14</v>
      </c>
      <c r="J25" s="111"/>
      <c r="K25" s="94">
        <v>14</v>
      </c>
      <c r="L25" s="95">
        <v>15</v>
      </c>
      <c r="M25" s="321"/>
      <c r="N25" s="111"/>
      <c r="O25" s="111"/>
      <c r="P25" s="111"/>
      <c r="Q25" s="111"/>
      <c r="R25" s="118"/>
      <c r="S25" s="113" t="s">
        <v>227</v>
      </c>
      <c r="T25" s="100" t="s">
        <v>1515</v>
      </c>
      <c r="U25" s="94" t="s">
        <v>1509</v>
      </c>
      <c r="V25" s="94" t="s">
        <v>1517</v>
      </c>
      <c r="W25" s="94" t="s">
        <v>1501</v>
      </c>
      <c r="X25" s="94" t="s">
        <v>1511</v>
      </c>
      <c r="Y25" s="118"/>
      <c r="Z25" s="179">
        <v>3</v>
      </c>
      <c r="AA25" s="28">
        <v>-2</v>
      </c>
      <c r="AB25" s="28">
        <v>3</v>
      </c>
      <c r="AC25" s="28">
        <v>4</v>
      </c>
      <c r="AD25" s="562" t="s">
        <v>1680</v>
      </c>
      <c r="AE25" s="314" t="s">
        <v>1469</v>
      </c>
    </row>
    <row r="26" spans="1:31" x14ac:dyDescent="0.25">
      <c r="B26" s="97" t="s">
        <v>1470</v>
      </c>
      <c r="C26" s="249">
        <v>23</v>
      </c>
      <c r="D26" s="142" t="s">
        <v>61</v>
      </c>
      <c r="E26" s="142" t="s">
        <v>102</v>
      </c>
      <c r="F26" s="250"/>
      <c r="G26" s="112"/>
      <c r="H26" s="94">
        <v>9</v>
      </c>
      <c r="I26" s="94">
        <v>12</v>
      </c>
      <c r="J26" s="94">
        <v>6</v>
      </c>
      <c r="K26" s="111"/>
      <c r="L26" s="95">
        <v>15</v>
      </c>
      <c r="M26" s="321"/>
      <c r="N26" s="111"/>
      <c r="O26" s="111"/>
      <c r="P26" s="111"/>
      <c r="Q26" s="111"/>
      <c r="R26" s="118"/>
      <c r="S26" s="113" t="s">
        <v>227</v>
      </c>
      <c r="T26" s="100" t="s">
        <v>1515</v>
      </c>
      <c r="U26" s="94" t="s">
        <v>227</v>
      </c>
      <c r="V26" s="94" t="s">
        <v>1517</v>
      </c>
      <c r="W26" s="94" t="s">
        <v>1501</v>
      </c>
      <c r="X26" s="94" t="s">
        <v>1511</v>
      </c>
      <c r="Y26" s="118"/>
      <c r="Z26" s="179">
        <v>2</v>
      </c>
      <c r="AA26" s="28">
        <v>-4</v>
      </c>
      <c r="AB26" s="28">
        <v>5</v>
      </c>
      <c r="AC26" s="28">
        <v>2</v>
      </c>
      <c r="AD26" s="562" t="s">
        <v>1679</v>
      </c>
      <c r="AE26" s="314" t="s">
        <v>1470</v>
      </c>
    </row>
    <row r="27" spans="1:31" x14ac:dyDescent="0.25">
      <c r="B27" s="97" t="s">
        <v>1471</v>
      </c>
      <c r="C27" s="249">
        <v>24</v>
      </c>
      <c r="D27" s="142" t="s">
        <v>61</v>
      </c>
      <c r="E27" s="142" t="s">
        <v>126</v>
      </c>
      <c r="F27" s="250"/>
      <c r="G27" s="112"/>
      <c r="H27" s="111"/>
      <c r="I27" s="94">
        <v>12</v>
      </c>
      <c r="J27" s="94">
        <v>9</v>
      </c>
      <c r="K27" s="111"/>
      <c r="L27" s="113"/>
      <c r="M27" s="321"/>
      <c r="N27" s="111"/>
      <c r="O27" s="111"/>
      <c r="P27" s="111"/>
      <c r="Q27" s="111"/>
      <c r="R27" s="118"/>
      <c r="S27" s="113" t="s">
        <v>227</v>
      </c>
      <c r="T27" s="100" t="s">
        <v>1515</v>
      </c>
      <c r="U27" s="94" t="s">
        <v>227</v>
      </c>
      <c r="V27" s="94" t="s">
        <v>1514</v>
      </c>
      <c r="W27" s="94" t="s">
        <v>1501</v>
      </c>
      <c r="X27" s="94" t="s">
        <v>1511</v>
      </c>
      <c r="Y27" s="117" t="s">
        <v>1201</v>
      </c>
      <c r="Z27" s="179">
        <v>2</v>
      </c>
      <c r="AA27" s="28">
        <v>-3</v>
      </c>
      <c r="AB27" s="28">
        <v>4</v>
      </c>
      <c r="AC27" s="28">
        <v>10</v>
      </c>
      <c r="AD27" s="562" t="s">
        <v>1680</v>
      </c>
      <c r="AE27" s="314" t="s">
        <v>1471</v>
      </c>
    </row>
    <row r="28" spans="1:31" x14ac:dyDescent="0.25">
      <c r="B28" s="97" t="s">
        <v>1458</v>
      </c>
      <c r="C28" s="249">
        <v>25</v>
      </c>
      <c r="D28" s="142" t="s">
        <v>62</v>
      </c>
      <c r="E28" s="142" t="s">
        <v>102</v>
      </c>
      <c r="F28" s="250"/>
      <c r="G28" s="99">
        <v>9</v>
      </c>
      <c r="H28" s="94">
        <v>9</v>
      </c>
      <c r="I28" s="111"/>
      <c r="J28" s="94">
        <v>6</v>
      </c>
      <c r="K28" s="94">
        <v>7</v>
      </c>
      <c r="L28" s="113"/>
      <c r="M28" s="321"/>
      <c r="N28" s="111"/>
      <c r="O28" s="111"/>
      <c r="P28" s="111"/>
      <c r="Q28" s="111"/>
      <c r="R28" s="118"/>
      <c r="S28" s="113" t="s">
        <v>227</v>
      </c>
      <c r="T28" s="100" t="s">
        <v>1500</v>
      </c>
      <c r="U28" s="94" t="s">
        <v>227</v>
      </c>
      <c r="V28" s="94" t="s">
        <v>1500</v>
      </c>
      <c r="W28" s="94" t="s">
        <v>1501</v>
      </c>
      <c r="X28" s="94" t="s">
        <v>1511</v>
      </c>
      <c r="Y28" s="118"/>
      <c r="Z28" s="179">
        <v>4</v>
      </c>
      <c r="AA28" s="28">
        <v>-2</v>
      </c>
      <c r="AB28" s="28">
        <v>3</v>
      </c>
      <c r="AC28" s="28">
        <v>3</v>
      </c>
      <c r="AD28" s="562" t="s">
        <v>1679</v>
      </c>
      <c r="AE28" s="314" t="s">
        <v>1458</v>
      </c>
    </row>
    <row r="29" spans="1:31" ht="30" x14ac:dyDescent="0.25">
      <c r="B29" s="97" t="s">
        <v>1473</v>
      </c>
      <c r="C29" s="249">
        <v>26</v>
      </c>
      <c r="D29" s="142" t="s">
        <v>62</v>
      </c>
      <c r="E29" s="142" t="s">
        <v>117</v>
      </c>
      <c r="F29" s="250"/>
      <c r="G29" s="99">
        <v>9</v>
      </c>
      <c r="H29" s="94">
        <v>15</v>
      </c>
      <c r="I29" s="111"/>
      <c r="J29" s="94">
        <v>16</v>
      </c>
      <c r="K29" s="94">
        <v>7</v>
      </c>
      <c r="L29" s="113"/>
      <c r="M29" s="321"/>
      <c r="N29" s="111"/>
      <c r="O29" s="111"/>
      <c r="P29" s="111"/>
      <c r="Q29" s="111"/>
      <c r="R29" s="118"/>
      <c r="S29" s="113" t="s">
        <v>227</v>
      </c>
      <c r="T29" s="100" t="s">
        <v>1515</v>
      </c>
      <c r="U29" s="94" t="s">
        <v>227</v>
      </c>
      <c r="V29" s="94" t="s">
        <v>1500</v>
      </c>
      <c r="W29" s="94" t="s">
        <v>1501</v>
      </c>
      <c r="X29" s="94" t="s">
        <v>1511</v>
      </c>
      <c r="Y29" s="118"/>
      <c r="Z29" s="179">
        <v>4</v>
      </c>
      <c r="AA29" s="28">
        <v>-2</v>
      </c>
      <c r="AB29" s="28">
        <v>3</v>
      </c>
      <c r="AC29" s="28">
        <v>3</v>
      </c>
      <c r="AD29" s="562" t="s">
        <v>1679</v>
      </c>
      <c r="AE29" s="314" t="s">
        <v>1473</v>
      </c>
    </row>
    <row r="30" spans="1:31" x14ac:dyDescent="0.25">
      <c r="B30" s="97" t="s">
        <v>1467</v>
      </c>
      <c r="C30" s="249">
        <v>27</v>
      </c>
      <c r="D30" s="142" t="s">
        <v>62</v>
      </c>
      <c r="E30" s="142" t="s">
        <v>126</v>
      </c>
      <c r="F30" s="250"/>
      <c r="G30" s="99">
        <v>9</v>
      </c>
      <c r="H30" s="111"/>
      <c r="I30" s="111"/>
      <c r="J30" s="94">
        <v>9</v>
      </c>
      <c r="K30" s="94">
        <v>7</v>
      </c>
      <c r="L30" s="113"/>
      <c r="M30" s="321"/>
      <c r="N30" s="111"/>
      <c r="O30" s="111"/>
      <c r="P30" s="111"/>
      <c r="Q30" s="111"/>
      <c r="R30" s="118"/>
      <c r="S30" s="113" t="s">
        <v>227</v>
      </c>
      <c r="T30" s="100" t="s">
        <v>1515</v>
      </c>
      <c r="U30" s="94" t="s">
        <v>227</v>
      </c>
      <c r="V30" s="94" t="s">
        <v>1514</v>
      </c>
      <c r="W30" s="94" t="s">
        <v>1501</v>
      </c>
      <c r="X30" s="94" t="s">
        <v>1511</v>
      </c>
      <c r="Y30" s="117" t="s">
        <v>1201</v>
      </c>
      <c r="Z30" s="179">
        <v>4</v>
      </c>
      <c r="AA30" s="28">
        <v>-2</v>
      </c>
      <c r="AB30" s="28">
        <v>3</v>
      </c>
      <c r="AC30" s="28">
        <v>3</v>
      </c>
      <c r="AD30" s="562" t="s">
        <v>1679</v>
      </c>
      <c r="AE30" s="314" t="s">
        <v>1467</v>
      </c>
    </row>
    <row r="31" spans="1:31" x14ac:dyDescent="0.25">
      <c r="B31" s="97" t="s">
        <v>1459</v>
      </c>
      <c r="C31" s="249">
        <v>28</v>
      </c>
      <c r="D31" s="142" t="s">
        <v>62</v>
      </c>
      <c r="E31" s="142" t="s">
        <v>136</v>
      </c>
      <c r="F31" s="250"/>
      <c r="G31" s="99">
        <v>12</v>
      </c>
      <c r="H31" s="94">
        <v>11</v>
      </c>
      <c r="I31" s="111"/>
      <c r="J31" s="94">
        <v>12</v>
      </c>
      <c r="K31" s="94">
        <v>7</v>
      </c>
      <c r="L31" s="113"/>
      <c r="M31" s="321"/>
      <c r="N31" s="111"/>
      <c r="O31" s="111"/>
      <c r="P31" s="111"/>
      <c r="Q31" s="111"/>
      <c r="R31" s="118"/>
      <c r="S31" s="113" t="s">
        <v>227</v>
      </c>
      <c r="T31" s="100" t="s">
        <v>1516</v>
      </c>
      <c r="U31" s="94" t="s">
        <v>1271</v>
      </c>
      <c r="V31" s="94" t="s">
        <v>1500</v>
      </c>
      <c r="W31" s="94" t="s">
        <v>1501</v>
      </c>
      <c r="X31" s="94" t="s">
        <v>1511</v>
      </c>
      <c r="Y31" s="117" t="s">
        <v>1505</v>
      </c>
      <c r="Z31" s="179">
        <v>4</v>
      </c>
      <c r="AA31" s="28">
        <v>-2</v>
      </c>
      <c r="AB31" s="28">
        <v>3</v>
      </c>
      <c r="AC31" s="28">
        <v>3</v>
      </c>
      <c r="AD31" s="562" t="s">
        <v>1679</v>
      </c>
      <c r="AE31" s="314" t="s">
        <v>1459</v>
      </c>
    </row>
    <row r="32" spans="1:31" x14ac:dyDescent="0.25">
      <c r="B32" s="97" t="s">
        <v>1460</v>
      </c>
      <c r="C32" s="249">
        <v>29</v>
      </c>
      <c r="D32" s="142" t="s">
        <v>94</v>
      </c>
      <c r="E32" s="142" t="s">
        <v>102</v>
      </c>
      <c r="F32" s="250"/>
      <c r="G32" s="99">
        <v>13</v>
      </c>
      <c r="H32" s="94">
        <v>13</v>
      </c>
      <c r="I32" s="94">
        <v>14</v>
      </c>
      <c r="J32" s="94">
        <v>6</v>
      </c>
      <c r="K32" s="94">
        <v>14</v>
      </c>
      <c r="L32" s="113"/>
      <c r="M32" s="321"/>
      <c r="N32" s="111"/>
      <c r="O32" s="111"/>
      <c r="P32" s="111"/>
      <c r="Q32" s="111"/>
      <c r="R32" s="118"/>
      <c r="S32" s="113" t="s">
        <v>227</v>
      </c>
      <c r="T32" s="100" t="s">
        <v>1500</v>
      </c>
      <c r="U32" s="94" t="s">
        <v>227</v>
      </c>
      <c r="V32" s="94" t="s">
        <v>1500</v>
      </c>
      <c r="W32" s="94" t="s">
        <v>1501</v>
      </c>
      <c r="X32" s="94" t="s">
        <v>1511</v>
      </c>
      <c r="Y32" s="118"/>
      <c r="Z32" s="179">
        <v>3</v>
      </c>
      <c r="AA32" s="28">
        <v>-2</v>
      </c>
      <c r="AB32" s="28">
        <v>3</v>
      </c>
      <c r="AC32" s="28">
        <v>4</v>
      </c>
      <c r="AD32" s="562" t="s">
        <v>1679</v>
      </c>
      <c r="AE32" s="314" t="s">
        <v>1460</v>
      </c>
    </row>
    <row r="33" spans="2:34" x14ac:dyDescent="0.25">
      <c r="B33" s="97" t="s">
        <v>1461</v>
      </c>
      <c r="C33" s="249">
        <v>30</v>
      </c>
      <c r="D33" s="142" t="s">
        <v>102</v>
      </c>
      <c r="E33" s="142" t="s">
        <v>126</v>
      </c>
      <c r="F33" s="250"/>
      <c r="G33" s="112"/>
      <c r="H33" s="94">
        <v>9</v>
      </c>
      <c r="I33" s="111"/>
      <c r="J33" s="94">
        <v>9</v>
      </c>
      <c r="K33" s="111"/>
      <c r="L33" s="113"/>
      <c r="M33" s="321"/>
      <c r="N33" s="111"/>
      <c r="O33" s="111"/>
      <c r="P33" s="111"/>
      <c r="Q33" s="111"/>
      <c r="R33" s="118"/>
      <c r="S33" s="113" t="s">
        <v>227</v>
      </c>
      <c r="T33" s="100" t="s">
        <v>1515</v>
      </c>
      <c r="U33" s="94" t="s">
        <v>227</v>
      </c>
      <c r="V33" s="94" t="s">
        <v>1514</v>
      </c>
      <c r="W33" s="94" t="s">
        <v>1501</v>
      </c>
      <c r="X33" s="94" t="s">
        <v>1511</v>
      </c>
      <c r="Y33" s="117" t="s">
        <v>1201</v>
      </c>
      <c r="Z33" s="179">
        <v>2</v>
      </c>
      <c r="AA33" s="28">
        <v>-3</v>
      </c>
      <c r="AB33" s="28">
        <v>4</v>
      </c>
      <c r="AC33" s="28">
        <v>10</v>
      </c>
      <c r="AD33" s="562" t="s">
        <v>1680</v>
      </c>
      <c r="AE33" s="314" t="s">
        <v>1461</v>
      </c>
    </row>
    <row r="34" spans="2:34" x14ac:dyDescent="0.25">
      <c r="B34" s="97" t="s">
        <v>1462</v>
      </c>
      <c r="C34" s="249">
        <v>31</v>
      </c>
      <c r="D34" s="142" t="s">
        <v>102</v>
      </c>
      <c r="E34" s="142" t="s">
        <v>136</v>
      </c>
      <c r="F34" s="250"/>
      <c r="G34" s="99">
        <v>12</v>
      </c>
      <c r="H34" s="94">
        <v>11</v>
      </c>
      <c r="I34" s="111"/>
      <c r="J34" s="94">
        <v>12</v>
      </c>
      <c r="K34" s="111"/>
      <c r="L34" s="113"/>
      <c r="M34" s="321"/>
      <c r="N34" s="111"/>
      <c r="O34" s="111"/>
      <c r="P34" s="111"/>
      <c r="Q34" s="111"/>
      <c r="R34" s="118"/>
      <c r="S34" s="113" t="s">
        <v>227</v>
      </c>
      <c r="T34" s="100" t="s">
        <v>1516</v>
      </c>
      <c r="U34" s="94" t="s">
        <v>227</v>
      </c>
      <c r="V34" s="94" t="s">
        <v>1500</v>
      </c>
      <c r="W34" s="94" t="s">
        <v>1501</v>
      </c>
      <c r="X34" s="94" t="s">
        <v>1511</v>
      </c>
      <c r="Y34" s="117" t="s">
        <v>1505</v>
      </c>
      <c r="Z34" s="179">
        <v>3</v>
      </c>
      <c r="AA34" s="28">
        <v>-2</v>
      </c>
      <c r="AB34" s="28">
        <v>4</v>
      </c>
      <c r="AC34" s="28">
        <v>12</v>
      </c>
      <c r="AD34" s="562" t="s">
        <v>1680</v>
      </c>
      <c r="AE34" s="314" t="s">
        <v>1462</v>
      </c>
    </row>
    <row r="35" spans="2:34" ht="30" x14ac:dyDescent="0.25">
      <c r="B35" s="97" t="s">
        <v>1474</v>
      </c>
      <c r="C35" s="249">
        <v>32</v>
      </c>
      <c r="D35" s="142" t="s">
        <v>117</v>
      </c>
      <c r="E35" s="142" t="s">
        <v>126</v>
      </c>
      <c r="F35" s="250"/>
      <c r="G35" s="112"/>
      <c r="H35" s="94">
        <v>15</v>
      </c>
      <c r="I35" s="111"/>
      <c r="J35" s="94">
        <v>16</v>
      </c>
      <c r="K35" s="111"/>
      <c r="L35" s="113"/>
      <c r="M35" s="321"/>
      <c r="N35" s="111"/>
      <c r="O35" s="111"/>
      <c r="P35" s="111"/>
      <c r="Q35" s="111"/>
      <c r="R35" s="118"/>
      <c r="S35" s="113" t="s">
        <v>227</v>
      </c>
      <c r="T35" s="100" t="s">
        <v>1515</v>
      </c>
      <c r="U35" s="94" t="s">
        <v>227</v>
      </c>
      <c r="V35" s="94" t="s">
        <v>1514</v>
      </c>
      <c r="W35" s="94" t="s">
        <v>1501</v>
      </c>
      <c r="X35" s="94" t="s">
        <v>1511</v>
      </c>
      <c r="Y35" s="117" t="s">
        <v>1201</v>
      </c>
      <c r="Z35" s="179">
        <v>2</v>
      </c>
      <c r="AA35" s="28">
        <v>-3</v>
      </c>
      <c r="AB35" s="28">
        <v>4</v>
      </c>
      <c r="AC35" s="28">
        <v>10</v>
      </c>
      <c r="AD35" s="562" t="s">
        <v>1680</v>
      </c>
      <c r="AE35" s="314" t="s">
        <v>1474</v>
      </c>
    </row>
    <row r="36" spans="2:34" ht="30" x14ac:dyDescent="0.25">
      <c r="B36" s="97" t="s">
        <v>1507</v>
      </c>
      <c r="C36" s="249">
        <v>33</v>
      </c>
      <c r="D36" s="142" t="s">
        <v>117</v>
      </c>
      <c r="E36" s="142" t="s">
        <v>136</v>
      </c>
      <c r="F36" s="250"/>
      <c r="G36" s="99">
        <v>12</v>
      </c>
      <c r="H36" s="94">
        <v>15</v>
      </c>
      <c r="I36" s="111"/>
      <c r="J36" s="94">
        <v>16</v>
      </c>
      <c r="K36" s="111"/>
      <c r="L36" s="113"/>
      <c r="M36" s="321"/>
      <c r="N36" s="111"/>
      <c r="O36" s="111"/>
      <c r="P36" s="111"/>
      <c r="Q36" s="111"/>
      <c r="R36" s="118"/>
      <c r="S36" s="113" t="s">
        <v>227</v>
      </c>
      <c r="T36" s="100" t="s">
        <v>1516</v>
      </c>
      <c r="U36" s="94" t="s">
        <v>227</v>
      </c>
      <c r="V36" s="94" t="s">
        <v>1500</v>
      </c>
      <c r="W36" s="94" t="s">
        <v>1501</v>
      </c>
      <c r="X36" s="94" t="s">
        <v>1511</v>
      </c>
      <c r="Y36" s="117" t="s">
        <v>1505</v>
      </c>
      <c r="Z36" s="179">
        <v>3</v>
      </c>
      <c r="AA36" s="28">
        <v>-2</v>
      </c>
      <c r="AB36" s="28">
        <v>4</v>
      </c>
      <c r="AC36" s="28">
        <v>12</v>
      </c>
      <c r="AD36" s="562" t="s">
        <v>1680</v>
      </c>
      <c r="AE36" s="314" t="s">
        <v>1507</v>
      </c>
    </row>
    <row r="37" spans="2:34" x14ac:dyDescent="0.25">
      <c r="B37" s="97" t="s">
        <v>1463</v>
      </c>
      <c r="C37" s="249">
        <v>34</v>
      </c>
      <c r="D37" s="142" t="s">
        <v>248</v>
      </c>
      <c r="E37" s="142" t="s">
        <v>62</v>
      </c>
      <c r="F37" s="251" t="s">
        <v>102</v>
      </c>
      <c r="G37" s="99">
        <v>9</v>
      </c>
      <c r="H37" s="94">
        <v>9</v>
      </c>
      <c r="I37" s="94">
        <v>9</v>
      </c>
      <c r="J37" s="94">
        <v>6</v>
      </c>
      <c r="K37" s="94">
        <v>7</v>
      </c>
      <c r="L37" s="113"/>
      <c r="M37" s="321"/>
      <c r="N37" s="111"/>
      <c r="O37" s="111"/>
      <c r="P37" s="111"/>
      <c r="Q37" s="111"/>
      <c r="R37" s="118"/>
      <c r="S37" s="113" t="s">
        <v>227</v>
      </c>
      <c r="T37" s="100" t="s">
        <v>1500</v>
      </c>
      <c r="U37" s="94" t="s">
        <v>227</v>
      </c>
      <c r="V37" s="94" t="s">
        <v>1500</v>
      </c>
      <c r="W37" s="94" t="s">
        <v>1501</v>
      </c>
      <c r="X37" s="94" t="s">
        <v>1511</v>
      </c>
      <c r="Y37" s="118"/>
      <c r="Z37" s="179">
        <v>4</v>
      </c>
      <c r="AA37" s="28">
        <v>-2</v>
      </c>
      <c r="AB37" s="28">
        <v>3</v>
      </c>
      <c r="AC37" s="28">
        <v>3</v>
      </c>
      <c r="AD37" s="562" t="s">
        <v>1680</v>
      </c>
      <c r="AE37" s="314" t="s">
        <v>1463</v>
      </c>
    </row>
    <row r="38" spans="2:34" x14ac:dyDescent="0.25">
      <c r="B38" s="97" t="s">
        <v>1464</v>
      </c>
      <c r="C38" s="249">
        <v>35</v>
      </c>
      <c r="D38" s="142" t="s">
        <v>248</v>
      </c>
      <c r="E38" s="142" t="s">
        <v>62</v>
      </c>
      <c r="F38" s="251" t="s">
        <v>126</v>
      </c>
      <c r="G38" s="99">
        <v>9</v>
      </c>
      <c r="H38" s="111"/>
      <c r="I38" s="94">
        <v>9</v>
      </c>
      <c r="J38" s="94">
        <v>9</v>
      </c>
      <c r="K38" s="94">
        <v>7</v>
      </c>
      <c r="L38" s="113"/>
      <c r="M38" s="321"/>
      <c r="N38" s="111"/>
      <c r="O38" s="111"/>
      <c r="P38" s="111"/>
      <c r="Q38" s="111"/>
      <c r="R38" s="118"/>
      <c r="S38" s="113" t="s">
        <v>227</v>
      </c>
      <c r="T38" s="100" t="s">
        <v>1515</v>
      </c>
      <c r="U38" s="94" t="s">
        <v>227</v>
      </c>
      <c r="V38" s="94" t="s">
        <v>1514</v>
      </c>
      <c r="W38" s="94" t="s">
        <v>1501</v>
      </c>
      <c r="X38" s="94" t="s">
        <v>1511</v>
      </c>
      <c r="Y38" s="117" t="s">
        <v>1201</v>
      </c>
      <c r="Z38" s="179">
        <v>4</v>
      </c>
      <c r="AA38" s="28">
        <v>-2</v>
      </c>
      <c r="AB38" s="28">
        <v>3</v>
      </c>
      <c r="AC38" s="28">
        <v>3</v>
      </c>
      <c r="AD38" s="562" t="s">
        <v>1680</v>
      </c>
      <c r="AE38" s="314" t="s">
        <v>1464</v>
      </c>
    </row>
    <row r="39" spans="2:34" ht="15" customHeight="1" x14ac:dyDescent="0.25">
      <c r="B39" s="97" t="s">
        <v>1466</v>
      </c>
      <c r="C39" s="249">
        <v>36</v>
      </c>
      <c r="D39" s="142" t="s">
        <v>248</v>
      </c>
      <c r="E39" s="142" t="s">
        <v>102</v>
      </c>
      <c r="F39" s="251" t="s">
        <v>126</v>
      </c>
      <c r="G39" s="112"/>
      <c r="H39" s="94">
        <v>9</v>
      </c>
      <c r="I39" s="94">
        <v>9</v>
      </c>
      <c r="J39" s="94">
        <v>9</v>
      </c>
      <c r="K39" s="111"/>
      <c r="L39" s="113"/>
      <c r="M39" s="321"/>
      <c r="N39" s="111"/>
      <c r="O39" s="111"/>
      <c r="P39" s="111"/>
      <c r="Q39" s="111"/>
      <c r="R39" s="118"/>
      <c r="S39" s="113" t="s">
        <v>227</v>
      </c>
      <c r="T39" s="100" t="s">
        <v>1515</v>
      </c>
      <c r="U39" s="94" t="s">
        <v>227</v>
      </c>
      <c r="V39" s="94" t="s">
        <v>1514</v>
      </c>
      <c r="W39" s="94" t="s">
        <v>1501</v>
      </c>
      <c r="X39" s="94" t="s">
        <v>1511</v>
      </c>
      <c r="Y39" s="117" t="s">
        <v>1201</v>
      </c>
      <c r="Z39" s="179">
        <v>2</v>
      </c>
      <c r="AA39" s="28">
        <v>-3</v>
      </c>
      <c r="AB39" s="28">
        <v>4</v>
      </c>
      <c r="AC39" s="28">
        <v>1</v>
      </c>
      <c r="AD39" s="562" t="s">
        <v>1679</v>
      </c>
      <c r="AE39" s="314" t="s">
        <v>1466</v>
      </c>
    </row>
    <row r="40" spans="2:34" ht="15" customHeight="1" thickBot="1" x14ac:dyDescent="0.3">
      <c r="B40" s="98" t="s">
        <v>1465</v>
      </c>
      <c r="C40" s="174">
        <v>37</v>
      </c>
      <c r="D40" s="167" t="s">
        <v>62</v>
      </c>
      <c r="E40" s="167" t="s">
        <v>102</v>
      </c>
      <c r="F40" s="175" t="s">
        <v>126</v>
      </c>
      <c r="G40" s="247">
        <v>9</v>
      </c>
      <c r="H40" s="96">
        <v>9</v>
      </c>
      <c r="I40" s="114"/>
      <c r="J40" s="96">
        <v>9</v>
      </c>
      <c r="K40" s="96">
        <v>7</v>
      </c>
      <c r="L40" s="115"/>
      <c r="M40" s="322"/>
      <c r="N40" s="114"/>
      <c r="O40" s="114"/>
      <c r="P40" s="114"/>
      <c r="Q40" s="114"/>
      <c r="R40" s="119"/>
      <c r="S40" s="115" t="s">
        <v>227</v>
      </c>
      <c r="T40" s="101" t="s">
        <v>1515</v>
      </c>
      <c r="U40" s="96" t="s">
        <v>227</v>
      </c>
      <c r="V40" s="96" t="s">
        <v>1514</v>
      </c>
      <c r="W40" s="96" t="s">
        <v>1501</v>
      </c>
      <c r="X40" s="96" t="s">
        <v>1511</v>
      </c>
      <c r="Y40" s="326" t="s">
        <v>1201</v>
      </c>
      <c r="Z40" s="213">
        <v>2</v>
      </c>
      <c r="AA40" s="32">
        <v>-3</v>
      </c>
      <c r="AB40" s="32">
        <v>4</v>
      </c>
      <c r="AC40" s="32">
        <v>3</v>
      </c>
      <c r="AD40" s="563" t="s">
        <v>1679</v>
      </c>
      <c r="AE40" s="315" t="s">
        <v>1465</v>
      </c>
    </row>
    <row r="42" spans="2:34" s="27" customFormat="1" ht="19.5" thickBot="1" x14ac:dyDescent="0.35">
      <c r="B42" s="121" t="s">
        <v>333</v>
      </c>
      <c r="Z42"/>
      <c r="AA42"/>
      <c r="AB42"/>
      <c r="AC42"/>
      <c r="AD42"/>
      <c r="AE42"/>
      <c r="AF42"/>
      <c r="AG42"/>
      <c r="AH42"/>
    </row>
    <row r="43" spans="2:34" s="27" customFormat="1" ht="15.75" thickBot="1" x14ac:dyDescent="0.3">
      <c r="B43" s="137" t="s">
        <v>1524</v>
      </c>
      <c r="C43" s="138" t="s">
        <v>1525</v>
      </c>
      <c r="D43" s="138" t="s">
        <v>1448</v>
      </c>
      <c r="E43" s="138" t="s">
        <v>1526</v>
      </c>
      <c r="F43" s="138" t="s">
        <v>1530</v>
      </c>
      <c r="G43" s="138" t="s">
        <v>1531</v>
      </c>
      <c r="H43" s="138" t="s">
        <v>1532</v>
      </c>
      <c r="I43" s="139" t="s">
        <v>1533</v>
      </c>
      <c r="Z43"/>
      <c r="AA43"/>
      <c r="AB43"/>
      <c r="AC43"/>
      <c r="AD43"/>
      <c r="AE43"/>
      <c r="AF43"/>
      <c r="AG43"/>
      <c r="AH43"/>
    </row>
    <row r="44" spans="2:34" s="27" customFormat="1" x14ac:dyDescent="0.25">
      <c r="B44" s="239">
        <v>1</v>
      </c>
      <c r="C44" s="133">
        <v>10</v>
      </c>
      <c r="D44" s="133">
        <v>45</v>
      </c>
      <c r="E44" s="133">
        <v>1</v>
      </c>
      <c r="F44" s="134" t="s">
        <v>387</v>
      </c>
      <c r="G44" s="133">
        <v>0.5</v>
      </c>
      <c r="H44" s="135">
        <v>0.33</v>
      </c>
      <c r="I44" s="136"/>
      <c r="Z44"/>
      <c r="AA44"/>
      <c r="AB44"/>
      <c r="AC44"/>
      <c r="AD44"/>
      <c r="AE44"/>
      <c r="AF44"/>
      <c r="AG44"/>
      <c r="AH44"/>
    </row>
    <row r="45" spans="2:34" s="27" customFormat="1" x14ac:dyDescent="0.25">
      <c r="B45" s="240">
        <v>2</v>
      </c>
      <c r="C45" s="28">
        <v>9</v>
      </c>
      <c r="D45" s="28">
        <v>48</v>
      </c>
      <c r="E45" s="28">
        <v>1</v>
      </c>
      <c r="F45" s="128" t="s">
        <v>197</v>
      </c>
      <c r="G45" s="28">
        <v>1</v>
      </c>
      <c r="H45" s="129">
        <v>0.32</v>
      </c>
      <c r="I45" s="30"/>
      <c r="Z45"/>
      <c r="AA45"/>
      <c r="AB45"/>
      <c r="AC45"/>
      <c r="AD45"/>
      <c r="AE45"/>
      <c r="AF45"/>
      <c r="AG45"/>
      <c r="AH45"/>
    </row>
    <row r="46" spans="2:34" s="27" customFormat="1" x14ac:dyDescent="0.25">
      <c r="B46" s="240">
        <v>3</v>
      </c>
      <c r="C46" s="28">
        <v>8</v>
      </c>
      <c r="D46" s="28">
        <v>51</v>
      </c>
      <c r="E46" s="28">
        <v>1</v>
      </c>
      <c r="F46" s="128" t="s">
        <v>191</v>
      </c>
      <c r="G46" s="28">
        <v>1.5</v>
      </c>
      <c r="H46" s="129">
        <v>0.3</v>
      </c>
      <c r="I46" s="30" t="s">
        <v>1505</v>
      </c>
      <c r="J46" s="228" t="s">
        <v>1535</v>
      </c>
      <c r="Z46"/>
      <c r="AA46"/>
      <c r="AB46"/>
      <c r="AC46"/>
      <c r="AD46"/>
      <c r="AE46"/>
      <c r="AF46"/>
      <c r="AG46"/>
      <c r="AH46"/>
    </row>
    <row r="47" spans="2:34" s="27" customFormat="1" x14ac:dyDescent="0.25">
      <c r="B47" s="240">
        <v>4</v>
      </c>
      <c r="C47" s="28">
        <v>7</v>
      </c>
      <c r="D47" s="28">
        <v>54</v>
      </c>
      <c r="E47" s="128" t="s">
        <v>1527</v>
      </c>
      <c r="F47" s="128" t="s">
        <v>191</v>
      </c>
      <c r="G47" s="28">
        <v>2</v>
      </c>
      <c r="H47" s="129">
        <v>0.28000000000000003</v>
      </c>
      <c r="I47" s="30" t="s">
        <v>1534</v>
      </c>
      <c r="J47" s="228" t="s">
        <v>1536</v>
      </c>
      <c r="Z47"/>
      <c r="AA47"/>
      <c r="AB47"/>
      <c r="AC47"/>
      <c r="AD47"/>
      <c r="AE47"/>
      <c r="AF47"/>
      <c r="AG47"/>
      <c r="AH47"/>
    </row>
    <row r="48" spans="2:34" s="27" customFormat="1" x14ac:dyDescent="0.25">
      <c r="B48" s="240">
        <v>5</v>
      </c>
      <c r="C48" s="28">
        <v>7</v>
      </c>
      <c r="D48" s="28">
        <v>57</v>
      </c>
      <c r="E48" s="128" t="s">
        <v>1527</v>
      </c>
      <c r="F48" s="128" t="s">
        <v>384</v>
      </c>
      <c r="G48" s="28">
        <v>2.5</v>
      </c>
      <c r="H48" s="129">
        <v>0.26</v>
      </c>
      <c r="I48" s="30" t="s">
        <v>1196</v>
      </c>
      <c r="J48" s="228" t="s">
        <v>1537</v>
      </c>
      <c r="Z48"/>
      <c r="AA48"/>
      <c r="AB48"/>
      <c r="AC48"/>
      <c r="AD48"/>
      <c r="AE48"/>
      <c r="AF48"/>
      <c r="AG48"/>
      <c r="AH48"/>
    </row>
    <row r="49" spans="2:34" s="27" customFormat="1" x14ac:dyDescent="0.25">
      <c r="B49" s="240">
        <v>6</v>
      </c>
      <c r="C49" s="28">
        <v>6</v>
      </c>
      <c r="D49" s="28">
        <v>60</v>
      </c>
      <c r="E49" s="128" t="s">
        <v>1528</v>
      </c>
      <c r="F49" s="128" t="s">
        <v>204</v>
      </c>
      <c r="G49" s="28">
        <v>3</v>
      </c>
      <c r="H49" s="129">
        <v>0.24</v>
      </c>
      <c r="I49" s="30" t="s">
        <v>1534</v>
      </c>
      <c r="J49" s="228" t="s">
        <v>1538</v>
      </c>
      <c r="Z49"/>
      <c r="AA49"/>
      <c r="AB49"/>
      <c r="AC49"/>
      <c r="AD49"/>
      <c r="AE49"/>
      <c r="AF49"/>
      <c r="AG49"/>
      <c r="AH49"/>
    </row>
    <row r="50" spans="2:34" s="27" customFormat="1" x14ac:dyDescent="0.25">
      <c r="B50" s="240">
        <v>7</v>
      </c>
      <c r="C50" s="28">
        <v>5</v>
      </c>
      <c r="D50" s="28">
        <v>63</v>
      </c>
      <c r="E50" s="128" t="s">
        <v>1528</v>
      </c>
      <c r="F50" s="128" t="s">
        <v>404</v>
      </c>
      <c r="G50" s="28">
        <v>3.5</v>
      </c>
      <c r="H50" s="129">
        <v>0.22</v>
      </c>
      <c r="I50" s="30" t="s">
        <v>1196</v>
      </c>
      <c r="J50" s="228" t="s">
        <v>1539</v>
      </c>
      <c r="Z50"/>
      <c r="AA50"/>
      <c r="AB50"/>
      <c r="AC50"/>
      <c r="AD50"/>
      <c r="AE50"/>
      <c r="AF50"/>
      <c r="AG50"/>
      <c r="AH50"/>
    </row>
    <row r="51" spans="2:34" s="27" customFormat="1" x14ac:dyDescent="0.25">
      <c r="B51" s="240">
        <v>8</v>
      </c>
      <c r="C51" s="28">
        <v>4</v>
      </c>
      <c r="D51" s="28">
        <v>66</v>
      </c>
      <c r="E51" s="128" t="s">
        <v>1528</v>
      </c>
      <c r="F51" s="128" t="s">
        <v>209</v>
      </c>
      <c r="G51" s="28">
        <v>4</v>
      </c>
      <c r="H51" s="129">
        <v>0.2</v>
      </c>
      <c r="I51" s="30" t="s">
        <v>1534</v>
      </c>
      <c r="J51" s="228" t="s">
        <v>1540</v>
      </c>
      <c r="Z51"/>
      <c r="AA51"/>
      <c r="AB51"/>
      <c r="AC51"/>
      <c r="AD51"/>
      <c r="AE51"/>
      <c r="AF51"/>
      <c r="AG51"/>
      <c r="AH51"/>
    </row>
    <row r="52" spans="2:34" s="27" customFormat="1" x14ac:dyDescent="0.25">
      <c r="B52" s="240">
        <v>9</v>
      </c>
      <c r="C52" s="28">
        <v>3</v>
      </c>
      <c r="D52" s="28">
        <v>69</v>
      </c>
      <c r="E52" s="28">
        <v>2</v>
      </c>
      <c r="F52" s="128" t="s">
        <v>212</v>
      </c>
      <c r="G52" s="28">
        <v>4.5</v>
      </c>
      <c r="H52" s="129">
        <v>0.18</v>
      </c>
      <c r="I52" s="30" t="s">
        <v>1196</v>
      </c>
      <c r="J52" s="228" t="s">
        <v>1541</v>
      </c>
      <c r="Z52"/>
      <c r="AA52"/>
      <c r="AB52"/>
      <c r="AC52"/>
      <c r="AD52"/>
      <c r="AE52"/>
      <c r="AF52"/>
      <c r="AG52"/>
      <c r="AH52"/>
    </row>
    <row r="53" spans="2:34" s="27" customFormat="1" x14ac:dyDescent="0.25">
      <c r="B53" s="240">
        <v>10</v>
      </c>
      <c r="C53" s="28">
        <v>3</v>
      </c>
      <c r="D53" s="28">
        <v>72</v>
      </c>
      <c r="E53" s="28">
        <v>2</v>
      </c>
      <c r="F53" s="128" t="s">
        <v>1862</v>
      </c>
      <c r="G53" s="28">
        <v>5</v>
      </c>
      <c r="H53" s="129">
        <v>0.16</v>
      </c>
      <c r="I53" s="30" t="s">
        <v>1534</v>
      </c>
      <c r="J53" s="228" t="s">
        <v>1542</v>
      </c>
      <c r="Z53"/>
      <c r="AA53"/>
      <c r="AB53"/>
      <c r="AC53"/>
      <c r="AD53"/>
      <c r="AE53"/>
      <c r="AF53"/>
      <c r="AG53"/>
      <c r="AH53"/>
    </row>
    <row r="54" spans="2:34" s="27" customFormat="1" x14ac:dyDescent="0.25">
      <c r="B54" s="240">
        <v>11</v>
      </c>
      <c r="C54" s="28">
        <v>2</v>
      </c>
      <c r="D54" s="28">
        <v>75</v>
      </c>
      <c r="E54" s="128" t="s">
        <v>1529</v>
      </c>
      <c r="F54" s="128" t="s">
        <v>1863</v>
      </c>
      <c r="G54" s="28">
        <v>5.5</v>
      </c>
      <c r="H54" s="129">
        <v>0.14000000000000001</v>
      </c>
      <c r="I54" s="30" t="s">
        <v>1196</v>
      </c>
      <c r="J54" s="228" t="s">
        <v>1543</v>
      </c>
      <c r="Z54"/>
      <c r="AA54"/>
      <c r="AB54"/>
      <c r="AC54"/>
      <c r="AD54"/>
      <c r="AE54"/>
      <c r="AF54"/>
      <c r="AG54"/>
      <c r="AH54"/>
    </row>
    <row r="55" spans="2:34" s="27" customFormat="1" x14ac:dyDescent="0.25">
      <c r="B55" s="240">
        <v>12</v>
      </c>
      <c r="C55" s="28">
        <v>1</v>
      </c>
      <c r="D55" s="28">
        <v>78</v>
      </c>
      <c r="E55" s="128" t="s">
        <v>1529</v>
      </c>
      <c r="F55" s="128" t="s">
        <v>405</v>
      </c>
      <c r="G55" s="28">
        <v>6</v>
      </c>
      <c r="H55" s="129">
        <v>0.12</v>
      </c>
      <c r="I55" s="30" t="s">
        <v>1534</v>
      </c>
      <c r="J55" s="228" t="s">
        <v>1544</v>
      </c>
      <c r="Z55"/>
      <c r="AA55"/>
      <c r="AB55"/>
      <c r="AC55"/>
      <c r="AD55"/>
      <c r="AE55"/>
      <c r="AF55"/>
      <c r="AG55"/>
      <c r="AH55"/>
    </row>
    <row r="56" spans="2:34" s="27" customFormat="1" x14ac:dyDescent="0.25">
      <c r="B56" s="240">
        <v>13</v>
      </c>
      <c r="C56" s="28">
        <v>0</v>
      </c>
      <c r="D56" s="28">
        <v>81</v>
      </c>
      <c r="E56" s="128" t="s">
        <v>1529</v>
      </c>
      <c r="F56" s="128" t="s">
        <v>1864</v>
      </c>
      <c r="G56" s="28">
        <v>6.5</v>
      </c>
      <c r="H56" s="129">
        <v>0.1</v>
      </c>
      <c r="I56" s="30" t="s">
        <v>1196</v>
      </c>
      <c r="J56" s="228" t="s">
        <v>1545</v>
      </c>
      <c r="Z56"/>
      <c r="AA56"/>
      <c r="AB56"/>
      <c r="AC56"/>
      <c r="AD56"/>
      <c r="AE56"/>
      <c r="AF56"/>
      <c r="AG56"/>
      <c r="AH56"/>
    </row>
    <row r="57" spans="2:34" s="27" customFormat="1" x14ac:dyDescent="0.25">
      <c r="B57" s="240">
        <v>14</v>
      </c>
      <c r="C57" s="28">
        <v>-1</v>
      </c>
      <c r="D57" s="28">
        <v>84</v>
      </c>
      <c r="E57" s="28">
        <v>3</v>
      </c>
      <c r="F57" s="128" t="s">
        <v>406</v>
      </c>
      <c r="G57" s="28">
        <v>7</v>
      </c>
      <c r="H57" s="129">
        <v>0.08</v>
      </c>
      <c r="I57" s="30"/>
      <c r="Z57"/>
      <c r="AA57"/>
      <c r="AB57"/>
      <c r="AC57"/>
      <c r="AD57"/>
      <c r="AE57"/>
      <c r="AF57"/>
      <c r="AG57"/>
      <c r="AH57"/>
    </row>
    <row r="58" spans="2:34" s="27" customFormat="1" x14ac:dyDescent="0.25">
      <c r="B58" s="240">
        <v>15</v>
      </c>
      <c r="C58" s="28">
        <v>-1</v>
      </c>
      <c r="D58" s="28">
        <v>87</v>
      </c>
      <c r="E58" s="28">
        <v>3</v>
      </c>
      <c r="F58" s="128" t="s">
        <v>407</v>
      </c>
      <c r="G58" s="28">
        <v>7.5</v>
      </c>
      <c r="H58" s="129">
        <v>0.06</v>
      </c>
      <c r="I58" s="30"/>
      <c r="Z58"/>
      <c r="AA58"/>
      <c r="AB58"/>
      <c r="AC58"/>
      <c r="AD58"/>
      <c r="AE58"/>
      <c r="AF58"/>
      <c r="AG58"/>
      <c r="AH58"/>
    </row>
    <row r="59" spans="2:34" s="27" customFormat="1" x14ac:dyDescent="0.25">
      <c r="B59" s="240">
        <v>16</v>
      </c>
      <c r="C59" s="28">
        <v>-2</v>
      </c>
      <c r="D59" s="28">
        <v>90</v>
      </c>
      <c r="E59" s="28">
        <v>4</v>
      </c>
      <c r="F59" s="128" t="s">
        <v>408</v>
      </c>
      <c r="G59" s="28">
        <v>8</v>
      </c>
      <c r="H59" s="129">
        <v>0.04</v>
      </c>
      <c r="I59" s="30"/>
      <c r="Z59"/>
      <c r="AA59"/>
      <c r="AB59"/>
      <c r="AC59"/>
      <c r="AD59"/>
      <c r="AE59"/>
      <c r="AF59"/>
      <c r="AG59"/>
      <c r="AH59"/>
    </row>
    <row r="60" spans="2:34" s="27" customFormat="1" ht="15.75" thickBot="1" x14ac:dyDescent="0.3">
      <c r="B60" s="241">
        <v>17</v>
      </c>
      <c r="C60" s="32">
        <v>-3</v>
      </c>
      <c r="D60" s="32">
        <v>96</v>
      </c>
      <c r="E60" s="32">
        <v>4</v>
      </c>
      <c r="F60" s="130" t="s">
        <v>409</v>
      </c>
      <c r="G60" s="32">
        <v>8.5</v>
      </c>
      <c r="H60" s="131">
        <v>0.02</v>
      </c>
      <c r="I60" s="33"/>
      <c r="Z60"/>
      <c r="AA60"/>
      <c r="AB60"/>
      <c r="AC60"/>
      <c r="AD60"/>
      <c r="AE60"/>
      <c r="AF60"/>
      <c r="AG60"/>
      <c r="AH60"/>
    </row>
    <row r="61" spans="2:34" x14ac:dyDescent="0.25">
      <c r="C61" s="27"/>
      <c r="D61" s="27"/>
      <c r="E61" s="27"/>
      <c r="F61" s="27"/>
      <c r="G61" s="27"/>
      <c r="H61" s="27"/>
      <c r="I61" s="27"/>
      <c r="J61" s="27"/>
      <c r="K61" s="27"/>
      <c r="L61" s="27"/>
      <c r="M61" s="27"/>
      <c r="N61" s="27"/>
      <c r="O61" s="27"/>
      <c r="P61" s="27"/>
      <c r="Q61" s="27"/>
      <c r="R61" s="27"/>
      <c r="S61" s="27"/>
      <c r="T61" s="27"/>
      <c r="U61" s="27"/>
      <c r="V61" s="27"/>
      <c r="W61" s="27"/>
      <c r="X61" s="27"/>
      <c r="Y61" s="27"/>
    </row>
    <row r="62" spans="2:34" ht="15.75" thickBot="1" x14ac:dyDescent="0.3">
      <c r="B62" s="540" t="s">
        <v>1843</v>
      </c>
      <c r="C62" s="541"/>
      <c r="D62" s="541"/>
      <c r="E62" s="541"/>
      <c r="F62" s="542"/>
      <c r="G62" s="543"/>
      <c r="H62" s="543"/>
      <c r="I62" s="543"/>
    </row>
    <row r="63" spans="2:34" s="26" customFormat="1" ht="15.75" thickBot="1" x14ac:dyDescent="0.3">
      <c r="B63" s="544" t="s">
        <v>1830</v>
      </c>
      <c r="C63" s="545" t="s">
        <v>1841</v>
      </c>
      <c r="D63" s="329" t="s">
        <v>1846</v>
      </c>
      <c r="E63" s="329" t="s">
        <v>1847</v>
      </c>
      <c r="F63" s="329" t="s">
        <v>1848</v>
      </c>
      <c r="G63" s="329" t="s">
        <v>1849</v>
      </c>
      <c r="H63" s="329" t="s">
        <v>1850</v>
      </c>
      <c r="I63" s="546" t="s">
        <v>1851</v>
      </c>
      <c r="T63" s="364"/>
      <c r="U63" s="364"/>
      <c r="V63" s="364"/>
      <c r="W63" s="364"/>
      <c r="X63" s="364"/>
      <c r="Y63" s="364"/>
    </row>
    <row r="64" spans="2:34" x14ac:dyDescent="0.25">
      <c r="B64" s="547" t="s">
        <v>1831</v>
      </c>
      <c r="C64" s="548">
        <f>'Armures-Armes'!C103</f>
        <v>2</v>
      </c>
      <c r="D64" s="549">
        <v>1</v>
      </c>
      <c r="E64" s="549">
        <v>2</v>
      </c>
      <c r="F64" s="549"/>
      <c r="G64" s="550"/>
      <c r="H64" s="550"/>
      <c r="I64" s="276"/>
    </row>
    <row r="65" spans="2:9" x14ac:dyDescent="0.25">
      <c r="B65" s="547" t="s">
        <v>1733</v>
      </c>
      <c r="C65" s="551">
        <f>'Armures-Armes'!C104</f>
        <v>3</v>
      </c>
      <c r="D65" s="552">
        <v>1</v>
      </c>
      <c r="E65" s="552">
        <v>2</v>
      </c>
      <c r="F65" s="552"/>
      <c r="G65" s="553"/>
      <c r="H65" s="553"/>
      <c r="I65" s="187"/>
    </row>
    <row r="66" spans="2:9" x14ac:dyDescent="0.25">
      <c r="B66" s="554" t="s">
        <v>1739</v>
      </c>
      <c r="C66" s="551">
        <f>'Armures-Armes'!C105</f>
        <v>4</v>
      </c>
      <c r="D66" s="552">
        <v>1</v>
      </c>
      <c r="E66" s="552">
        <v>2</v>
      </c>
      <c r="F66" s="552"/>
      <c r="G66" s="553"/>
      <c r="H66" s="553"/>
      <c r="I66" s="187"/>
    </row>
    <row r="67" spans="2:9" x14ac:dyDescent="0.25">
      <c r="B67" s="554" t="s">
        <v>1741</v>
      </c>
      <c r="C67" s="551">
        <f>'Armures-Armes'!C106</f>
        <v>5</v>
      </c>
      <c r="D67" s="552">
        <v>1</v>
      </c>
      <c r="E67" s="552">
        <v>2</v>
      </c>
      <c r="F67" s="552"/>
      <c r="G67" s="553"/>
      <c r="H67" s="553"/>
      <c r="I67" s="187"/>
    </row>
    <row r="68" spans="2:9" x14ac:dyDescent="0.25">
      <c r="B68" s="554" t="s">
        <v>1742</v>
      </c>
      <c r="C68" s="551">
        <f>'Armures-Armes'!C107</f>
        <v>6</v>
      </c>
      <c r="D68" s="552">
        <v>1</v>
      </c>
      <c r="E68" s="552">
        <v>2</v>
      </c>
      <c r="F68" s="552"/>
      <c r="G68" s="553"/>
      <c r="H68" s="553"/>
      <c r="I68" s="187"/>
    </row>
    <row r="69" spans="2:9" x14ac:dyDescent="0.25">
      <c r="B69" s="554" t="s">
        <v>1744</v>
      </c>
      <c r="C69" s="551">
        <f>'Armures-Armes'!C108</f>
        <v>7</v>
      </c>
      <c r="D69" s="552">
        <v>1</v>
      </c>
      <c r="E69" s="552">
        <v>2</v>
      </c>
      <c r="F69" s="552"/>
      <c r="G69" s="553"/>
      <c r="H69" s="553"/>
      <c r="I69" s="187"/>
    </row>
    <row r="70" spans="2:9" x14ac:dyDescent="0.25">
      <c r="B70" s="554" t="s">
        <v>1745</v>
      </c>
      <c r="C70" s="551">
        <f>'Armures-Armes'!C109</f>
        <v>8</v>
      </c>
      <c r="D70" s="552">
        <v>1</v>
      </c>
      <c r="E70" s="552">
        <v>2</v>
      </c>
      <c r="F70" s="552"/>
      <c r="G70" s="553"/>
      <c r="H70" s="553"/>
      <c r="I70" s="187"/>
    </row>
    <row r="71" spans="2:9" x14ac:dyDescent="0.25">
      <c r="B71" s="554" t="s">
        <v>1746</v>
      </c>
      <c r="C71" s="551">
        <f>'Armures-Armes'!C110</f>
        <v>9</v>
      </c>
      <c r="D71" s="552">
        <v>1</v>
      </c>
      <c r="E71" s="552">
        <v>2</v>
      </c>
      <c r="F71" s="552"/>
      <c r="G71" s="553"/>
      <c r="H71" s="553"/>
      <c r="I71" s="187"/>
    </row>
    <row r="72" spans="2:9" ht="30" x14ac:dyDescent="0.25">
      <c r="B72" s="554" t="s">
        <v>1747</v>
      </c>
      <c r="C72" s="551">
        <f>'Armures-Armes'!C111</f>
        <v>10</v>
      </c>
      <c r="D72" s="552">
        <v>1</v>
      </c>
      <c r="E72" s="552">
        <v>2</v>
      </c>
      <c r="F72" s="552"/>
      <c r="G72" s="553"/>
      <c r="H72" s="553"/>
      <c r="I72" s="187"/>
    </row>
    <row r="73" spans="2:9" x14ac:dyDescent="0.25">
      <c r="B73" s="554" t="s">
        <v>1748</v>
      </c>
      <c r="C73" s="551">
        <f>'Armures-Armes'!C112</f>
        <v>11</v>
      </c>
      <c r="D73" s="552">
        <v>1</v>
      </c>
      <c r="E73" s="552">
        <v>2</v>
      </c>
      <c r="F73" s="552"/>
      <c r="G73" s="553"/>
      <c r="H73" s="553"/>
      <c r="I73" s="187"/>
    </row>
    <row r="74" spans="2:9" x14ac:dyDescent="0.25">
      <c r="B74" s="554" t="s">
        <v>1752</v>
      </c>
      <c r="C74" s="551">
        <f>'Armures-Armes'!C113</f>
        <v>12</v>
      </c>
      <c r="D74" s="552">
        <v>1</v>
      </c>
      <c r="E74" s="552">
        <v>2</v>
      </c>
      <c r="F74" s="552"/>
      <c r="G74" s="553"/>
      <c r="H74" s="553"/>
      <c r="I74" s="187"/>
    </row>
    <row r="75" spans="2:9" x14ac:dyDescent="0.25">
      <c r="B75" s="554" t="s">
        <v>1754</v>
      </c>
      <c r="C75" s="551">
        <f>'Armures-Armes'!C114</f>
        <v>13</v>
      </c>
      <c r="D75" s="552">
        <v>1</v>
      </c>
      <c r="E75" s="552">
        <v>2</v>
      </c>
      <c r="F75" s="552"/>
      <c r="G75" s="553"/>
      <c r="H75" s="553"/>
      <c r="I75" s="187"/>
    </row>
    <row r="76" spans="2:9" x14ac:dyDescent="0.25">
      <c r="B76" s="554" t="s">
        <v>192</v>
      </c>
      <c r="C76" s="551">
        <f>'Armures-Armes'!C115</f>
        <v>14</v>
      </c>
      <c r="D76" s="552">
        <v>1</v>
      </c>
      <c r="E76" s="552">
        <v>2</v>
      </c>
      <c r="F76" s="552"/>
      <c r="G76" s="553"/>
      <c r="H76" s="553"/>
      <c r="I76" s="187"/>
    </row>
    <row r="77" spans="2:9" x14ac:dyDescent="0.25">
      <c r="B77" s="554" t="s">
        <v>1755</v>
      </c>
      <c r="C77" s="551">
        <f>'Armures-Armes'!C116</f>
        <v>15</v>
      </c>
      <c r="D77" s="552">
        <v>1</v>
      </c>
      <c r="E77" s="552">
        <v>2</v>
      </c>
      <c r="F77" s="552"/>
      <c r="G77" s="553"/>
      <c r="H77" s="553"/>
      <c r="I77" s="187"/>
    </row>
    <row r="78" spans="2:9" x14ac:dyDescent="0.25">
      <c r="B78" s="554" t="s">
        <v>1756</v>
      </c>
      <c r="C78" s="551">
        <f>'Armures-Armes'!C117</f>
        <v>16</v>
      </c>
      <c r="D78" s="552">
        <v>1</v>
      </c>
      <c r="E78" s="552">
        <v>2</v>
      </c>
      <c r="F78" s="552"/>
      <c r="G78" s="553"/>
      <c r="H78" s="553"/>
      <c r="I78" s="187"/>
    </row>
    <row r="79" spans="2:9" x14ac:dyDescent="0.25">
      <c r="B79" s="554" t="s">
        <v>196</v>
      </c>
      <c r="C79" s="551">
        <f>'Armures-Armes'!C118</f>
        <v>17</v>
      </c>
      <c r="D79" s="552">
        <v>1</v>
      </c>
      <c r="E79" s="552">
        <v>2</v>
      </c>
      <c r="F79" s="552"/>
      <c r="G79" s="553"/>
      <c r="H79" s="553"/>
      <c r="I79" s="187"/>
    </row>
    <row r="80" spans="2:9" x14ac:dyDescent="0.25">
      <c r="B80" s="554" t="s">
        <v>1757</v>
      </c>
      <c r="C80" s="551">
        <f>'Armures-Armes'!C119</f>
        <v>18</v>
      </c>
      <c r="D80" s="552">
        <v>1</v>
      </c>
      <c r="E80" s="552">
        <v>2</v>
      </c>
      <c r="F80" s="552"/>
      <c r="G80" s="553"/>
      <c r="H80" s="553"/>
      <c r="I80" s="187"/>
    </row>
    <row r="81" spans="2:9" x14ac:dyDescent="0.25">
      <c r="B81" s="554" t="s">
        <v>1758</v>
      </c>
      <c r="C81" s="551">
        <f>'Armures-Armes'!C120</f>
        <v>19</v>
      </c>
      <c r="D81" s="552">
        <v>1</v>
      </c>
      <c r="E81" s="552">
        <v>2</v>
      </c>
      <c r="F81" s="552"/>
      <c r="G81" s="553"/>
      <c r="H81" s="553"/>
      <c r="I81" s="187"/>
    </row>
    <row r="82" spans="2:9" x14ac:dyDescent="0.25">
      <c r="B82" s="554" t="s">
        <v>1759</v>
      </c>
      <c r="C82" s="551">
        <f>'Armures-Armes'!C121</f>
        <v>20</v>
      </c>
      <c r="D82" s="552">
        <v>1</v>
      </c>
      <c r="E82" s="552">
        <v>2</v>
      </c>
      <c r="F82" s="552"/>
      <c r="G82" s="553"/>
      <c r="H82" s="553"/>
      <c r="I82" s="187"/>
    </row>
    <row r="83" spans="2:9" x14ac:dyDescent="0.25">
      <c r="B83" s="554" t="s">
        <v>1760</v>
      </c>
      <c r="C83" s="551">
        <f>'Armures-Armes'!C122</f>
        <v>21</v>
      </c>
      <c r="D83" s="552">
        <v>1</v>
      </c>
      <c r="E83" s="552">
        <v>2</v>
      </c>
      <c r="F83" s="552"/>
      <c r="G83" s="553"/>
      <c r="H83" s="553"/>
      <c r="I83" s="187"/>
    </row>
    <row r="84" spans="2:9" x14ac:dyDescent="0.25">
      <c r="B84" s="554" t="s">
        <v>1762</v>
      </c>
      <c r="C84" s="551">
        <f>'Armures-Armes'!C123</f>
        <v>22</v>
      </c>
      <c r="D84" s="552">
        <v>1</v>
      </c>
      <c r="E84" s="552">
        <v>2</v>
      </c>
      <c r="F84" s="552"/>
      <c r="G84" s="553"/>
      <c r="H84" s="553"/>
      <c r="I84" s="187"/>
    </row>
    <row r="85" spans="2:9" x14ac:dyDescent="0.25">
      <c r="B85" s="554" t="s">
        <v>1763</v>
      </c>
      <c r="C85" s="551">
        <f>'Armures-Armes'!C124</f>
        <v>23</v>
      </c>
      <c r="D85" s="552">
        <v>1</v>
      </c>
      <c r="E85" s="552">
        <v>2</v>
      </c>
      <c r="F85" s="552"/>
      <c r="G85" s="553"/>
      <c r="H85" s="553"/>
      <c r="I85" s="187"/>
    </row>
    <row r="86" spans="2:9" x14ac:dyDescent="0.25">
      <c r="B86" s="554" t="s">
        <v>1489</v>
      </c>
      <c r="C86" s="551">
        <f>'Armures-Armes'!C125</f>
        <v>24</v>
      </c>
      <c r="D86" s="552">
        <v>1</v>
      </c>
      <c r="E86" s="552">
        <v>2</v>
      </c>
      <c r="F86" s="552"/>
      <c r="G86" s="553"/>
      <c r="H86" s="553"/>
      <c r="I86" s="187"/>
    </row>
    <row r="87" spans="2:9" x14ac:dyDescent="0.25">
      <c r="B87" s="554" t="s">
        <v>1764</v>
      </c>
      <c r="C87" s="551">
        <f>'Armures-Armes'!C126</f>
        <v>25</v>
      </c>
      <c r="D87" s="552">
        <v>1</v>
      </c>
      <c r="E87" s="552">
        <v>2</v>
      </c>
      <c r="F87" s="552"/>
      <c r="G87" s="553"/>
      <c r="H87" s="553"/>
      <c r="I87" s="187"/>
    </row>
    <row r="88" spans="2:9" x14ac:dyDescent="0.25">
      <c r="B88" s="554" t="s">
        <v>1765</v>
      </c>
      <c r="C88" s="551">
        <f>'Armures-Armes'!C127</f>
        <v>26</v>
      </c>
      <c r="D88" s="552">
        <v>1</v>
      </c>
      <c r="E88" s="552">
        <v>2</v>
      </c>
      <c r="F88" s="552"/>
      <c r="G88" s="553"/>
      <c r="H88" s="553"/>
      <c r="I88" s="187"/>
    </row>
    <row r="89" spans="2:9" x14ac:dyDescent="0.25">
      <c r="B89" s="554" t="s">
        <v>1766</v>
      </c>
      <c r="C89" s="551">
        <f>'Armures-Armes'!C128</f>
        <v>27</v>
      </c>
      <c r="D89" s="552">
        <v>1</v>
      </c>
      <c r="E89" s="552">
        <v>2</v>
      </c>
      <c r="F89" s="552"/>
      <c r="G89" s="553"/>
      <c r="H89" s="553"/>
      <c r="I89" s="187"/>
    </row>
    <row r="90" spans="2:9" x14ac:dyDescent="0.25">
      <c r="B90" s="554" t="s">
        <v>1767</v>
      </c>
      <c r="C90" s="551">
        <f>'Armures-Armes'!C129</f>
        <v>28</v>
      </c>
      <c r="D90" s="552">
        <v>1</v>
      </c>
      <c r="E90" s="552">
        <v>2</v>
      </c>
      <c r="F90" s="552"/>
      <c r="G90" s="553"/>
      <c r="H90" s="553"/>
      <c r="I90" s="187"/>
    </row>
    <row r="91" spans="2:9" x14ac:dyDescent="0.25">
      <c r="B91" s="554" t="s">
        <v>1768</v>
      </c>
      <c r="C91" s="551">
        <f>'Armures-Armes'!C130</f>
        <v>29</v>
      </c>
      <c r="D91" s="552">
        <v>1</v>
      </c>
      <c r="E91" s="552">
        <v>2</v>
      </c>
      <c r="F91" s="552"/>
      <c r="G91" s="553"/>
      <c r="H91" s="553"/>
      <c r="I91" s="187"/>
    </row>
    <row r="92" spans="2:9" x14ac:dyDescent="0.25">
      <c r="B92" s="554" t="s">
        <v>1769</v>
      </c>
      <c r="C92" s="551">
        <f>'Armures-Armes'!C131</f>
        <v>30</v>
      </c>
      <c r="D92" s="552">
        <v>1</v>
      </c>
      <c r="E92" s="552">
        <v>2</v>
      </c>
      <c r="F92" s="552"/>
      <c r="G92" s="553"/>
      <c r="H92" s="553"/>
      <c r="I92" s="187"/>
    </row>
    <row r="93" spans="2:9" x14ac:dyDescent="0.25">
      <c r="B93" s="554" t="s">
        <v>222</v>
      </c>
      <c r="C93" s="551">
        <f>'Armures-Armes'!C132</f>
        <v>31</v>
      </c>
      <c r="D93" s="552">
        <v>1</v>
      </c>
      <c r="E93" s="552">
        <v>2</v>
      </c>
      <c r="F93" s="552"/>
      <c r="G93" s="553"/>
      <c r="H93" s="553"/>
      <c r="I93" s="187"/>
    </row>
    <row r="94" spans="2:9" x14ac:dyDescent="0.25">
      <c r="B94" s="554" t="s">
        <v>1774</v>
      </c>
      <c r="C94" s="551">
        <f>'Armures-Armes'!C133</f>
        <v>32</v>
      </c>
      <c r="D94" s="552">
        <v>1</v>
      </c>
      <c r="E94" s="552">
        <v>2</v>
      </c>
      <c r="F94" s="552"/>
      <c r="G94" s="553"/>
      <c r="H94" s="553"/>
      <c r="I94" s="187"/>
    </row>
    <row r="95" spans="2:9" x14ac:dyDescent="0.25">
      <c r="B95" s="554" t="s">
        <v>1776</v>
      </c>
      <c r="C95" s="551">
        <f>'Armures-Armes'!C134</f>
        <v>33</v>
      </c>
      <c r="D95" s="552">
        <v>1</v>
      </c>
      <c r="E95" s="552">
        <v>2</v>
      </c>
      <c r="F95" s="552"/>
      <c r="G95" s="553"/>
      <c r="H95" s="553"/>
      <c r="I95" s="187"/>
    </row>
    <row r="96" spans="2:9" x14ac:dyDescent="0.25">
      <c r="B96" s="554" t="s">
        <v>1781</v>
      </c>
      <c r="C96" s="551">
        <f>'Armures-Armes'!C135</f>
        <v>34</v>
      </c>
      <c r="D96" s="552">
        <v>1</v>
      </c>
      <c r="E96" s="552">
        <v>2</v>
      </c>
      <c r="F96" s="552"/>
      <c r="G96" s="553"/>
      <c r="H96" s="553"/>
      <c r="I96" s="187"/>
    </row>
    <row r="97" spans="2:9" x14ac:dyDescent="0.25">
      <c r="B97" s="554" t="s">
        <v>1782</v>
      </c>
      <c r="C97" s="551">
        <f>'Armures-Armes'!C136</f>
        <v>35</v>
      </c>
      <c r="D97" s="552">
        <v>1</v>
      </c>
      <c r="E97" s="552">
        <v>2</v>
      </c>
      <c r="F97" s="552"/>
      <c r="G97" s="553"/>
      <c r="H97" s="553"/>
      <c r="I97" s="187"/>
    </row>
    <row r="98" spans="2:9" x14ac:dyDescent="0.25">
      <c r="B98" s="554" t="s">
        <v>205</v>
      </c>
      <c r="C98" s="551">
        <f>'Armures-Armes'!C137</f>
        <v>36</v>
      </c>
      <c r="D98" s="552">
        <v>1</v>
      </c>
      <c r="E98" s="552">
        <v>2</v>
      </c>
      <c r="F98" s="552"/>
      <c r="G98" s="553"/>
      <c r="H98" s="553"/>
      <c r="I98" s="187"/>
    </row>
    <row r="99" spans="2:9" x14ac:dyDescent="0.25">
      <c r="B99" s="554" t="s">
        <v>1784</v>
      </c>
      <c r="C99" s="551">
        <f>'Armures-Armes'!C138</f>
        <v>37</v>
      </c>
      <c r="D99" s="552">
        <v>1</v>
      </c>
      <c r="E99" s="552">
        <v>2</v>
      </c>
      <c r="F99" s="552"/>
      <c r="G99" s="553"/>
      <c r="H99" s="553"/>
      <c r="I99" s="187"/>
    </row>
    <row r="100" spans="2:9" x14ac:dyDescent="0.25">
      <c r="B100" s="554" t="s">
        <v>1785</v>
      </c>
      <c r="C100" s="551">
        <f>'Armures-Armes'!C139</f>
        <v>38</v>
      </c>
      <c r="D100" s="552">
        <v>1</v>
      </c>
      <c r="E100" s="552">
        <v>2</v>
      </c>
      <c r="F100" s="552"/>
      <c r="G100" s="553"/>
      <c r="H100" s="553"/>
      <c r="I100" s="187"/>
    </row>
    <row r="101" spans="2:9" x14ac:dyDescent="0.25">
      <c r="B101" s="554" t="s">
        <v>208</v>
      </c>
      <c r="C101" s="551">
        <f>'Armures-Armes'!C140</f>
        <v>39</v>
      </c>
      <c r="D101" s="552">
        <v>1</v>
      </c>
      <c r="E101" s="552">
        <v>2</v>
      </c>
      <c r="F101" s="552"/>
      <c r="G101" s="553"/>
      <c r="H101" s="553"/>
      <c r="I101" s="187"/>
    </row>
    <row r="102" spans="2:9" x14ac:dyDescent="0.25">
      <c r="B102" s="554" t="s">
        <v>1788</v>
      </c>
      <c r="C102" s="551">
        <f>'Armures-Armes'!C141</f>
        <v>40</v>
      </c>
      <c r="D102" s="552">
        <v>1</v>
      </c>
      <c r="E102" s="552">
        <v>2</v>
      </c>
      <c r="F102" s="552"/>
      <c r="G102" s="553"/>
      <c r="H102" s="553"/>
      <c r="I102" s="187"/>
    </row>
    <row r="103" spans="2:9" x14ac:dyDescent="0.25">
      <c r="B103" s="554" t="s">
        <v>1790</v>
      </c>
      <c r="C103" s="551">
        <f>'Armures-Armes'!C142</f>
        <v>41</v>
      </c>
      <c r="D103" s="552">
        <v>1</v>
      </c>
      <c r="E103" s="552">
        <v>2</v>
      </c>
      <c r="F103" s="552"/>
      <c r="G103" s="553"/>
      <c r="H103" s="553"/>
      <c r="I103" s="187"/>
    </row>
    <row r="104" spans="2:9" x14ac:dyDescent="0.25">
      <c r="B104" s="554" t="s">
        <v>1791</v>
      </c>
      <c r="C104" s="551">
        <f>'Armures-Armes'!C143</f>
        <v>42</v>
      </c>
      <c r="D104" s="552">
        <v>1</v>
      </c>
      <c r="E104" s="552">
        <v>2</v>
      </c>
      <c r="F104" s="552"/>
      <c r="G104" s="553"/>
      <c r="H104" s="553"/>
      <c r="I104" s="187"/>
    </row>
    <row r="105" spans="2:9" x14ac:dyDescent="0.25">
      <c r="B105" s="554" t="s">
        <v>1792</v>
      </c>
      <c r="C105" s="551">
        <f>'Armures-Armes'!C144</f>
        <v>43</v>
      </c>
      <c r="D105" s="552">
        <v>1</v>
      </c>
      <c r="E105" s="552">
        <v>2</v>
      </c>
      <c r="F105" s="552"/>
      <c r="G105" s="553"/>
      <c r="H105" s="553"/>
      <c r="I105" s="187"/>
    </row>
    <row r="106" spans="2:9" x14ac:dyDescent="0.25">
      <c r="B106" s="554" t="s">
        <v>1793</v>
      </c>
      <c r="C106" s="551">
        <f>'Armures-Armes'!C145</f>
        <v>44</v>
      </c>
      <c r="D106" s="552">
        <v>1</v>
      </c>
      <c r="E106" s="552">
        <v>2</v>
      </c>
      <c r="F106" s="552"/>
      <c r="G106" s="553"/>
      <c r="H106" s="553"/>
      <c r="I106" s="187"/>
    </row>
    <row r="107" spans="2:9" x14ac:dyDescent="0.25">
      <c r="B107" s="554" t="s">
        <v>1794</v>
      </c>
      <c r="C107" s="551">
        <f>'Armures-Armes'!C146</f>
        <v>45</v>
      </c>
      <c r="D107" s="552">
        <v>1</v>
      </c>
      <c r="E107" s="552">
        <v>2</v>
      </c>
      <c r="F107" s="552"/>
      <c r="G107" s="553"/>
      <c r="H107" s="553"/>
      <c r="I107" s="187"/>
    </row>
    <row r="108" spans="2:9" x14ac:dyDescent="0.25">
      <c r="B108" s="554" t="s">
        <v>1797</v>
      </c>
      <c r="C108" s="551">
        <f>'Armures-Armes'!C147</f>
        <v>46</v>
      </c>
      <c r="D108" s="552">
        <v>1</v>
      </c>
      <c r="E108" s="552">
        <v>2</v>
      </c>
      <c r="F108" s="552"/>
      <c r="G108" s="553"/>
      <c r="H108" s="553"/>
      <c r="I108" s="187"/>
    </row>
    <row r="109" spans="2:9" x14ac:dyDescent="0.25">
      <c r="B109" s="554" t="s">
        <v>1799</v>
      </c>
      <c r="C109" s="551">
        <f>'Armures-Armes'!C148</f>
        <v>47</v>
      </c>
      <c r="D109" s="552">
        <v>1</v>
      </c>
      <c r="E109" s="552">
        <v>2</v>
      </c>
      <c r="F109" s="552"/>
      <c r="G109" s="553"/>
      <c r="H109" s="553"/>
      <c r="I109" s="187"/>
    </row>
    <row r="110" spans="2:9" x14ac:dyDescent="0.25">
      <c r="B110" s="554" t="s">
        <v>1800</v>
      </c>
      <c r="C110" s="551">
        <f>'Armures-Armes'!C149</f>
        <v>48</v>
      </c>
      <c r="D110" s="552">
        <v>1</v>
      </c>
      <c r="E110" s="552">
        <v>2</v>
      </c>
      <c r="F110" s="552"/>
      <c r="G110" s="553"/>
      <c r="H110" s="553"/>
      <c r="I110" s="187"/>
    </row>
    <row r="111" spans="2:9" x14ac:dyDescent="0.25">
      <c r="B111" s="554" t="s">
        <v>1801</v>
      </c>
      <c r="C111" s="551">
        <f>'Armures-Armes'!C150</f>
        <v>49</v>
      </c>
      <c r="D111" s="552">
        <v>1</v>
      </c>
      <c r="E111" s="552">
        <v>2</v>
      </c>
      <c r="F111" s="552"/>
      <c r="G111" s="553"/>
      <c r="H111" s="553"/>
      <c r="I111" s="187"/>
    </row>
    <row r="112" spans="2:9" x14ac:dyDescent="0.25">
      <c r="B112" s="554" t="s">
        <v>1802</v>
      </c>
      <c r="C112" s="551">
        <f>'Armures-Armes'!C151</f>
        <v>50</v>
      </c>
      <c r="D112" s="552">
        <v>1</v>
      </c>
      <c r="E112" s="552">
        <v>2</v>
      </c>
      <c r="F112" s="552"/>
      <c r="G112" s="553"/>
      <c r="H112" s="553"/>
      <c r="I112" s="187"/>
    </row>
    <row r="113" spans="2:9" x14ac:dyDescent="0.25">
      <c r="B113" s="554" t="s">
        <v>1803</v>
      </c>
      <c r="C113" s="551">
        <f>'Armures-Armes'!C152</f>
        <v>51</v>
      </c>
      <c r="D113" s="552">
        <v>1</v>
      </c>
      <c r="E113" s="552">
        <v>2</v>
      </c>
      <c r="F113" s="552"/>
      <c r="G113" s="553"/>
      <c r="H113" s="553"/>
      <c r="I113" s="187"/>
    </row>
    <row r="114" spans="2:9" x14ac:dyDescent="0.25">
      <c r="B114" s="554" t="s">
        <v>1805</v>
      </c>
      <c r="C114" s="551">
        <f>'Armures-Armes'!C153</f>
        <v>52</v>
      </c>
      <c r="D114" s="552">
        <v>1</v>
      </c>
      <c r="E114" s="552">
        <v>2</v>
      </c>
      <c r="F114" s="552"/>
      <c r="G114" s="553"/>
      <c r="H114" s="553"/>
      <c r="I114" s="187"/>
    </row>
    <row r="115" spans="2:9" x14ac:dyDescent="0.25">
      <c r="B115" s="554" t="s">
        <v>1806</v>
      </c>
      <c r="C115" s="551">
        <f>'Armures-Armes'!C154</f>
        <v>53</v>
      </c>
      <c r="D115" s="552">
        <v>1</v>
      </c>
      <c r="E115" s="552">
        <v>2</v>
      </c>
      <c r="F115" s="552"/>
      <c r="G115" s="553"/>
      <c r="H115" s="553"/>
      <c r="I115" s="187"/>
    </row>
    <row r="116" spans="2:9" x14ac:dyDescent="0.25">
      <c r="B116" s="554" t="s">
        <v>1807</v>
      </c>
      <c r="C116" s="551">
        <f>'Armures-Armes'!C155</f>
        <v>54</v>
      </c>
      <c r="D116" s="552">
        <v>1</v>
      </c>
      <c r="E116" s="552">
        <v>2</v>
      </c>
      <c r="F116" s="552"/>
      <c r="G116" s="553"/>
      <c r="H116" s="553"/>
      <c r="I116" s="187"/>
    </row>
    <row r="117" spans="2:9" x14ac:dyDescent="0.25">
      <c r="B117" s="554" t="s">
        <v>1810</v>
      </c>
      <c r="C117" s="551">
        <f>'Armures-Armes'!C156</f>
        <v>55</v>
      </c>
      <c r="D117" s="552">
        <v>1</v>
      </c>
      <c r="E117" s="552">
        <v>2</v>
      </c>
      <c r="F117" s="552"/>
      <c r="G117" s="553"/>
      <c r="H117" s="553"/>
      <c r="I117" s="187"/>
    </row>
    <row r="118" spans="2:9" x14ac:dyDescent="0.25">
      <c r="B118" s="554" t="s">
        <v>1811</v>
      </c>
      <c r="C118" s="551">
        <f>'Armures-Armes'!C157</f>
        <v>56</v>
      </c>
      <c r="D118" s="552">
        <v>1</v>
      </c>
      <c r="E118" s="552">
        <v>2</v>
      </c>
      <c r="F118" s="552"/>
      <c r="G118" s="553"/>
      <c r="H118" s="553"/>
      <c r="I118" s="187"/>
    </row>
    <row r="119" spans="2:9" x14ac:dyDescent="0.25">
      <c r="B119" s="554" t="s">
        <v>1813</v>
      </c>
      <c r="C119" s="551">
        <f>'Armures-Armes'!C158</f>
        <v>57</v>
      </c>
      <c r="D119" s="552">
        <v>1</v>
      </c>
      <c r="E119" s="552">
        <v>2</v>
      </c>
      <c r="F119" s="552"/>
      <c r="G119" s="553"/>
      <c r="H119" s="553"/>
      <c r="I119" s="187"/>
    </row>
    <row r="120" spans="2:9" x14ac:dyDescent="0.25">
      <c r="B120" s="554" t="s">
        <v>211</v>
      </c>
      <c r="C120" s="551">
        <f>'Armures-Armes'!C159</f>
        <v>58</v>
      </c>
      <c r="D120" s="552">
        <v>1</v>
      </c>
      <c r="E120" s="552">
        <v>2</v>
      </c>
      <c r="F120" s="552"/>
      <c r="G120" s="553"/>
      <c r="H120" s="553"/>
      <c r="I120" s="187"/>
    </row>
    <row r="121" spans="2:9" ht="15.75" thickBot="1" x14ac:dyDescent="0.3">
      <c r="B121" s="555" t="s">
        <v>1815</v>
      </c>
      <c r="C121" s="551">
        <f>'Armures-Armes'!C160</f>
        <v>59</v>
      </c>
      <c r="D121" s="552">
        <v>1</v>
      </c>
      <c r="E121" s="552">
        <v>2</v>
      </c>
      <c r="F121" s="552"/>
      <c r="G121" s="553"/>
      <c r="H121" s="553"/>
      <c r="I121" s="187"/>
    </row>
    <row r="122" spans="2:9" ht="15.75" thickBot="1" x14ac:dyDescent="0.3">
      <c r="B122" s="556" t="s">
        <v>1829</v>
      </c>
      <c r="C122" s="551" t="s">
        <v>1842</v>
      </c>
      <c r="D122" s="552"/>
      <c r="E122" s="552"/>
      <c r="F122" s="552"/>
      <c r="G122" s="553"/>
      <c r="H122" s="553"/>
      <c r="I122" s="187"/>
    </row>
    <row r="123" spans="2:9" x14ac:dyDescent="0.25">
      <c r="B123" s="547" t="s">
        <v>1832</v>
      </c>
      <c r="C123" s="551">
        <f>'Armures-Armes'!C163</f>
        <v>61</v>
      </c>
      <c r="D123" s="552"/>
      <c r="E123" s="552"/>
      <c r="F123" s="552"/>
      <c r="G123" s="553"/>
      <c r="H123" s="553"/>
      <c r="I123" s="187"/>
    </row>
    <row r="124" spans="2:9" x14ac:dyDescent="0.25">
      <c r="B124" s="554" t="s">
        <v>1734</v>
      </c>
      <c r="C124" s="551">
        <f>C123+1</f>
        <v>62</v>
      </c>
      <c r="D124" s="552"/>
      <c r="E124" s="552"/>
      <c r="F124" s="552"/>
      <c r="G124" s="553"/>
      <c r="H124" s="553"/>
      <c r="I124" s="187"/>
    </row>
    <row r="125" spans="2:9" x14ac:dyDescent="0.25">
      <c r="B125" s="554" t="s">
        <v>1711</v>
      </c>
      <c r="C125" s="551">
        <f t="shared" ref="C125:C146" si="0">C124+1</f>
        <v>63</v>
      </c>
      <c r="D125" s="552"/>
      <c r="E125" s="552"/>
      <c r="F125" s="552"/>
      <c r="G125" s="553"/>
      <c r="H125" s="553"/>
      <c r="I125" s="187"/>
    </row>
    <row r="126" spans="2:9" x14ac:dyDescent="0.25">
      <c r="B126" s="554" t="s">
        <v>1712</v>
      </c>
      <c r="C126" s="551">
        <f t="shared" si="0"/>
        <v>64</v>
      </c>
      <c r="D126" s="552"/>
      <c r="E126" s="552"/>
      <c r="F126" s="552"/>
      <c r="G126" s="553"/>
      <c r="H126" s="553"/>
      <c r="I126" s="187"/>
    </row>
    <row r="127" spans="2:9" x14ac:dyDescent="0.25">
      <c r="B127" s="554" t="s">
        <v>1735</v>
      </c>
      <c r="C127" s="551">
        <f t="shared" si="0"/>
        <v>65</v>
      </c>
      <c r="D127" s="552"/>
      <c r="E127" s="552"/>
      <c r="F127" s="552"/>
      <c r="G127" s="553"/>
      <c r="H127" s="553"/>
      <c r="I127" s="187"/>
    </row>
    <row r="128" spans="2:9" x14ac:dyDescent="0.25">
      <c r="B128" s="554" t="s">
        <v>1736</v>
      </c>
      <c r="C128" s="551">
        <f t="shared" si="0"/>
        <v>66</v>
      </c>
      <c r="D128" s="552"/>
      <c r="E128" s="552"/>
      <c r="F128" s="552"/>
      <c r="G128" s="553"/>
      <c r="H128" s="553"/>
      <c r="I128" s="187"/>
    </row>
    <row r="129" spans="2:9" x14ac:dyDescent="0.25">
      <c r="B129" s="554" t="s">
        <v>1737</v>
      </c>
      <c r="C129" s="551">
        <f t="shared" si="0"/>
        <v>67</v>
      </c>
      <c r="D129" s="552"/>
      <c r="E129" s="552"/>
      <c r="F129" s="552"/>
      <c r="G129" s="553"/>
      <c r="H129" s="553"/>
      <c r="I129" s="187"/>
    </row>
    <row r="130" spans="2:9" x14ac:dyDescent="0.25">
      <c r="B130" s="554" t="s">
        <v>1738</v>
      </c>
      <c r="C130" s="551">
        <f t="shared" si="0"/>
        <v>68</v>
      </c>
      <c r="D130" s="552"/>
      <c r="E130" s="552"/>
      <c r="F130" s="552"/>
      <c r="G130" s="553"/>
      <c r="H130" s="553"/>
      <c r="I130" s="187"/>
    </row>
    <row r="131" spans="2:9" x14ac:dyDescent="0.25">
      <c r="B131" s="554" t="s">
        <v>1833</v>
      </c>
      <c r="C131" s="551">
        <f t="shared" si="0"/>
        <v>69</v>
      </c>
      <c r="D131" s="552"/>
      <c r="E131" s="552"/>
      <c r="F131" s="552"/>
      <c r="G131" s="553"/>
      <c r="H131" s="553"/>
      <c r="I131" s="187"/>
    </row>
    <row r="132" spans="2:9" x14ac:dyDescent="0.25">
      <c r="B132" s="554" t="s">
        <v>1834</v>
      </c>
      <c r="C132" s="551">
        <f t="shared" si="0"/>
        <v>70</v>
      </c>
      <c r="D132" s="552"/>
      <c r="E132" s="552"/>
      <c r="F132" s="552"/>
      <c r="G132" s="553"/>
      <c r="H132" s="553"/>
      <c r="I132" s="187"/>
    </row>
    <row r="133" spans="2:9" x14ac:dyDescent="0.25">
      <c r="B133" s="554" t="s">
        <v>1771</v>
      </c>
      <c r="C133" s="551">
        <f t="shared" si="0"/>
        <v>71</v>
      </c>
      <c r="D133" s="552"/>
      <c r="E133" s="552"/>
      <c r="F133" s="552"/>
      <c r="G133" s="553"/>
      <c r="H133" s="553"/>
      <c r="I133" s="187"/>
    </row>
    <row r="134" spans="2:9" x14ac:dyDescent="0.25">
      <c r="B134" s="554" t="s">
        <v>1777</v>
      </c>
      <c r="C134" s="551">
        <f t="shared" si="0"/>
        <v>72</v>
      </c>
      <c r="D134" s="552"/>
      <c r="E134" s="552"/>
      <c r="F134" s="552"/>
      <c r="G134" s="553"/>
      <c r="H134" s="553"/>
      <c r="I134" s="187"/>
    </row>
    <row r="135" spans="2:9" x14ac:dyDescent="0.25">
      <c r="B135" s="554" t="s">
        <v>1778</v>
      </c>
      <c r="C135" s="551">
        <f t="shared" si="0"/>
        <v>73</v>
      </c>
      <c r="D135" s="552"/>
      <c r="E135" s="552"/>
      <c r="F135" s="552"/>
      <c r="G135" s="553"/>
      <c r="H135" s="553"/>
      <c r="I135" s="187"/>
    </row>
    <row r="136" spans="2:9" x14ac:dyDescent="0.25">
      <c r="B136" s="554" t="s">
        <v>1779</v>
      </c>
      <c r="C136" s="551">
        <f t="shared" si="0"/>
        <v>74</v>
      </c>
      <c r="D136" s="552"/>
      <c r="E136" s="552"/>
      <c r="F136" s="552"/>
      <c r="G136" s="553"/>
      <c r="H136" s="553"/>
      <c r="I136" s="187"/>
    </row>
    <row r="137" spans="2:9" x14ac:dyDescent="0.25">
      <c r="B137" s="554" t="s">
        <v>1780</v>
      </c>
      <c r="C137" s="551">
        <f t="shared" si="0"/>
        <v>75</v>
      </c>
      <c r="D137" s="552"/>
      <c r="E137" s="552"/>
      <c r="F137" s="552"/>
      <c r="G137" s="553"/>
      <c r="H137" s="553"/>
      <c r="I137" s="187"/>
    </row>
    <row r="138" spans="2:9" x14ac:dyDescent="0.25">
      <c r="B138" s="554" t="s">
        <v>1786</v>
      </c>
      <c r="C138" s="551">
        <f t="shared" si="0"/>
        <v>76</v>
      </c>
      <c r="D138" s="552"/>
      <c r="E138" s="552"/>
      <c r="F138" s="552"/>
      <c r="G138" s="553"/>
      <c r="H138" s="553"/>
      <c r="I138" s="187"/>
    </row>
    <row r="139" spans="2:9" x14ac:dyDescent="0.25">
      <c r="B139" s="554" t="s">
        <v>1835</v>
      </c>
      <c r="C139" s="551">
        <f t="shared" si="0"/>
        <v>77</v>
      </c>
      <c r="D139" s="552"/>
      <c r="E139" s="552"/>
      <c r="F139" s="552"/>
      <c r="G139" s="553"/>
      <c r="H139" s="553"/>
      <c r="I139" s="187"/>
    </row>
    <row r="140" spans="2:9" x14ac:dyDescent="0.25">
      <c r="B140" s="554" t="s">
        <v>219</v>
      </c>
      <c r="C140" s="551">
        <f t="shared" si="0"/>
        <v>78</v>
      </c>
      <c r="D140" s="552"/>
      <c r="E140" s="552"/>
      <c r="F140" s="552"/>
      <c r="G140" s="553"/>
      <c r="H140" s="553"/>
      <c r="I140" s="187"/>
    </row>
    <row r="141" spans="2:9" x14ac:dyDescent="0.25">
      <c r="B141" s="554" t="s">
        <v>1836</v>
      </c>
      <c r="C141" s="551">
        <f t="shared" si="0"/>
        <v>79</v>
      </c>
      <c r="D141" s="552"/>
      <c r="E141" s="552"/>
      <c r="F141" s="552"/>
      <c r="G141" s="553"/>
      <c r="H141" s="553"/>
      <c r="I141" s="187"/>
    </row>
    <row r="142" spans="2:9" x14ac:dyDescent="0.25">
      <c r="B142" s="554" t="s">
        <v>1837</v>
      </c>
      <c r="C142" s="551">
        <f t="shared" si="0"/>
        <v>80</v>
      </c>
      <c r="D142" s="552"/>
      <c r="E142" s="552"/>
      <c r="F142" s="552"/>
      <c r="G142" s="553"/>
      <c r="H142" s="553"/>
      <c r="I142" s="187"/>
    </row>
    <row r="143" spans="2:9" x14ac:dyDescent="0.25">
      <c r="B143" s="554" t="s">
        <v>1838</v>
      </c>
      <c r="C143" s="551">
        <f t="shared" si="0"/>
        <v>81</v>
      </c>
      <c r="D143" s="552"/>
      <c r="E143" s="552"/>
      <c r="F143" s="552"/>
      <c r="G143" s="553"/>
      <c r="H143" s="553"/>
      <c r="I143" s="187"/>
    </row>
    <row r="144" spans="2:9" x14ac:dyDescent="0.25">
      <c r="B144" s="554" t="s">
        <v>1839</v>
      </c>
      <c r="C144" s="551">
        <f t="shared" si="0"/>
        <v>82</v>
      </c>
      <c r="D144" s="552"/>
      <c r="E144" s="552"/>
      <c r="F144" s="552"/>
      <c r="G144" s="553"/>
      <c r="H144" s="553"/>
      <c r="I144" s="187"/>
    </row>
    <row r="145" spans="2:9" x14ac:dyDescent="0.25">
      <c r="B145" s="554" t="s">
        <v>1809</v>
      </c>
      <c r="C145" s="551">
        <f t="shared" si="0"/>
        <v>83</v>
      </c>
      <c r="D145" s="552"/>
      <c r="E145" s="552"/>
      <c r="F145" s="552"/>
      <c r="G145" s="553"/>
      <c r="H145" s="553"/>
      <c r="I145" s="187"/>
    </row>
    <row r="146" spans="2:9" ht="15.75" thickBot="1" x14ac:dyDescent="0.3">
      <c r="B146" s="557" t="s">
        <v>1812</v>
      </c>
      <c r="C146" s="558">
        <f t="shared" si="0"/>
        <v>84</v>
      </c>
      <c r="D146" s="559"/>
      <c r="E146" s="559"/>
      <c r="F146" s="559"/>
      <c r="G146" s="560"/>
      <c r="H146" s="560"/>
      <c r="I146" s="219"/>
    </row>
  </sheetData>
  <autoFilter ref="B3:AD40" xr:uid="{583AE77B-9224-4BC8-BC2C-507CE793BDC7}"/>
  <mergeCells count="4">
    <mergeCell ref="G2:L2"/>
    <mergeCell ref="M2:S2"/>
    <mergeCell ref="T2:Y2"/>
    <mergeCell ref="Z2:AE2"/>
  </mergeCells>
  <phoneticPr fontId="27" type="noConversion"/>
  <hyperlinks>
    <hyperlink ref="B4" r:id="rId1" xr:uid="{172C9959-6737-4273-A502-40F43A4B0D19}"/>
    <hyperlink ref="B15" r:id="rId2" xr:uid="{096A2E70-DE08-49C6-B62B-8410851A7AF5}"/>
    <hyperlink ref="B9" r:id="rId3" xr:uid="{47538C2C-E415-403C-B281-1150A76C3D1F}"/>
    <hyperlink ref="B16" r:id="rId4" xr:uid="{574B8930-E1CD-4774-8815-5432FBA66029}"/>
    <hyperlink ref="B10" r:id="rId5" xr:uid="{DD1F6A7B-E1AB-4CA9-A5C5-20457B63784B}"/>
    <hyperlink ref="B5" r:id="rId6" xr:uid="{1406344F-1D51-4F28-938C-28A370700B84}"/>
    <hyperlink ref="B6" r:id="rId7" xr:uid="{D30A824E-8E31-4952-91F1-05C91B9C006B}"/>
    <hyperlink ref="B12" r:id="rId8" xr:uid="{079943B2-F45D-4235-9417-58E75144089E}"/>
    <hyperlink ref="B11" r:id="rId9" xr:uid="{1A9D4A16-F517-4417-8733-FBF98326E690}"/>
    <hyperlink ref="B17" r:id="rId10" xr:uid="{DC67A9E1-EAF8-4F9C-A4D4-537A3623964E}"/>
    <hyperlink ref="B8" r:id="rId11" xr:uid="{CC3C25BB-0048-4544-B11A-801C538019A7}"/>
    <hyperlink ref="B13" r:id="rId12" xr:uid="{8DF33796-1F36-4FA9-B5D0-664E869941D2}"/>
    <hyperlink ref="B14" r:id="rId13" xr:uid="{418B3A25-6E71-4602-9998-E781018E040D}"/>
    <hyperlink ref="B7" r:id="rId14" xr:uid="{EEEC17DC-13C5-4DCC-B548-7C40FC5685DC}"/>
  </hyperlinks>
  <pageMargins left="0.7" right="0.7" top="0.75" bottom="0.75" header="0.3" footer="0.3"/>
  <pageSetup paperSize="9" orientation="portrait" horizontalDpi="0" verticalDpi="0" r:id="rId1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551BBE-4371-4BA5-9363-092B346FBFD3}">
  <sheetPr>
    <tabColor rgb="FF92D050"/>
  </sheetPr>
  <dimension ref="B2:AW907"/>
  <sheetViews>
    <sheetView zoomScale="55" zoomScaleNormal="55" workbookViewId="0">
      <selection activeCell="C629" sqref="C629"/>
    </sheetView>
  </sheetViews>
  <sheetFormatPr baseColWidth="10" defaultColWidth="10.7109375" defaultRowHeight="15" x14ac:dyDescent="0.25"/>
  <cols>
    <col min="2" max="2" width="32" style="26" bestFit="1" customWidth="1"/>
    <col min="3" max="14" width="13.7109375" style="27" customWidth="1"/>
    <col min="15" max="25" width="11.7109375" style="27" customWidth="1"/>
  </cols>
  <sheetData>
    <row r="2" spans="2:25" ht="15.75" thickBot="1" x14ac:dyDescent="0.3"/>
    <row r="3" spans="2:25" s="26" customFormat="1" ht="15.75" thickBot="1" x14ac:dyDescent="0.3">
      <c r="B3" s="327" t="s">
        <v>335</v>
      </c>
      <c r="C3" s="328" t="s">
        <v>63</v>
      </c>
      <c r="D3" s="329" t="s">
        <v>64</v>
      </c>
      <c r="E3" s="329" t="s">
        <v>65</v>
      </c>
      <c r="F3" s="329" t="s">
        <v>66</v>
      </c>
      <c r="G3" s="329" t="s">
        <v>67</v>
      </c>
      <c r="H3" s="329" t="s">
        <v>68</v>
      </c>
      <c r="I3" s="329" t="s">
        <v>247</v>
      </c>
      <c r="J3" s="329" t="s">
        <v>69</v>
      </c>
      <c r="K3" s="329" t="s">
        <v>70</v>
      </c>
      <c r="L3" s="329" t="s">
        <v>333</v>
      </c>
      <c r="M3" s="330" t="s">
        <v>334</v>
      </c>
      <c r="N3" s="42"/>
      <c r="O3" s="42"/>
      <c r="P3" s="42"/>
      <c r="Q3" s="42"/>
      <c r="R3" s="42"/>
      <c r="S3" s="42"/>
      <c r="T3" s="42"/>
      <c r="U3" s="42"/>
      <c r="V3" s="42"/>
      <c r="W3" s="42"/>
      <c r="X3" s="42"/>
      <c r="Y3" s="42"/>
    </row>
    <row r="4" spans="2:25" x14ac:dyDescent="0.25">
      <c r="B4" s="331">
        <v>1</v>
      </c>
      <c r="C4" s="410" t="s">
        <v>143</v>
      </c>
      <c r="D4" s="153" t="s">
        <v>152</v>
      </c>
      <c r="E4" s="153" t="s">
        <v>71</v>
      </c>
      <c r="F4" s="153" t="s">
        <v>79</v>
      </c>
      <c r="G4" s="153" t="s">
        <v>87</v>
      </c>
      <c r="H4" s="153" t="s">
        <v>97</v>
      </c>
      <c r="I4" s="153" t="s">
        <v>108</v>
      </c>
      <c r="J4" s="153" t="s">
        <v>118</v>
      </c>
      <c r="K4" s="153" t="s">
        <v>128</v>
      </c>
      <c r="L4" s="153" t="s">
        <v>152</v>
      </c>
      <c r="M4" s="154" t="s">
        <v>71</v>
      </c>
    </row>
    <row r="5" spans="2:25" x14ac:dyDescent="0.25">
      <c r="B5" s="335">
        <v>2</v>
      </c>
      <c r="C5" s="411" t="s">
        <v>144</v>
      </c>
      <c r="D5" s="90" t="s">
        <v>153</v>
      </c>
      <c r="E5" s="90" t="s">
        <v>62</v>
      </c>
      <c r="F5" s="90" t="s">
        <v>363</v>
      </c>
      <c r="G5" s="90" t="s">
        <v>88</v>
      </c>
      <c r="H5" s="90" t="s">
        <v>98</v>
      </c>
      <c r="I5" s="90" t="s">
        <v>109</v>
      </c>
      <c r="J5" s="90" t="s">
        <v>119</v>
      </c>
      <c r="K5" s="90" t="s">
        <v>129</v>
      </c>
      <c r="L5" s="90" t="s">
        <v>1243</v>
      </c>
      <c r="M5" s="148" t="s">
        <v>62</v>
      </c>
    </row>
    <row r="6" spans="2:25" x14ac:dyDescent="0.25">
      <c r="B6" s="335">
        <v>3</v>
      </c>
      <c r="C6" s="411" t="s">
        <v>145</v>
      </c>
      <c r="D6" s="90" t="s">
        <v>154</v>
      </c>
      <c r="E6" s="90" t="s">
        <v>72</v>
      </c>
      <c r="F6" s="90" t="s">
        <v>80</v>
      </c>
      <c r="G6" s="90" t="s">
        <v>89</v>
      </c>
      <c r="H6" s="90" t="s">
        <v>99</v>
      </c>
      <c r="I6" s="90" t="s">
        <v>110</v>
      </c>
      <c r="J6" s="90" t="s">
        <v>120</v>
      </c>
      <c r="K6" s="90" t="s">
        <v>130</v>
      </c>
      <c r="L6" s="90" t="s">
        <v>1244</v>
      </c>
      <c r="M6" s="148" t="s">
        <v>72</v>
      </c>
    </row>
    <row r="7" spans="2:25" x14ac:dyDescent="0.25">
      <c r="B7" s="335">
        <v>4</v>
      </c>
      <c r="C7" s="411" t="s">
        <v>146</v>
      </c>
      <c r="D7" s="90" t="s">
        <v>155</v>
      </c>
      <c r="E7" s="90" t="s">
        <v>73</v>
      </c>
      <c r="F7" s="90" t="s">
        <v>81</v>
      </c>
      <c r="G7" s="90" t="s">
        <v>90</v>
      </c>
      <c r="H7" s="90" t="s">
        <v>100</v>
      </c>
      <c r="I7" s="90" t="s">
        <v>111</v>
      </c>
      <c r="J7" s="90" t="s">
        <v>121</v>
      </c>
      <c r="K7" s="90" t="s">
        <v>131</v>
      </c>
      <c r="L7" s="90" t="s">
        <v>1245</v>
      </c>
      <c r="M7" s="148" t="s">
        <v>73</v>
      </c>
    </row>
    <row r="8" spans="2:25" x14ac:dyDescent="0.25">
      <c r="B8" s="335">
        <v>5</v>
      </c>
      <c r="C8" s="411" t="s">
        <v>147</v>
      </c>
      <c r="D8" s="90" t="s">
        <v>156</v>
      </c>
      <c r="E8" s="90" t="s">
        <v>74</v>
      </c>
      <c r="F8" s="90" t="s">
        <v>82</v>
      </c>
      <c r="G8" s="90" t="s">
        <v>91</v>
      </c>
      <c r="H8" s="90" t="s">
        <v>101</v>
      </c>
      <c r="I8" s="90" t="s">
        <v>112</v>
      </c>
      <c r="J8" s="90" t="s">
        <v>122</v>
      </c>
      <c r="K8" s="90" t="s">
        <v>132</v>
      </c>
      <c r="L8" s="90" t="s">
        <v>336</v>
      </c>
      <c r="M8" s="148" t="s">
        <v>74</v>
      </c>
    </row>
    <row r="9" spans="2:25" x14ac:dyDescent="0.25">
      <c r="B9" s="335">
        <v>6</v>
      </c>
      <c r="C9" s="411" t="s">
        <v>148</v>
      </c>
      <c r="D9" s="90" t="s">
        <v>157</v>
      </c>
      <c r="E9" s="90" t="s">
        <v>75</v>
      </c>
      <c r="F9" s="90" t="s">
        <v>83</v>
      </c>
      <c r="G9" s="90" t="s">
        <v>92</v>
      </c>
      <c r="H9" s="90" t="s">
        <v>102</v>
      </c>
      <c r="I9" s="90" t="s">
        <v>113</v>
      </c>
      <c r="J9" s="90" t="s">
        <v>123</v>
      </c>
      <c r="K9" s="90" t="s">
        <v>133</v>
      </c>
      <c r="L9" s="90" t="s">
        <v>337</v>
      </c>
      <c r="M9" s="148" t="s">
        <v>75</v>
      </c>
    </row>
    <row r="10" spans="2:25" x14ac:dyDescent="0.25">
      <c r="B10" s="335">
        <v>7</v>
      </c>
      <c r="C10" s="411" t="s">
        <v>149</v>
      </c>
      <c r="D10" s="90" t="s">
        <v>158</v>
      </c>
      <c r="E10" s="90" t="s">
        <v>76</v>
      </c>
      <c r="F10" s="90" t="s">
        <v>84</v>
      </c>
      <c r="G10" s="90" t="s">
        <v>93</v>
      </c>
      <c r="H10" s="90" t="s">
        <v>103</v>
      </c>
      <c r="I10" s="90" t="s">
        <v>114</v>
      </c>
      <c r="J10" s="90" t="s">
        <v>124</v>
      </c>
      <c r="K10" s="90" t="s">
        <v>134</v>
      </c>
      <c r="L10" s="90" t="s">
        <v>1241</v>
      </c>
      <c r="M10" s="148" t="s">
        <v>118</v>
      </c>
    </row>
    <row r="11" spans="2:25" x14ac:dyDescent="0.25">
      <c r="B11" s="335">
        <v>8</v>
      </c>
      <c r="C11" s="411" t="s">
        <v>150</v>
      </c>
      <c r="D11" s="90" t="s">
        <v>159</v>
      </c>
      <c r="E11" s="90" t="s">
        <v>77</v>
      </c>
      <c r="F11" s="90" t="s">
        <v>85</v>
      </c>
      <c r="G11" s="90" t="s">
        <v>94</v>
      </c>
      <c r="H11" s="90" t="s">
        <v>104</v>
      </c>
      <c r="I11" s="90" t="s">
        <v>115</v>
      </c>
      <c r="J11" s="90" t="s">
        <v>125</v>
      </c>
      <c r="K11" s="90" t="s">
        <v>135</v>
      </c>
      <c r="L11" s="90" t="s">
        <v>1242</v>
      </c>
      <c r="M11" s="148" t="s">
        <v>119</v>
      </c>
    </row>
    <row r="12" spans="2:25" x14ac:dyDescent="0.25">
      <c r="B12" s="335">
        <v>9</v>
      </c>
      <c r="C12" s="411" t="s">
        <v>151</v>
      </c>
      <c r="D12" s="90" t="s">
        <v>160</v>
      </c>
      <c r="E12" s="90" t="s">
        <v>78</v>
      </c>
      <c r="F12" s="90" t="s">
        <v>86</v>
      </c>
      <c r="G12" s="90" t="s">
        <v>95</v>
      </c>
      <c r="H12" s="90" t="s">
        <v>105</v>
      </c>
      <c r="I12" s="90" t="s">
        <v>116</v>
      </c>
      <c r="J12" s="90" t="s">
        <v>126</v>
      </c>
      <c r="K12" s="90" t="s">
        <v>136</v>
      </c>
      <c r="L12" s="90" t="s">
        <v>338</v>
      </c>
      <c r="M12" s="148" t="s">
        <v>120</v>
      </c>
    </row>
    <row r="13" spans="2:25" x14ac:dyDescent="0.25">
      <c r="B13" s="335">
        <v>10</v>
      </c>
      <c r="C13" s="411" t="s">
        <v>151</v>
      </c>
      <c r="D13" s="90" t="s">
        <v>161</v>
      </c>
      <c r="E13" s="90" t="s">
        <v>78</v>
      </c>
      <c r="F13" s="90" t="s">
        <v>86</v>
      </c>
      <c r="G13" s="90" t="s">
        <v>96</v>
      </c>
      <c r="H13" s="90" t="s">
        <v>106</v>
      </c>
      <c r="I13" s="90" t="s">
        <v>117</v>
      </c>
      <c r="J13" s="90" t="s">
        <v>127</v>
      </c>
      <c r="K13" s="90" t="s">
        <v>137</v>
      </c>
      <c r="L13" s="90" t="s">
        <v>339</v>
      </c>
      <c r="M13" s="148" t="s">
        <v>121</v>
      </c>
    </row>
    <row r="14" spans="2:25" x14ac:dyDescent="0.25">
      <c r="B14" s="335">
        <v>11</v>
      </c>
      <c r="C14" s="411" t="s">
        <v>151</v>
      </c>
      <c r="D14" s="90" t="s">
        <v>162</v>
      </c>
      <c r="E14" s="90" t="s">
        <v>78</v>
      </c>
      <c r="F14" s="90" t="s">
        <v>86</v>
      </c>
      <c r="G14" s="90" t="s">
        <v>96</v>
      </c>
      <c r="H14" s="90" t="s">
        <v>107</v>
      </c>
      <c r="I14" s="90" t="s">
        <v>117</v>
      </c>
      <c r="J14" s="90" t="s">
        <v>127</v>
      </c>
      <c r="K14" s="90" t="s">
        <v>138</v>
      </c>
      <c r="L14" s="90" t="s">
        <v>340</v>
      </c>
      <c r="M14" s="148" t="s">
        <v>351</v>
      </c>
    </row>
    <row r="15" spans="2:25" x14ac:dyDescent="0.25">
      <c r="B15" s="335">
        <v>12</v>
      </c>
      <c r="C15" s="411" t="s">
        <v>151</v>
      </c>
      <c r="D15" s="90" t="s">
        <v>61</v>
      </c>
      <c r="E15" s="90" t="s">
        <v>78</v>
      </c>
      <c r="F15" s="90" t="s">
        <v>86</v>
      </c>
      <c r="G15" s="90" t="s">
        <v>96</v>
      </c>
      <c r="H15" s="90" t="s">
        <v>107</v>
      </c>
      <c r="I15" s="90" t="s">
        <v>117</v>
      </c>
      <c r="J15" s="90" t="s">
        <v>127</v>
      </c>
      <c r="K15" s="90" t="s">
        <v>139</v>
      </c>
      <c r="L15" s="90" t="s">
        <v>341</v>
      </c>
      <c r="M15" s="148" t="s">
        <v>352</v>
      </c>
    </row>
    <row r="16" spans="2:25" x14ac:dyDescent="0.25">
      <c r="B16" s="335">
        <v>13</v>
      </c>
      <c r="C16" s="411" t="s">
        <v>151</v>
      </c>
      <c r="D16" s="90" t="s">
        <v>163</v>
      </c>
      <c r="E16" s="90" t="s">
        <v>78</v>
      </c>
      <c r="F16" s="90" t="s">
        <v>86</v>
      </c>
      <c r="G16" s="90" t="s">
        <v>96</v>
      </c>
      <c r="H16" s="90" t="s">
        <v>107</v>
      </c>
      <c r="I16" s="90" t="s">
        <v>117</v>
      </c>
      <c r="J16" s="90" t="s">
        <v>127</v>
      </c>
      <c r="K16" s="90" t="s">
        <v>140</v>
      </c>
      <c r="L16" s="90" t="s">
        <v>342</v>
      </c>
      <c r="M16" s="148" t="s">
        <v>353</v>
      </c>
    </row>
    <row r="17" spans="2:13" x14ac:dyDescent="0.25">
      <c r="B17" s="335">
        <v>14</v>
      </c>
      <c r="C17" s="411" t="s">
        <v>151</v>
      </c>
      <c r="D17" s="90" t="s">
        <v>164</v>
      </c>
      <c r="E17" s="90" t="s">
        <v>78</v>
      </c>
      <c r="F17" s="90" t="s">
        <v>86</v>
      </c>
      <c r="G17" s="90" t="s">
        <v>96</v>
      </c>
      <c r="H17" s="90" t="s">
        <v>107</v>
      </c>
      <c r="I17" s="90" t="s">
        <v>117</v>
      </c>
      <c r="J17" s="90" t="s">
        <v>127</v>
      </c>
      <c r="K17" s="90" t="s">
        <v>141</v>
      </c>
      <c r="L17" s="90" t="s">
        <v>343</v>
      </c>
      <c r="M17" s="148" t="s">
        <v>354</v>
      </c>
    </row>
    <row r="18" spans="2:13" x14ac:dyDescent="0.25">
      <c r="B18" s="335">
        <v>15</v>
      </c>
      <c r="C18" s="411" t="s">
        <v>151</v>
      </c>
      <c r="D18" s="90" t="s">
        <v>370</v>
      </c>
      <c r="E18" s="90" t="s">
        <v>78</v>
      </c>
      <c r="F18" s="90" t="s">
        <v>86</v>
      </c>
      <c r="G18" s="90" t="s">
        <v>96</v>
      </c>
      <c r="H18" s="90" t="s">
        <v>107</v>
      </c>
      <c r="I18" s="90" t="s">
        <v>117</v>
      </c>
      <c r="J18" s="90" t="s">
        <v>127</v>
      </c>
      <c r="K18" s="90" t="s">
        <v>142</v>
      </c>
      <c r="L18" s="90" t="s">
        <v>344</v>
      </c>
      <c r="M18" s="148" t="s">
        <v>355</v>
      </c>
    </row>
    <row r="19" spans="2:13" x14ac:dyDescent="0.25">
      <c r="B19" s="335">
        <v>16</v>
      </c>
      <c r="C19" s="411" t="s">
        <v>151</v>
      </c>
      <c r="D19" s="90" t="s">
        <v>371</v>
      </c>
      <c r="E19" s="90" t="s">
        <v>78</v>
      </c>
      <c r="F19" s="90" t="s">
        <v>86</v>
      </c>
      <c r="G19" s="90" t="s">
        <v>96</v>
      </c>
      <c r="H19" s="90" t="s">
        <v>107</v>
      </c>
      <c r="I19" s="90" t="s">
        <v>117</v>
      </c>
      <c r="J19" s="90" t="s">
        <v>127</v>
      </c>
      <c r="K19" s="90"/>
      <c r="L19" s="90" t="s">
        <v>345</v>
      </c>
      <c r="M19" s="148" t="s">
        <v>356</v>
      </c>
    </row>
    <row r="20" spans="2:13" x14ac:dyDescent="0.25">
      <c r="B20" s="335">
        <v>17</v>
      </c>
      <c r="C20" s="411" t="s">
        <v>151</v>
      </c>
      <c r="D20" s="90" t="s">
        <v>372</v>
      </c>
      <c r="E20" s="90" t="s">
        <v>78</v>
      </c>
      <c r="F20" s="90" t="s">
        <v>86</v>
      </c>
      <c r="G20" s="90" t="s">
        <v>96</v>
      </c>
      <c r="H20" s="90" t="s">
        <v>107</v>
      </c>
      <c r="I20" s="90" t="s">
        <v>117</v>
      </c>
      <c r="J20" s="90" t="s">
        <v>127</v>
      </c>
      <c r="K20" s="90"/>
      <c r="L20" s="90" t="s">
        <v>346</v>
      </c>
      <c r="M20" s="148" t="s">
        <v>357</v>
      </c>
    </row>
    <row r="21" spans="2:13" x14ac:dyDescent="0.25">
      <c r="B21" s="335">
        <v>18</v>
      </c>
      <c r="C21" s="411" t="s">
        <v>151</v>
      </c>
      <c r="D21" s="90" t="s">
        <v>373</v>
      </c>
      <c r="E21" s="90" t="s">
        <v>78</v>
      </c>
      <c r="F21" s="90" t="s">
        <v>86</v>
      </c>
      <c r="G21" s="90" t="s">
        <v>96</v>
      </c>
      <c r="H21" s="90" t="s">
        <v>107</v>
      </c>
      <c r="I21" s="90" t="s">
        <v>117</v>
      </c>
      <c r="J21" s="90" t="s">
        <v>127</v>
      </c>
      <c r="K21" s="90"/>
      <c r="L21" s="90" t="s">
        <v>347</v>
      </c>
      <c r="M21" s="148" t="s">
        <v>358</v>
      </c>
    </row>
    <row r="22" spans="2:13" x14ac:dyDescent="0.25">
      <c r="B22" s="335">
        <v>19</v>
      </c>
      <c r="C22" s="411" t="s">
        <v>151</v>
      </c>
      <c r="D22" s="90" t="s">
        <v>374</v>
      </c>
      <c r="E22" s="90" t="s">
        <v>78</v>
      </c>
      <c r="F22" s="90" t="s">
        <v>86</v>
      </c>
      <c r="G22" s="90" t="s">
        <v>96</v>
      </c>
      <c r="H22" s="90" t="s">
        <v>107</v>
      </c>
      <c r="I22" s="90" t="s">
        <v>117</v>
      </c>
      <c r="J22" s="90" t="s">
        <v>127</v>
      </c>
      <c r="K22" s="90"/>
      <c r="L22" s="90" t="s">
        <v>348</v>
      </c>
      <c r="M22" s="148" t="s">
        <v>359</v>
      </c>
    </row>
    <row r="23" spans="2:13" x14ac:dyDescent="0.25">
      <c r="B23" s="335">
        <v>20</v>
      </c>
      <c r="C23" s="411" t="s">
        <v>151</v>
      </c>
      <c r="D23" s="90" t="s">
        <v>375</v>
      </c>
      <c r="E23" s="90" t="s">
        <v>78</v>
      </c>
      <c r="F23" s="90" t="s">
        <v>86</v>
      </c>
      <c r="G23" s="90" t="s">
        <v>96</v>
      </c>
      <c r="H23" s="90" t="s">
        <v>107</v>
      </c>
      <c r="I23" s="90" t="s">
        <v>117</v>
      </c>
      <c r="J23" s="90" t="s">
        <v>127</v>
      </c>
      <c r="K23" s="90"/>
      <c r="L23" s="90" t="s">
        <v>349</v>
      </c>
      <c r="M23" s="148" t="s">
        <v>360</v>
      </c>
    </row>
    <row r="24" spans="2:13" x14ac:dyDescent="0.25">
      <c r="B24" s="335">
        <v>21</v>
      </c>
      <c r="C24" s="411" t="s">
        <v>151</v>
      </c>
      <c r="D24" s="90" t="s">
        <v>376</v>
      </c>
      <c r="E24" s="90" t="s">
        <v>78</v>
      </c>
      <c r="F24" s="90" t="s">
        <v>86</v>
      </c>
      <c r="G24" s="90" t="s">
        <v>96</v>
      </c>
      <c r="H24" s="90" t="s">
        <v>107</v>
      </c>
      <c r="I24" s="90" t="s">
        <v>117</v>
      </c>
      <c r="J24" s="90" t="s">
        <v>127</v>
      </c>
      <c r="K24" s="90"/>
      <c r="L24" s="90" t="s">
        <v>350</v>
      </c>
      <c r="M24" s="148" t="s">
        <v>361</v>
      </c>
    </row>
    <row r="25" spans="2:13" x14ac:dyDescent="0.25">
      <c r="B25" s="335">
        <v>22</v>
      </c>
      <c r="C25" s="411" t="s">
        <v>151</v>
      </c>
      <c r="D25" s="90" t="s">
        <v>377</v>
      </c>
      <c r="E25" s="90" t="s">
        <v>78</v>
      </c>
      <c r="F25" s="90" t="s">
        <v>86</v>
      </c>
      <c r="G25" s="90" t="s">
        <v>96</v>
      </c>
      <c r="H25" s="90" t="s">
        <v>107</v>
      </c>
      <c r="I25" s="90" t="s">
        <v>117</v>
      </c>
      <c r="J25" s="90" t="s">
        <v>127</v>
      </c>
      <c r="K25" s="90"/>
      <c r="L25" s="90"/>
      <c r="M25" s="148" t="s">
        <v>362</v>
      </c>
    </row>
    <row r="26" spans="2:13" x14ac:dyDescent="0.25">
      <c r="B26" s="335">
        <v>23</v>
      </c>
      <c r="C26" s="411" t="s">
        <v>151</v>
      </c>
      <c r="D26" s="90" t="s">
        <v>378</v>
      </c>
      <c r="E26" s="90" t="s">
        <v>78</v>
      </c>
      <c r="F26" s="90" t="s">
        <v>86</v>
      </c>
      <c r="G26" s="90" t="s">
        <v>96</v>
      </c>
      <c r="H26" s="90" t="s">
        <v>107</v>
      </c>
      <c r="I26" s="90" t="s">
        <v>117</v>
      </c>
      <c r="J26" s="90" t="s">
        <v>127</v>
      </c>
      <c r="K26" s="90"/>
      <c r="L26" s="90"/>
      <c r="M26" s="148" t="s">
        <v>362</v>
      </c>
    </row>
    <row r="27" spans="2:13" x14ac:dyDescent="0.25">
      <c r="B27" s="335">
        <v>24</v>
      </c>
      <c r="C27" s="411" t="s">
        <v>151</v>
      </c>
      <c r="D27" s="90"/>
      <c r="E27" s="90" t="s">
        <v>78</v>
      </c>
      <c r="F27" s="90" t="s">
        <v>86</v>
      </c>
      <c r="G27" s="90" t="s">
        <v>96</v>
      </c>
      <c r="H27" s="90" t="s">
        <v>107</v>
      </c>
      <c r="I27" s="90" t="s">
        <v>117</v>
      </c>
      <c r="J27" s="90" t="s">
        <v>127</v>
      </c>
      <c r="K27" s="90"/>
      <c r="L27" s="90"/>
      <c r="M27" s="148" t="s">
        <v>362</v>
      </c>
    </row>
    <row r="28" spans="2:13" x14ac:dyDescent="0.25">
      <c r="B28" s="335">
        <v>25</v>
      </c>
      <c r="C28" s="411" t="s">
        <v>151</v>
      </c>
      <c r="D28" s="90"/>
      <c r="E28" s="90" t="s">
        <v>78</v>
      </c>
      <c r="F28" s="90" t="s">
        <v>86</v>
      </c>
      <c r="G28" s="90" t="s">
        <v>96</v>
      </c>
      <c r="H28" s="90" t="s">
        <v>107</v>
      </c>
      <c r="I28" s="90" t="s">
        <v>117</v>
      </c>
      <c r="J28" s="90" t="s">
        <v>127</v>
      </c>
      <c r="K28" s="90"/>
      <c r="L28" s="90"/>
      <c r="M28" s="148" t="s">
        <v>362</v>
      </c>
    </row>
    <row r="29" spans="2:13" x14ac:dyDescent="0.25">
      <c r="B29" s="335">
        <v>26</v>
      </c>
      <c r="C29" s="411" t="s">
        <v>151</v>
      </c>
      <c r="D29" s="90"/>
      <c r="E29" s="90" t="s">
        <v>78</v>
      </c>
      <c r="F29" s="90" t="s">
        <v>86</v>
      </c>
      <c r="G29" s="90" t="s">
        <v>96</v>
      </c>
      <c r="H29" s="90" t="s">
        <v>107</v>
      </c>
      <c r="I29" s="90" t="s">
        <v>117</v>
      </c>
      <c r="J29" s="90" t="s">
        <v>127</v>
      </c>
      <c r="K29" s="90"/>
      <c r="L29" s="90"/>
      <c r="M29" s="148" t="s">
        <v>362</v>
      </c>
    </row>
    <row r="30" spans="2:13" x14ac:dyDescent="0.25">
      <c r="B30" s="335">
        <v>27</v>
      </c>
      <c r="C30" s="411" t="s">
        <v>151</v>
      </c>
      <c r="D30" s="90"/>
      <c r="E30" s="90" t="s">
        <v>78</v>
      </c>
      <c r="F30" s="90" t="s">
        <v>86</v>
      </c>
      <c r="G30" s="90" t="s">
        <v>96</v>
      </c>
      <c r="H30" s="90" t="s">
        <v>107</v>
      </c>
      <c r="I30" s="90" t="s">
        <v>117</v>
      </c>
      <c r="J30" s="90" t="s">
        <v>127</v>
      </c>
      <c r="K30" s="90"/>
      <c r="L30" s="90"/>
      <c r="M30" s="148" t="s">
        <v>362</v>
      </c>
    </row>
    <row r="31" spans="2:13" x14ac:dyDescent="0.25">
      <c r="B31" s="335">
        <v>28</v>
      </c>
      <c r="C31" s="411" t="s">
        <v>151</v>
      </c>
      <c r="D31" s="90"/>
      <c r="E31" s="90" t="s">
        <v>78</v>
      </c>
      <c r="F31" s="90" t="s">
        <v>86</v>
      </c>
      <c r="G31" s="90" t="s">
        <v>96</v>
      </c>
      <c r="H31" s="90" t="s">
        <v>107</v>
      </c>
      <c r="I31" s="90" t="s">
        <v>117</v>
      </c>
      <c r="J31" s="90" t="s">
        <v>127</v>
      </c>
      <c r="K31" s="90"/>
      <c r="L31" s="90"/>
      <c r="M31" s="148" t="s">
        <v>362</v>
      </c>
    </row>
    <row r="32" spans="2:13" x14ac:dyDescent="0.25">
      <c r="B32" s="335">
        <v>29</v>
      </c>
      <c r="C32" s="411" t="s">
        <v>151</v>
      </c>
      <c r="D32" s="90"/>
      <c r="E32" s="90" t="s">
        <v>78</v>
      </c>
      <c r="F32" s="90" t="s">
        <v>86</v>
      </c>
      <c r="G32" s="90" t="s">
        <v>96</v>
      </c>
      <c r="H32" s="90" t="s">
        <v>107</v>
      </c>
      <c r="I32" s="90" t="s">
        <v>117</v>
      </c>
      <c r="J32" s="90" t="s">
        <v>127</v>
      </c>
      <c r="K32" s="90"/>
      <c r="L32" s="90"/>
      <c r="M32" s="148" t="s">
        <v>362</v>
      </c>
    </row>
    <row r="33" spans="2:49" x14ac:dyDescent="0.25">
      <c r="B33" s="335">
        <v>30</v>
      </c>
      <c r="C33" s="411" t="s">
        <v>151</v>
      </c>
      <c r="D33" s="90"/>
      <c r="E33" s="90" t="s">
        <v>78</v>
      </c>
      <c r="F33" s="90" t="s">
        <v>86</v>
      </c>
      <c r="G33" s="90" t="s">
        <v>96</v>
      </c>
      <c r="H33" s="90" t="s">
        <v>107</v>
      </c>
      <c r="I33" s="90" t="s">
        <v>117</v>
      </c>
      <c r="J33" s="90" t="s">
        <v>127</v>
      </c>
      <c r="K33" s="90"/>
      <c r="L33" s="90"/>
      <c r="M33" s="148" t="s">
        <v>362</v>
      </c>
    </row>
    <row r="34" spans="2:49" x14ac:dyDescent="0.25">
      <c r="B34" s="335">
        <v>31</v>
      </c>
      <c r="C34" s="411" t="s">
        <v>151</v>
      </c>
      <c r="D34" s="90"/>
      <c r="E34" s="90" t="s">
        <v>78</v>
      </c>
      <c r="F34" s="90" t="s">
        <v>86</v>
      </c>
      <c r="G34" s="90" t="s">
        <v>96</v>
      </c>
      <c r="H34" s="90" t="s">
        <v>107</v>
      </c>
      <c r="I34" s="90" t="s">
        <v>117</v>
      </c>
      <c r="J34" s="90" t="s">
        <v>127</v>
      </c>
      <c r="K34" s="90"/>
      <c r="L34" s="90"/>
      <c r="M34" s="148" t="s">
        <v>362</v>
      </c>
    </row>
    <row r="35" spans="2:49" x14ac:dyDescent="0.25">
      <c r="B35" s="335">
        <v>32</v>
      </c>
      <c r="C35" s="411" t="s">
        <v>151</v>
      </c>
      <c r="D35" s="90"/>
      <c r="E35" s="90" t="s">
        <v>78</v>
      </c>
      <c r="F35" s="90" t="s">
        <v>86</v>
      </c>
      <c r="G35" s="90" t="s">
        <v>96</v>
      </c>
      <c r="H35" s="90" t="s">
        <v>107</v>
      </c>
      <c r="I35" s="90" t="s">
        <v>117</v>
      </c>
      <c r="J35" s="90" t="s">
        <v>127</v>
      </c>
      <c r="K35" s="90"/>
      <c r="L35" s="90"/>
      <c r="M35" s="148" t="s">
        <v>362</v>
      </c>
    </row>
    <row r="36" spans="2:49" x14ac:dyDescent="0.25">
      <c r="B36" s="335">
        <v>33</v>
      </c>
      <c r="C36" s="411" t="s">
        <v>151</v>
      </c>
      <c r="D36" s="90"/>
      <c r="E36" s="90" t="s">
        <v>78</v>
      </c>
      <c r="F36" s="90" t="s">
        <v>86</v>
      </c>
      <c r="G36" s="90" t="s">
        <v>96</v>
      </c>
      <c r="H36" s="90" t="s">
        <v>107</v>
      </c>
      <c r="I36" s="90" t="s">
        <v>117</v>
      </c>
      <c r="J36" s="90" t="s">
        <v>127</v>
      </c>
      <c r="K36" s="90"/>
      <c r="L36" s="90"/>
      <c r="M36" s="148" t="s">
        <v>362</v>
      </c>
    </row>
    <row r="37" spans="2:49" x14ac:dyDescent="0.25">
      <c r="B37" s="335">
        <v>34</v>
      </c>
      <c r="C37" s="411" t="s">
        <v>151</v>
      </c>
      <c r="D37" s="90"/>
      <c r="E37" s="90" t="s">
        <v>78</v>
      </c>
      <c r="F37" s="90" t="s">
        <v>86</v>
      </c>
      <c r="G37" s="90" t="s">
        <v>96</v>
      </c>
      <c r="H37" s="90" t="s">
        <v>107</v>
      </c>
      <c r="I37" s="90" t="s">
        <v>117</v>
      </c>
      <c r="J37" s="90" t="s">
        <v>127</v>
      </c>
      <c r="K37" s="90"/>
      <c r="L37" s="90"/>
      <c r="M37" s="148"/>
    </row>
    <row r="38" spans="2:49" x14ac:dyDescent="0.25">
      <c r="B38" s="335">
        <v>35</v>
      </c>
      <c r="C38" s="411" t="s">
        <v>151</v>
      </c>
      <c r="D38" s="90"/>
      <c r="E38" s="90" t="s">
        <v>78</v>
      </c>
      <c r="F38" s="90" t="s">
        <v>86</v>
      </c>
      <c r="G38" s="90" t="s">
        <v>96</v>
      </c>
      <c r="H38" s="90" t="s">
        <v>107</v>
      </c>
      <c r="I38" s="90" t="s">
        <v>117</v>
      </c>
      <c r="J38" s="90" t="s">
        <v>127</v>
      </c>
      <c r="K38" s="90"/>
      <c r="L38" s="90"/>
      <c r="M38" s="148"/>
    </row>
    <row r="39" spans="2:49" ht="15.75" thickBot="1" x14ac:dyDescent="0.3">
      <c r="B39" s="339">
        <v>36</v>
      </c>
      <c r="C39" s="412" t="s">
        <v>151</v>
      </c>
      <c r="D39" s="150"/>
      <c r="E39" s="150" t="s">
        <v>78</v>
      </c>
      <c r="F39" s="150" t="s">
        <v>86</v>
      </c>
      <c r="G39" s="150" t="s">
        <v>96</v>
      </c>
      <c r="H39" s="150" t="s">
        <v>107</v>
      </c>
      <c r="I39" s="150" t="s">
        <v>117</v>
      </c>
      <c r="J39" s="150" t="s">
        <v>127</v>
      </c>
      <c r="K39" s="150"/>
      <c r="L39" s="150"/>
      <c r="M39" s="151"/>
    </row>
    <row r="41" spans="2:49" ht="19.5" thickBot="1" x14ac:dyDescent="0.35">
      <c r="B41" s="121" t="s">
        <v>1566</v>
      </c>
    </row>
    <row r="42" spans="2:49" s="121" customFormat="1" ht="18.75" x14ac:dyDescent="0.3">
      <c r="B42" s="409"/>
      <c r="C42" s="915" t="s">
        <v>1518</v>
      </c>
      <c r="D42" s="913"/>
      <c r="E42" s="913"/>
      <c r="F42" s="913"/>
      <c r="G42" s="914"/>
      <c r="H42" s="919" t="s">
        <v>25</v>
      </c>
      <c r="I42" s="920"/>
      <c r="J42" s="920"/>
      <c r="K42" s="920"/>
      <c r="L42" s="920"/>
      <c r="M42" s="921"/>
      <c r="N42" s="915" t="s">
        <v>1519</v>
      </c>
      <c r="O42" s="913"/>
      <c r="P42" s="913"/>
      <c r="Q42" s="913"/>
      <c r="R42" s="913"/>
      <c r="S42" s="914"/>
      <c r="T42" s="915" t="s">
        <v>1520</v>
      </c>
      <c r="U42" s="913"/>
      <c r="V42" s="913"/>
      <c r="W42" s="913"/>
      <c r="X42" s="913"/>
      <c r="Y42" s="914"/>
      <c r="Z42" s="915" t="s">
        <v>1523</v>
      </c>
      <c r="AA42" s="913"/>
      <c r="AB42" s="913"/>
      <c r="AC42" s="913"/>
      <c r="AD42" s="913"/>
      <c r="AE42" s="914"/>
      <c r="AF42" s="915" t="s">
        <v>26</v>
      </c>
      <c r="AG42" s="913"/>
      <c r="AH42" s="913"/>
      <c r="AI42" s="913"/>
      <c r="AJ42" s="913"/>
      <c r="AK42" s="914"/>
      <c r="AL42" s="919" t="s">
        <v>27</v>
      </c>
      <c r="AM42" s="920"/>
      <c r="AN42" s="920"/>
      <c r="AO42" s="920"/>
      <c r="AP42" s="920"/>
      <c r="AQ42" s="921"/>
      <c r="AR42" s="922" t="s">
        <v>1549</v>
      </c>
      <c r="AS42" s="920"/>
      <c r="AT42" s="920"/>
      <c r="AU42" s="920"/>
      <c r="AV42" s="920"/>
      <c r="AW42" s="921"/>
    </row>
    <row r="43" spans="2:49" s="26" customFormat="1" ht="15.75" thickBot="1" x14ac:dyDescent="0.3">
      <c r="B43" s="408" t="s">
        <v>48</v>
      </c>
      <c r="C43" s="158" t="s">
        <v>1201</v>
      </c>
      <c r="D43" s="156" t="s">
        <v>1505</v>
      </c>
      <c r="E43" s="156" t="s">
        <v>388</v>
      </c>
      <c r="F43" s="156" t="s">
        <v>1534</v>
      </c>
      <c r="G43" s="157" t="s">
        <v>1571</v>
      </c>
      <c r="H43" s="155" t="s">
        <v>48</v>
      </c>
      <c r="I43" s="156" t="s">
        <v>1201</v>
      </c>
      <c r="J43" s="156" t="s">
        <v>1505</v>
      </c>
      <c r="K43" s="156" t="s">
        <v>388</v>
      </c>
      <c r="L43" s="156" t="s">
        <v>1534</v>
      </c>
      <c r="M43" s="157" t="s">
        <v>1571</v>
      </c>
      <c r="N43" s="155" t="s">
        <v>48</v>
      </c>
      <c r="O43" s="156" t="s">
        <v>1201</v>
      </c>
      <c r="P43" s="156" t="s">
        <v>1505</v>
      </c>
      <c r="Q43" s="156" t="s">
        <v>388</v>
      </c>
      <c r="R43" s="156" t="s">
        <v>1534</v>
      </c>
      <c r="S43" s="157" t="s">
        <v>1571</v>
      </c>
      <c r="T43" s="155" t="s">
        <v>48</v>
      </c>
      <c r="U43" s="156" t="s">
        <v>1201</v>
      </c>
      <c r="V43" s="156" t="s">
        <v>1505</v>
      </c>
      <c r="W43" s="156" t="s">
        <v>388</v>
      </c>
      <c r="X43" s="156" t="s">
        <v>1534</v>
      </c>
      <c r="Y43" s="157" t="s">
        <v>1571</v>
      </c>
      <c r="Z43" s="155" t="s">
        <v>48</v>
      </c>
      <c r="AA43" s="156" t="s">
        <v>1201</v>
      </c>
      <c r="AB43" s="156" t="s">
        <v>1505</v>
      </c>
      <c r="AC43" s="156" t="s">
        <v>388</v>
      </c>
      <c r="AD43" s="156" t="s">
        <v>1534</v>
      </c>
      <c r="AE43" s="157" t="s">
        <v>1571</v>
      </c>
      <c r="AF43" s="155" t="s">
        <v>48</v>
      </c>
      <c r="AG43" s="156" t="s">
        <v>1201</v>
      </c>
      <c r="AH43" s="156" t="s">
        <v>1505</v>
      </c>
      <c r="AI43" s="156" t="s">
        <v>388</v>
      </c>
      <c r="AJ43" s="156" t="s">
        <v>1534</v>
      </c>
      <c r="AK43" s="157" t="s">
        <v>1571</v>
      </c>
      <c r="AL43" s="155" t="s">
        <v>48</v>
      </c>
      <c r="AM43" s="156" t="s">
        <v>1201</v>
      </c>
      <c r="AN43" s="156" t="s">
        <v>1505</v>
      </c>
      <c r="AO43" s="156" t="s">
        <v>388</v>
      </c>
      <c r="AP43" s="156" t="s">
        <v>1534</v>
      </c>
      <c r="AQ43" s="157" t="s">
        <v>1571</v>
      </c>
      <c r="AR43" s="158" t="s">
        <v>48</v>
      </c>
      <c r="AS43" s="156" t="s">
        <v>1201</v>
      </c>
      <c r="AT43" s="156" t="s">
        <v>1505</v>
      </c>
      <c r="AU43" s="156" t="s">
        <v>388</v>
      </c>
      <c r="AV43" s="156" t="s">
        <v>1534</v>
      </c>
      <c r="AW43" s="157" t="s">
        <v>1571</v>
      </c>
    </row>
    <row r="44" spans="2:49" x14ac:dyDescent="0.25">
      <c r="B44" s="398">
        <v>1</v>
      </c>
      <c r="C44" s="405">
        <v>0.3</v>
      </c>
      <c r="D44" s="153"/>
      <c r="E44" s="164"/>
      <c r="F44" s="153"/>
      <c r="G44" s="154"/>
      <c r="H44" s="132">
        <v>1</v>
      </c>
      <c r="I44" s="152">
        <v>0.25</v>
      </c>
      <c r="J44" s="153"/>
      <c r="K44" s="152">
        <v>0.25</v>
      </c>
      <c r="L44" s="153"/>
      <c r="M44" s="154"/>
      <c r="N44" s="132">
        <v>1</v>
      </c>
      <c r="O44" s="152">
        <v>0.2</v>
      </c>
      <c r="P44" s="153"/>
      <c r="Q44" s="152">
        <v>0.2</v>
      </c>
      <c r="R44" s="153"/>
      <c r="S44" s="154"/>
      <c r="T44" s="132">
        <v>1</v>
      </c>
      <c r="U44" s="152">
        <v>0.15</v>
      </c>
      <c r="V44" s="153"/>
      <c r="W44" s="152">
        <v>0.15</v>
      </c>
      <c r="X44" s="153"/>
      <c r="Y44" s="154"/>
      <c r="Z44" s="132">
        <v>1</v>
      </c>
      <c r="AA44" s="152">
        <v>0.1</v>
      </c>
      <c r="AB44" s="153"/>
      <c r="AC44" s="152">
        <v>0.1</v>
      </c>
      <c r="AD44" s="153"/>
      <c r="AE44" s="154"/>
      <c r="AF44" s="132">
        <v>1</v>
      </c>
      <c r="AG44" s="152">
        <v>0.1</v>
      </c>
      <c r="AH44" s="153"/>
      <c r="AI44" s="152">
        <v>0.1</v>
      </c>
      <c r="AJ44" s="153"/>
      <c r="AK44" s="154"/>
      <c r="AL44" s="132">
        <v>1</v>
      </c>
      <c r="AM44" s="152">
        <v>0.85</v>
      </c>
      <c r="AN44" s="153"/>
      <c r="AO44" s="152">
        <v>0.85</v>
      </c>
      <c r="AP44" s="153"/>
      <c r="AQ44" s="154"/>
      <c r="AR44" s="159">
        <v>1</v>
      </c>
      <c r="AS44" s="152">
        <v>0</v>
      </c>
      <c r="AT44" s="153"/>
      <c r="AU44" s="153"/>
      <c r="AV44" s="153"/>
      <c r="AW44" s="154"/>
    </row>
    <row r="45" spans="2:49" x14ac:dyDescent="0.25">
      <c r="B45" s="399">
        <v>2</v>
      </c>
      <c r="C45" s="406">
        <v>0.35</v>
      </c>
      <c r="D45" s="90"/>
      <c r="E45" s="162"/>
      <c r="F45" s="90"/>
      <c r="G45" s="148"/>
      <c r="H45" s="29">
        <v>2</v>
      </c>
      <c r="I45" s="146">
        <v>0.28999999999999998</v>
      </c>
      <c r="J45" s="90"/>
      <c r="K45" s="146">
        <v>0.28999999999999998</v>
      </c>
      <c r="L45" s="90"/>
      <c r="M45" s="148"/>
      <c r="N45" s="29">
        <v>2</v>
      </c>
      <c r="O45" s="146">
        <v>0.25</v>
      </c>
      <c r="P45" s="90"/>
      <c r="Q45" s="146">
        <v>0.25</v>
      </c>
      <c r="R45" s="90"/>
      <c r="S45" s="148"/>
      <c r="T45" s="29">
        <v>2</v>
      </c>
      <c r="U45" s="146">
        <v>0.21</v>
      </c>
      <c r="V45" s="90"/>
      <c r="W45" s="146">
        <v>0.21</v>
      </c>
      <c r="X45" s="90"/>
      <c r="Y45" s="148"/>
      <c r="Z45" s="29">
        <v>2</v>
      </c>
      <c r="AA45" s="146">
        <v>0.15</v>
      </c>
      <c r="AB45" s="90"/>
      <c r="AC45" s="146">
        <v>0.15</v>
      </c>
      <c r="AD45" s="90"/>
      <c r="AE45" s="148"/>
      <c r="AF45" s="29">
        <v>2</v>
      </c>
      <c r="AG45" s="146">
        <v>0.1</v>
      </c>
      <c r="AH45" s="90"/>
      <c r="AI45" s="146">
        <v>0.1</v>
      </c>
      <c r="AJ45" s="90"/>
      <c r="AK45" s="148"/>
      <c r="AL45" s="29">
        <v>2</v>
      </c>
      <c r="AM45" s="146">
        <v>0.86</v>
      </c>
      <c r="AN45" s="90"/>
      <c r="AO45" s="146">
        <v>0.86</v>
      </c>
      <c r="AP45" s="90"/>
      <c r="AQ45" s="148"/>
      <c r="AR45" s="160">
        <v>2</v>
      </c>
      <c r="AS45" s="146">
        <v>0</v>
      </c>
      <c r="AT45" s="90"/>
      <c r="AU45" s="90"/>
      <c r="AV45" s="90"/>
      <c r="AW45" s="148"/>
    </row>
    <row r="46" spans="2:49" x14ac:dyDescent="0.25">
      <c r="B46" s="399">
        <v>3</v>
      </c>
      <c r="C46" s="406">
        <v>0.4</v>
      </c>
      <c r="D46" s="146">
        <v>0.3</v>
      </c>
      <c r="E46" s="162"/>
      <c r="F46" s="90"/>
      <c r="G46" s="148"/>
      <c r="H46" s="29">
        <v>3</v>
      </c>
      <c r="I46" s="146">
        <v>0.33</v>
      </c>
      <c r="J46" s="146">
        <v>0.25</v>
      </c>
      <c r="K46" s="146">
        <v>0.33</v>
      </c>
      <c r="L46" s="90"/>
      <c r="M46" s="148"/>
      <c r="N46" s="29">
        <v>3</v>
      </c>
      <c r="O46" s="146">
        <v>0.3</v>
      </c>
      <c r="P46" s="146">
        <v>0.2</v>
      </c>
      <c r="Q46" s="146">
        <v>0.3</v>
      </c>
      <c r="R46" s="90"/>
      <c r="S46" s="148"/>
      <c r="T46" s="29">
        <v>3</v>
      </c>
      <c r="U46" s="146">
        <v>0.27</v>
      </c>
      <c r="V46" s="146">
        <v>0.15</v>
      </c>
      <c r="W46" s="146">
        <v>0.27</v>
      </c>
      <c r="X46" s="90"/>
      <c r="Y46" s="148"/>
      <c r="Z46" s="29">
        <v>3</v>
      </c>
      <c r="AA46" s="146">
        <v>0.2</v>
      </c>
      <c r="AB46" s="146">
        <v>0.1</v>
      </c>
      <c r="AC46" s="146">
        <v>0.2</v>
      </c>
      <c r="AD46" s="90"/>
      <c r="AE46" s="148"/>
      <c r="AF46" s="29">
        <v>3</v>
      </c>
      <c r="AG46" s="146">
        <v>0.15</v>
      </c>
      <c r="AH46" s="146">
        <v>0.1</v>
      </c>
      <c r="AI46" s="146">
        <v>0.15</v>
      </c>
      <c r="AJ46" s="90"/>
      <c r="AK46" s="148"/>
      <c r="AL46" s="29">
        <v>3</v>
      </c>
      <c r="AM46" s="146">
        <v>0.87</v>
      </c>
      <c r="AN46" s="146">
        <v>0.85</v>
      </c>
      <c r="AO46" s="146">
        <v>0.87</v>
      </c>
      <c r="AP46" s="90"/>
      <c r="AQ46" s="148"/>
      <c r="AR46" s="160">
        <v>3</v>
      </c>
      <c r="AS46" s="146">
        <v>0.2</v>
      </c>
      <c r="AT46" s="146">
        <v>0</v>
      </c>
      <c r="AU46" s="90"/>
      <c r="AV46" s="90"/>
      <c r="AW46" s="148"/>
    </row>
    <row r="47" spans="2:49" x14ac:dyDescent="0.25">
      <c r="B47" s="399">
        <v>4</v>
      </c>
      <c r="C47" s="406">
        <v>0.45</v>
      </c>
      <c r="D47" s="146">
        <v>0.35</v>
      </c>
      <c r="E47" s="162"/>
      <c r="F47" s="90"/>
      <c r="G47" s="148"/>
      <c r="H47" s="29">
        <v>4</v>
      </c>
      <c r="I47" s="146">
        <v>0.37</v>
      </c>
      <c r="J47" s="146">
        <v>0.28999999999999998</v>
      </c>
      <c r="K47" s="146">
        <v>0.37</v>
      </c>
      <c r="L47" s="90"/>
      <c r="M47" s="148"/>
      <c r="N47" s="29">
        <v>4</v>
      </c>
      <c r="O47" s="146">
        <v>0.35</v>
      </c>
      <c r="P47" s="146">
        <v>0.25</v>
      </c>
      <c r="Q47" s="146">
        <v>0.35</v>
      </c>
      <c r="R47" s="90"/>
      <c r="S47" s="148"/>
      <c r="T47" s="29">
        <v>4</v>
      </c>
      <c r="U47" s="146">
        <v>0.33</v>
      </c>
      <c r="V47" s="146">
        <v>0.21</v>
      </c>
      <c r="W47" s="146">
        <v>0.33</v>
      </c>
      <c r="X47" s="90"/>
      <c r="Y47" s="148"/>
      <c r="Z47" s="29">
        <v>4</v>
      </c>
      <c r="AA47" s="146">
        <v>0.25</v>
      </c>
      <c r="AB47" s="146">
        <v>0.15</v>
      </c>
      <c r="AC47" s="146">
        <v>0.25</v>
      </c>
      <c r="AD47" s="90"/>
      <c r="AE47" s="148"/>
      <c r="AF47" s="29">
        <v>4</v>
      </c>
      <c r="AG47" s="146">
        <v>0.15</v>
      </c>
      <c r="AH47" s="146">
        <v>0.1</v>
      </c>
      <c r="AI47" s="146">
        <v>0.15</v>
      </c>
      <c r="AJ47" s="90"/>
      <c r="AK47" s="148"/>
      <c r="AL47" s="29">
        <v>4</v>
      </c>
      <c r="AM47" s="146">
        <v>0.88</v>
      </c>
      <c r="AN47" s="146">
        <v>0.86</v>
      </c>
      <c r="AO47" s="146">
        <v>0.88</v>
      </c>
      <c r="AP47" s="90"/>
      <c r="AQ47" s="148"/>
      <c r="AR47" s="160">
        <v>4</v>
      </c>
      <c r="AS47" s="146">
        <v>0.25</v>
      </c>
      <c r="AT47" s="146">
        <v>0</v>
      </c>
      <c r="AU47" s="90"/>
      <c r="AV47" s="90"/>
      <c r="AW47" s="148"/>
    </row>
    <row r="48" spans="2:49" x14ac:dyDescent="0.25">
      <c r="B48" s="399">
        <v>5</v>
      </c>
      <c r="C48" s="406">
        <v>0.5</v>
      </c>
      <c r="D48" s="146">
        <v>0.4</v>
      </c>
      <c r="E48" s="162"/>
      <c r="F48" s="90"/>
      <c r="G48" s="148"/>
      <c r="H48" s="29">
        <v>5</v>
      </c>
      <c r="I48" s="146">
        <v>0.42</v>
      </c>
      <c r="J48" s="146">
        <v>0.33</v>
      </c>
      <c r="K48" s="146">
        <v>0.42</v>
      </c>
      <c r="L48" s="90"/>
      <c r="M48" s="148"/>
      <c r="N48" s="29">
        <v>5</v>
      </c>
      <c r="O48" s="146">
        <v>0.4</v>
      </c>
      <c r="P48" s="146">
        <v>0.3</v>
      </c>
      <c r="Q48" s="146">
        <v>0.4</v>
      </c>
      <c r="R48" s="90"/>
      <c r="S48" s="148"/>
      <c r="T48" s="29">
        <v>5</v>
      </c>
      <c r="U48" s="146">
        <v>0.4</v>
      </c>
      <c r="V48" s="146">
        <v>0.27</v>
      </c>
      <c r="W48" s="146">
        <v>0.4</v>
      </c>
      <c r="X48" s="90"/>
      <c r="Y48" s="148"/>
      <c r="Z48" s="29">
        <v>5</v>
      </c>
      <c r="AA48" s="146">
        <v>0.31</v>
      </c>
      <c r="AB48" s="146">
        <v>0.2</v>
      </c>
      <c r="AC48" s="146">
        <v>0.31</v>
      </c>
      <c r="AD48" s="90"/>
      <c r="AE48" s="148"/>
      <c r="AF48" s="29">
        <v>5</v>
      </c>
      <c r="AG48" s="146">
        <v>0.2</v>
      </c>
      <c r="AH48" s="146">
        <v>0.15</v>
      </c>
      <c r="AI48" s="146">
        <v>0.2</v>
      </c>
      <c r="AJ48" s="90"/>
      <c r="AK48" s="148"/>
      <c r="AL48" s="29">
        <v>5</v>
      </c>
      <c r="AM48" s="146">
        <v>0.9</v>
      </c>
      <c r="AN48" s="146">
        <v>0.87</v>
      </c>
      <c r="AO48" s="146">
        <v>0.9</v>
      </c>
      <c r="AP48" s="90"/>
      <c r="AQ48" s="148"/>
      <c r="AR48" s="160">
        <v>5</v>
      </c>
      <c r="AS48" s="146">
        <v>0.3</v>
      </c>
      <c r="AT48" s="146">
        <v>0.2</v>
      </c>
      <c r="AU48" s="90"/>
      <c r="AV48" s="90"/>
      <c r="AW48" s="148"/>
    </row>
    <row r="49" spans="2:49" x14ac:dyDescent="0.25">
      <c r="B49" s="399">
        <v>6</v>
      </c>
      <c r="C49" s="406">
        <v>0.55000000000000004</v>
      </c>
      <c r="D49" s="146">
        <v>0.45</v>
      </c>
      <c r="E49" s="162"/>
      <c r="F49" s="90"/>
      <c r="G49" s="148"/>
      <c r="H49" s="29">
        <v>6</v>
      </c>
      <c r="I49" s="146">
        <v>0.47</v>
      </c>
      <c r="J49" s="146">
        <v>0.37</v>
      </c>
      <c r="K49" s="146">
        <v>0.47</v>
      </c>
      <c r="L49" s="90"/>
      <c r="M49" s="148"/>
      <c r="N49" s="29">
        <v>6</v>
      </c>
      <c r="O49" s="146">
        <v>0.45</v>
      </c>
      <c r="P49" s="146">
        <v>0.35</v>
      </c>
      <c r="Q49" s="146">
        <v>0.45</v>
      </c>
      <c r="R49" s="90"/>
      <c r="S49" s="148"/>
      <c r="T49" s="29">
        <v>6</v>
      </c>
      <c r="U49" s="146">
        <v>0.47</v>
      </c>
      <c r="V49" s="146">
        <v>0.33</v>
      </c>
      <c r="W49" s="146">
        <v>0.47</v>
      </c>
      <c r="X49" s="90"/>
      <c r="Y49" s="148"/>
      <c r="Z49" s="29">
        <v>6</v>
      </c>
      <c r="AA49" s="146">
        <v>0.37</v>
      </c>
      <c r="AB49" s="146">
        <v>0.25</v>
      </c>
      <c r="AC49" s="146">
        <v>0.37</v>
      </c>
      <c r="AD49" s="90"/>
      <c r="AE49" s="148"/>
      <c r="AF49" s="29">
        <v>6</v>
      </c>
      <c r="AG49" s="146">
        <v>0.2</v>
      </c>
      <c r="AH49" s="146">
        <v>0.15</v>
      </c>
      <c r="AI49" s="146">
        <v>0.2</v>
      </c>
      <c r="AJ49" s="90"/>
      <c r="AK49" s="148"/>
      <c r="AL49" s="29">
        <v>6</v>
      </c>
      <c r="AM49" s="146">
        <v>0.92</v>
      </c>
      <c r="AN49" s="146">
        <v>0.88</v>
      </c>
      <c r="AO49" s="146">
        <v>0.92</v>
      </c>
      <c r="AP49" s="90"/>
      <c r="AQ49" s="148"/>
      <c r="AR49" s="160">
        <v>6</v>
      </c>
      <c r="AS49" s="146">
        <v>0.35</v>
      </c>
      <c r="AT49" s="146">
        <v>0.25</v>
      </c>
      <c r="AU49" s="90"/>
      <c r="AV49" s="90"/>
      <c r="AW49" s="148"/>
    </row>
    <row r="50" spans="2:49" x14ac:dyDescent="0.25">
      <c r="B50" s="399">
        <v>7</v>
      </c>
      <c r="C50" s="406">
        <v>0.6</v>
      </c>
      <c r="D50" s="146">
        <v>0.5</v>
      </c>
      <c r="E50" s="162"/>
      <c r="F50" s="146">
        <v>0.3</v>
      </c>
      <c r="G50" s="148"/>
      <c r="H50" s="29">
        <v>7</v>
      </c>
      <c r="I50" s="146">
        <v>0.52</v>
      </c>
      <c r="J50" s="146">
        <v>0.42</v>
      </c>
      <c r="K50" s="146">
        <v>0.52</v>
      </c>
      <c r="L50" s="146">
        <v>0.25</v>
      </c>
      <c r="M50" s="148"/>
      <c r="N50" s="29">
        <v>7</v>
      </c>
      <c r="O50" s="146">
        <v>0.5</v>
      </c>
      <c r="P50" s="146">
        <v>0.4</v>
      </c>
      <c r="Q50" s="146">
        <v>0.5</v>
      </c>
      <c r="R50" s="146">
        <v>0.2</v>
      </c>
      <c r="S50" s="148"/>
      <c r="T50" s="29">
        <v>7</v>
      </c>
      <c r="U50" s="146">
        <v>0.55000000000000004</v>
      </c>
      <c r="V50" s="146">
        <v>0.4</v>
      </c>
      <c r="W50" s="146">
        <v>0.55000000000000004</v>
      </c>
      <c r="X50" s="146">
        <v>0.15</v>
      </c>
      <c r="Y50" s="148"/>
      <c r="Z50" s="29">
        <v>7</v>
      </c>
      <c r="AA50" s="146">
        <v>0.43</v>
      </c>
      <c r="AB50" s="146">
        <v>0.31</v>
      </c>
      <c r="AC50" s="146">
        <v>0.43</v>
      </c>
      <c r="AD50" s="146">
        <v>0.1</v>
      </c>
      <c r="AE50" s="148"/>
      <c r="AF50" s="29">
        <v>7</v>
      </c>
      <c r="AG50" s="146">
        <v>0.25</v>
      </c>
      <c r="AH50" s="146">
        <v>0.2</v>
      </c>
      <c r="AI50" s="146">
        <v>0.25</v>
      </c>
      <c r="AJ50" s="146">
        <v>0.1</v>
      </c>
      <c r="AK50" s="148"/>
      <c r="AL50" s="29">
        <v>7</v>
      </c>
      <c r="AM50" s="146">
        <v>0.94</v>
      </c>
      <c r="AN50" s="146">
        <v>0.9</v>
      </c>
      <c r="AO50" s="146">
        <v>0.94</v>
      </c>
      <c r="AP50" s="146">
        <v>0.85</v>
      </c>
      <c r="AQ50" s="148"/>
      <c r="AR50" s="160">
        <v>7</v>
      </c>
      <c r="AS50" s="146">
        <v>0.4</v>
      </c>
      <c r="AT50" s="146">
        <v>0.3</v>
      </c>
      <c r="AU50" s="90"/>
      <c r="AV50" s="146">
        <v>0</v>
      </c>
      <c r="AW50" s="148"/>
    </row>
    <row r="51" spans="2:49" x14ac:dyDescent="0.25">
      <c r="B51" s="399">
        <v>8</v>
      </c>
      <c r="C51" s="406">
        <v>0.65</v>
      </c>
      <c r="D51" s="146">
        <v>0.55000000000000004</v>
      </c>
      <c r="E51" s="162"/>
      <c r="F51" s="146">
        <v>0.35</v>
      </c>
      <c r="G51" s="148"/>
      <c r="H51" s="29">
        <v>8</v>
      </c>
      <c r="I51" s="146">
        <v>0.56999999999999995</v>
      </c>
      <c r="J51" s="146">
        <v>0.47</v>
      </c>
      <c r="K51" s="146">
        <v>0.56999999999999995</v>
      </c>
      <c r="L51" s="146">
        <v>0.28999999999999998</v>
      </c>
      <c r="M51" s="148"/>
      <c r="N51" s="29">
        <v>8</v>
      </c>
      <c r="O51" s="146">
        <v>0.55000000000000004</v>
      </c>
      <c r="P51" s="146">
        <v>0.45</v>
      </c>
      <c r="Q51" s="146">
        <v>0.55000000000000004</v>
      </c>
      <c r="R51" s="146">
        <v>0.25</v>
      </c>
      <c r="S51" s="148"/>
      <c r="T51" s="29">
        <v>8</v>
      </c>
      <c r="U51" s="146">
        <v>0.62</v>
      </c>
      <c r="V51" s="146">
        <v>0.47</v>
      </c>
      <c r="W51" s="146">
        <v>0.62</v>
      </c>
      <c r="X51" s="146">
        <v>0.21</v>
      </c>
      <c r="Y51" s="148"/>
      <c r="Z51" s="29">
        <v>8</v>
      </c>
      <c r="AA51" s="146">
        <v>0.49</v>
      </c>
      <c r="AB51" s="146">
        <v>0.37</v>
      </c>
      <c r="AC51" s="146">
        <v>0.49</v>
      </c>
      <c r="AD51" s="146">
        <v>0.15</v>
      </c>
      <c r="AE51" s="148"/>
      <c r="AF51" s="29">
        <v>8</v>
      </c>
      <c r="AG51" s="146">
        <v>0.25</v>
      </c>
      <c r="AH51" s="146">
        <v>0.2</v>
      </c>
      <c r="AI51" s="146">
        <v>0.25</v>
      </c>
      <c r="AJ51" s="146">
        <v>0.1</v>
      </c>
      <c r="AK51" s="148"/>
      <c r="AL51" s="29">
        <v>8</v>
      </c>
      <c r="AM51" s="146">
        <v>0.96</v>
      </c>
      <c r="AN51" s="146">
        <v>0.92</v>
      </c>
      <c r="AO51" s="146">
        <v>0.96</v>
      </c>
      <c r="AP51" s="146">
        <v>0.86</v>
      </c>
      <c r="AQ51" s="148"/>
      <c r="AR51" s="160">
        <v>8</v>
      </c>
      <c r="AS51" s="146">
        <v>0.45</v>
      </c>
      <c r="AT51" s="146">
        <v>0.35</v>
      </c>
      <c r="AU51" s="90"/>
      <c r="AV51" s="146">
        <v>0</v>
      </c>
      <c r="AW51" s="148"/>
    </row>
    <row r="52" spans="2:49" x14ac:dyDescent="0.25">
      <c r="B52" s="399">
        <v>9</v>
      </c>
      <c r="C52" s="406">
        <v>0.7</v>
      </c>
      <c r="D52" s="146">
        <v>0.6</v>
      </c>
      <c r="E52" s="162"/>
      <c r="F52" s="146">
        <v>0.4</v>
      </c>
      <c r="G52" s="148"/>
      <c r="H52" s="29">
        <v>9</v>
      </c>
      <c r="I52" s="146">
        <v>0.62</v>
      </c>
      <c r="J52" s="146">
        <v>0.52</v>
      </c>
      <c r="K52" s="146">
        <v>0.62</v>
      </c>
      <c r="L52" s="146">
        <v>0.33</v>
      </c>
      <c r="M52" s="148"/>
      <c r="N52" s="29">
        <v>9</v>
      </c>
      <c r="O52" s="146">
        <v>0.6</v>
      </c>
      <c r="P52" s="146">
        <v>0.5</v>
      </c>
      <c r="Q52" s="146">
        <v>0.6</v>
      </c>
      <c r="R52" s="146">
        <v>0.3</v>
      </c>
      <c r="S52" s="148"/>
      <c r="T52" s="29">
        <v>9</v>
      </c>
      <c r="U52" s="146">
        <v>0.7</v>
      </c>
      <c r="V52" s="146">
        <v>0.55000000000000004</v>
      </c>
      <c r="W52" s="146">
        <v>0.7</v>
      </c>
      <c r="X52" s="146">
        <v>0.27</v>
      </c>
      <c r="Y52" s="148"/>
      <c r="Z52" s="29">
        <v>9</v>
      </c>
      <c r="AA52" s="146">
        <v>0.56000000000000005</v>
      </c>
      <c r="AB52" s="146">
        <v>0.43</v>
      </c>
      <c r="AC52" s="146">
        <v>0.56000000000000005</v>
      </c>
      <c r="AD52" s="146">
        <v>0.2</v>
      </c>
      <c r="AE52" s="148"/>
      <c r="AF52" s="29">
        <v>9</v>
      </c>
      <c r="AG52" s="146">
        <v>0.3</v>
      </c>
      <c r="AH52" s="146">
        <v>0.25</v>
      </c>
      <c r="AI52" s="146">
        <v>0.3</v>
      </c>
      <c r="AJ52" s="146">
        <v>0.15</v>
      </c>
      <c r="AK52" s="148"/>
      <c r="AL52" s="29">
        <v>9</v>
      </c>
      <c r="AM52" s="146">
        <v>0.98</v>
      </c>
      <c r="AN52" s="146">
        <v>0.94</v>
      </c>
      <c r="AO52" s="146">
        <v>0.98</v>
      </c>
      <c r="AP52" s="146">
        <v>0.87</v>
      </c>
      <c r="AQ52" s="148"/>
      <c r="AR52" s="160">
        <v>9</v>
      </c>
      <c r="AS52" s="146">
        <v>0.5</v>
      </c>
      <c r="AT52" s="146">
        <v>0.4</v>
      </c>
      <c r="AU52" s="90"/>
      <c r="AV52" s="146">
        <v>0.2</v>
      </c>
      <c r="AW52" s="148"/>
    </row>
    <row r="53" spans="2:49" x14ac:dyDescent="0.25">
      <c r="B53" s="399">
        <v>10</v>
      </c>
      <c r="C53" s="406">
        <v>0.8</v>
      </c>
      <c r="D53" s="146">
        <v>0.65</v>
      </c>
      <c r="E53" s="162"/>
      <c r="F53" s="146">
        <v>0.45</v>
      </c>
      <c r="G53" s="148"/>
      <c r="H53" s="29">
        <v>10</v>
      </c>
      <c r="I53" s="146">
        <v>0.67</v>
      </c>
      <c r="J53" s="146">
        <v>0.56999999999999995</v>
      </c>
      <c r="K53" s="146">
        <v>0.67</v>
      </c>
      <c r="L53" s="146">
        <v>0.37</v>
      </c>
      <c r="M53" s="148"/>
      <c r="N53" s="29">
        <v>10</v>
      </c>
      <c r="O53" s="146">
        <v>0.65</v>
      </c>
      <c r="P53" s="146">
        <v>0.55000000000000004</v>
      </c>
      <c r="Q53" s="146">
        <v>0.65</v>
      </c>
      <c r="R53" s="146">
        <v>0.35</v>
      </c>
      <c r="S53" s="148"/>
      <c r="T53" s="29">
        <v>10</v>
      </c>
      <c r="U53" s="146">
        <v>0.78</v>
      </c>
      <c r="V53" s="146">
        <v>0.62</v>
      </c>
      <c r="W53" s="146">
        <v>0.78</v>
      </c>
      <c r="X53" s="146">
        <v>0.33</v>
      </c>
      <c r="Y53" s="148"/>
      <c r="Z53" s="29">
        <v>10</v>
      </c>
      <c r="AA53" s="146">
        <v>0.63</v>
      </c>
      <c r="AB53" s="146">
        <v>0.49</v>
      </c>
      <c r="AC53" s="146">
        <v>0.63</v>
      </c>
      <c r="AD53" s="146">
        <v>0.25</v>
      </c>
      <c r="AE53" s="148"/>
      <c r="AF53" s="29">
        <v>10</v>
      </c>
      <c r="AG53" s="146">
        <v>0.3</v>
      </c>
      <c r="AH53" s="146">
        <v>0.25</v>
      </c>
      <c r="AI53" s="146">
        <v>0.3</v>
      </c>
      <c r="AJ53" s="146">
        <v>0.15</v>
      </c>
      <c r="AK53" s="148"/>
      <c r="AL53" s="29">
        <v>10</v>
      </c>
      <c r="AM53" s="146">
        <v>0.99</v>
      </c>
      <c r="AN53" s="146">
        <v>0.96</v>
      </c>
      <c r="AO53" s="146">
        <v>0.99</v>
      </c>
      <c r="AP53" s="146">
        <v>0.88</v>
      </c>
      <c r="AQ53" s="148"/>
      <c r="AR53" s="160">
        <v>10</v>
      </c>
      <c r="AS53" s="146">
        <v>0.55000000000000004</v>
      </c>
      <c r="AT53" s="146">
        <v>0.45</v>
      </c>
      <c r="AU53" s="90"/>
      <c r="AV53" s="146">
        <v>0.25</v>
      </c>
      <c r="AW53" s="148"/>
    </row>
    <row r="54" spans="2:49" x14ac:dyDescent="0.25">
      <c r="B54" s="399">
        <v>11</v>
      </c>
      <c r="C54" s="406">
        <v>0.9</v>
      </c>
      <c r="D54" s="146">
        <v>0.7</v>
      </c>
      <c r="E54" s="162"/>
      <c r="F54" s="146">
        <v>0.5</v>
      </c>
      <c r="G54" s="148"/>
      <c r="H54" s="29">
        <v>11</v>
      </c>
      <c r="I54" s="146">
        <v>0.72</v>
      </c>
      <c r="J54" s="146">
        <v>0.62</v>
      </c>
      <c r="K54" s="146">
        <v>0.72</v>
      </c>
      <c r="L54" s="146">
        <v>0.42</v>
      </c>
      <c r="M54" s="148"/>
      <c r="N54" s="29">
        <v>11</v>
      </c>
      <c r="O54" s="146">
        <v>0.7</v>
      </c>
      <c r="P54" s="146">
        <v>0.6</v>
      </c>
      <c r="Q54" s="146">
        <v>0.7</v>
      </c>
      <c r="R54" s="146">
        <v>0.4</v>
      </c>
      <c r="S54" s="148"/>
      <c r="T54" s="29">
        <v>11</v>
      </c>
      <c r="U54" s="146">
        <v>0.86</v>
      </c>
      <c r="V54" s="146">
        <v>0.7</v>
      </c>
      <c r="W54" s="146">
        <v>0.86</v>
      </c>
      <c r="X54" s="146">
        <v>0.4</v>
      </c>
      <c r="Y54" s="148"/>
      <c r="Z54" s="29">
        <v>11</v>
      </c>
      <c r="AA54" s="146">
        <v>0.7</v>
      </c>
      <c r="AB54" s="146">
        <v>0.56000000000000005</v>
      </c>
      <c r="AC54" s="146">
        <v>0.7</v>
      </c>
      <c r="AD54" s="146">
        <v>0.31</v>
      </c>
      <c r="AE54" s="148"/>
      <c r="AF54" s="29">
        <v>11</v>
      </c>
      <c r="AG54" s="146">
        <v>0.35</v>
      </c>
      <c r="AH54" s="146">
        <v>0.3</v>
      </c>
      <c r="AI54" s="146">
        <v>0.35</v>
      </c>
      <c r="AJ54" s="146">
        <v>0.2</v>
      </c>
      <c r="AK54" s="148"/>
      <c r="AL54" s="29">
        <v>11</v>
      </c>
      <c r="AM54" s="146">
        <v>0.99</v>
      </c>
      <c r="AN54" s="146">
        <v>0.98</v>
      </c>
      <c r="AO54" s="146">
        <v>0.99</v>
      </c>
      <c r="AP54" s="146">
        <v>0.9</v>
      </c>
      <c r="AQ54" s="148"/>
      <c r="AR54" s="160">
        <v>11</v>
      </c>
      <c r="AS54" s="146">
        <v>0.6</v>
      </c>
      <c r="AT54" s="146">
        <v>0.5</v>
      </c>
      <c r="AU54" s="90"/>
      <c r="AV54" s="146">
        <v>0.3</v>
      </c>
      <c r="AW54" s="148"/>
    </row>
    <row r="55" spans="2:49" x14ac:dyDescent="0.25">
      <c r="B55" s="399">
        <v>12</v>
      </c>
      <c r="C55" s="406">
        <v>1</v>
      </c>
      <c r="D55" s="146">
        <v>0.8</v>
      </c>
      <c r="E55" s="162"/>
      <c r="F55" s="146">
        <v>0.5</v>
      </c>
      <c r="G55" s="148"/>
      <c r="H55" s="29">
        <v>12</v>
      </c>
      <c r="I55" s="146">
        <v>0.77</v>
      </c>
      <c r="J55" s="146">
        <v>0.67</v>
      </c>
      <c r="K55" s="146">
        <v>0.77</v>
      </c>
      <c r="L55" s="146">
        <v>0.42</v>
      </c>
      <c r="M55" s="148"/>
      <c r="N55" s="29">
        <v>12</v>
      </c>
      <c r="O55" s="146">
        <v>0.75</v>
      </c>
      <c r="P55" s="146">
        <v>0.65</v>
      </c>
      <c r="Q55" s="146">
        <v>0.75</v>
      </c>
      <c r="R55" s="146">
        <v>0.4</v>
      </c>
      <c r="S55" s="148"/>
      <c r="T55" s="29">
        <v>12</v>
      </c>
      <c r="U55" s="146">
        <v>0.94</v>
      </c>
      <c r="V55" s="146">
        <v>0.78</v>
      </c>
      <c r="W55" s="146">
        <v>0.94</v>
      </c>
      <c r="X55" s="146">
        <v>0.4</v>
      </c>
      <c r="Y55" s="148"/>
      <c r="Z55" s="29">
        <v>12</v>
      </c>
      <c r="AA55" s="146">
        <v>0.77</v>
      </c>
      <c r="AB55" s="146">
        <v>0.63</v>
      </c>
      <c r="AC55" s="146">
        <v>0.77</v>
      </c>
      <c r="AD55" s="146">
        <v>0.31</v>
      </c>
      <c r="AE55" s="148"/>
      <c r="AF55" s="29">
        <v>12</v>
      </c>
      <c r="AG55" s="146">
        <v>0.35</v>
      </c>
      <c r="AH55" s="146">
        <v>0.3</v>
      </c>
      <c r="AI55" s="146">
        <v>0.35</v>
      </c>
      <c r="AJ55" s="146">
        <v>0.2</v>
      </c>
      <c r="AK55" s="148"/>
      <c r="AL55" s="29">
        <v>12</v>
      </c>
      <c r="AM55" s="146">
        <v>0.99</v>
      </c>
      <c r="AN55" s="146">
        <v>0.99</v>
      </c>
      <c r="AO55" s="146">
        <v>0.99</v>
      </c>
      <c r="AP55" s="146">
        <v>0.9</v>
      </c>
      <c r="AQ55" s="148"/>
      <c r="AR55" s="160">
        <v>12</v>
      </c>
      <c r="AS55" s="146">
        <v>0.65</v>
      </c>
      <c r="AT55" s="146">
        <v>0.55000000000000004</v>
      </c>
      <c r="AU55" s="90"/>
      <c r="AV55" s="146">
        <v>0.3</v>
      </c>
      <c r="AW55" s="148"/>
    </row>
    <row r="56" spans="2:49" x14ac:dyDescent="0.25">
      <c r="B56" s="399">
        <v>13</v>
      </c>
      <c r="C56" s="406">
        <v>1.05</v>
      </c>
      <c r="D56" s="146">
        <v>0.9</v>
      </c>
      <c r="E56" s="162"/>
      <c r="F56" s="146">
        <v>0.5</v>
      </c>
      <c r="G56" s="148"/>
      <c r="H56" s="29">
        <v>13</v>
      </c>
      <c r="I56" s="146">
        <v>0.82</v>
      </c>
      <c r="J56" s="146">
        <v>0.72</v>
      </c>
      <c r="K56" s="146">
        <v>0.82</v>
      </c>
      <c r="L56" s="146">
        <v>0.42</v>
      </c>
      <c r="M56" s="148"/>
      <c r="N56" s="29">
        <v>13</v>
      </c>
      <c r="O56" s="146">
        <v>0.8</v>
      </c>
      <c r="P56" s="146">
        <v>0.7</v>
      </c>
      <c r="Q56" s="146">
        <v>0.8</v>
      </c>
      <c r="R56" s="146">
        <v>0.4</v>
      </c>
      <c r="S56" s="148"/>
      <c r="T56" s="29">
        <v>13</v>
      </c>
      <c r="U56" s="146">
        <v>0.99</v>
      </c>
      <c r="V56" s="146">
        <v>0.86</v>
      </c>
      <c r="W56" s="146">
        <v>0.99</v>
      </c>
      <c r="X56" s="146">
        <v>0.4</v>
      </c>
      <c r="Y56" s="148"/>
      <c r="Z56" s="29">
        <v>13</v>
      </c>
      <c r="AA56" s="146">
        <v>0.85</v>
      </c>
      <c r="AB56" s="146">
        <v>0.7</v>
      </c>
      <c r="AC56" s="146">
        <v>0.85</v>
      </c>
      <c r="AD56" s="146">
        <v>0.31</v>
      </c>
      <c r="AE56" s="148"/>
      <c r="AF56" s="29">
        <v>13</v>
      </c>
      <c r="AG56" s="146">
        <v>0.4</v>
      </c>
      <c r="AH56" s="146">
        <v>0.35</v>
      </c>
      <c r="AI56" s="146">
        <v>0.4</v>
      </c>
      <c r="AJ56" s="146">
        <v>0.2</v>
      </c>
      <c r="AK56" s="148"/>
      <c r="AL56" s="29">
        <v>13</v>
      </c>
      <c r="AM56" s="146">
        <v>0.99</v>
      </c>
      <c r="AN56" s="146">
        <v>0.99</v>
      </c>
      <c r="AO56" s="146">
        <v>0.99</v>
      </c>
      <c r="AP56" s="146">
        <v>0.9</v>
      </c>
      <c r="AQ56" s="148"/>
      <c r="AR56" s="160">
        <v>13</v>
      </c>
      <c r="AS56" s="146">
        <v>0.7</v>
      </c>
      <c r="AT56" s="146">
        <v>0.6</v>
      </c>
      <c r="AU56" s="90"/>
      <c r="AV56" s="146">
        <v>0.3</v>
      </c>
      <c r="AW56" s="148"/>
    </row>
    <row r="57" spans="2:49" x14ac:dyDescent="0.25">
      <c r="B57" s="399">
        <v>14</v>
      </c>
      <c r="C57" s="406">
        <v>1.1000000000000001</v>
      </c>
      <c r="D57" s="146">
        <v>1</v>
      </c>
      <c r="E57" s="162"/>
      <c r="F57" s="146">
        <v>0.5</v>
      </c>
      <c r="G57" s="148"/>
      <c r="H57" s="29">
        <v>14</v>
      </c>
      <c r="I57" s="146">
        <v>0.87</v>
      </c>
      <c r="J57" s="146">
        <v>0.77</v>
      </c>
      <c r="K57" s="146">
        <v>0.87</v>
      </c>
      <c r="L57" s="146">
        <v>0.42</v>
      </c>
      <c r="M57" s="148"/>
      <c r="N57" s="29">
        <v>14</v>
      </c>
      <c r="O57" s="146">
        <v>0.85</v>
      </c>
      <c r="P57" s="146">
        <v>0.75</v>
      </c>
      <c r="Q57" s="146">
        <v>0.85</v>
      </c>
      <c r="R57" s="146">
        <v>0.4</v>
      </c>
      <c r="S57" s="148"/>
      <c r="T57" s="29">
        <v>14</v>
      </c>
      <c r="U57" s="146">
        <v>0.99</v>
      </c>
      <c r="V57" s="146">
        <v>0.94</v>
      </c>
      <c r="W57" s="146">
        <v>0.99</v>
      </c>
      <c r="X57" s="146">
        <v>0.4</v>
      </c>
      <c r="Y57" s="148"/>
      <c r="Z57" s="29">
        <v>14</v>
      </c>
      <c r="AA57" s="146">
        <v>0.93</v>
      </c>
      <c r="AB57" s="146">
        <v>0.77</v>
      </c>
      <c r="AC57" s="146">
        <v>0.93</v>
      </c>
      <c r="AD57" s="146">
        <v>0.31</v>
      </c>
      <c r="AE57" s="148"/>
      <c r="AF57" s="29">
        <v>14</v>
      </c>
      <c r="AG57" s="146">
        <v>0.4</v>
      </c>
      <c r="AH57" s="146">
        <v>0.35</v>
      </c>
      <c r="AI57" s="146">
        <v>0.4</v>
      </c>
      <c r="AJ57" s="146">
        <v>0.2</v>
      </c>
      <c r="AK57" s="148"/>
      <c r="AL57" s="29">
        <v>14</v>
      </c>
      <c r="AM57" s="146">
        <v>0.99</v>
      </c>
      <c r="AN57" s="146">
        <v>0.99</v>
      </c>
      <c r="AO57" s="146">
        <v>0.99</v>
      </c>
      <c r="AP57" s="146">
        <v>0.9</v>
      </c>
      <c r="AQ57" s="148"/>
      <c r="AR57" s="160">
        <v>14</v>
      </c>
      <c r="AS57" s="146">
        <v>0.75</v>
      </c>
      <c r="AT57" s="146">
        <v>0.65</v>
      </c>
      <c r="AU57" s="90"/>
      <c r="AV57" s="146">
        <v>0.3</v>
      </c>
      <c r="AW57" s="148"/>
    </row>
    <row r="58" spans="2:49" x14ac:dyDescent="0.25">
      <c r="B58" s="399">
        <v>15</v>
      </c>
      <c r="C58" s="406">
        <v>1.1499999999999999</v>
      </c>
      <c r="D58" s="146">
        <v>1.05</v>
      </c>
      <c r="E58" s="162"/>
      <c r="F58" s="146">
        <v>0.5</v>
      </c>
      <c r="G58" s="148"/>
      <c r="H58" s="29">
        <v>15</v>
      </c>
      <c r="I58" s="146">
        <v>0.92</v>
      </c>
      <c r="J58" s="146">
        <v>0.82</v>
      </c>
      <c r="K58" s="146">
        <v>0.92</v>
      </c>
      <c r="L58" s="146">
        <v>0.42</v>
      </c>
      <c r="M58" s="148"/>
      <c r="N58" s="29">
        <v>15</v>
      </c>
      <c r="O58" s="146">
        <v>0.9</v>
      </c>
      <c r="P58" s="146">
        <v>0.8</v>
      </c>
      <c r="Q58" s="146">
        <v>0.9</v>
      </c>
      <c r="R58" s="146">
        <v>0.4</v>
      </c>
      <c r="S58" s="148"/>
      <c r="T58" s="29">
        <v>15</v>
      </c>
      <c r="U58" s="146">
        <v>0.99</v>
      </c>
      <c r="V58" s="146">
        <v>0.99</v>
      </c>
      <c r="W58" s="146">
        <v>0.99</v>
      </c>
      <c r="X58" s="146">
        <v>0.4</v>
      </c>
      <c r="Y58" s="148"/>
      <c r="Z58" s="29">
        <v>15</v>
      </c>
      <c r="AA58" s="146">
        <v>0.99</v>
      </c>
      <c r="AB58" s="146">
        <v>0.85</v>
      </c>
      <c r="AC58" s="146">
        <v>0.99</v>
      </c>
      <c r="AD58" s="146">
        <v>0.31</v>
      </c>
      <c r="AE58" s="148"/>
      <c r="AF58" s="29">
        <v>15</v>
      </c>
      <c r="AG58" s="146">
        <v>0.5</v>
      </c>
      <c r="AH58" s="146">
        <v>0.4</v>
      </c>
      <c r="AI58" s="146">
        <v>0.5</v>
      </c>
      <c r="AJ58" s="146">
        <v>0.2</v>
      </c>
      <c r="AK58" s="148"/>
      <c r="AL58" s="29">
        <v>15</v>
      </c>
      <c r="AM58" s="146">
        <v>0.99</v>
      </c>
      <c r="AN58" s="146">
        <v>0.99</v>
      </c>
      <c r="AO58" s="146">
        <v>0.99</v>
      </c>
      <c r="AP58" s="146">
        <v>0.9</v>
      </c>
      <c r="AQ58" s="148"/>
      <c r="AR58" s="160">
        <v>15</v>
      </c>
      <c r="AS58" s="146">
        <v>0.8</v>
      </c>
      <c r="AT58" s="146">
        <v>0.7</v>
      </c>
      <c r="AU58" s="90"/>
      <c r="AV58" s="146">
        <v>0.3</v>
      </c>
      <c r="AW58" s="148"/>
    </row>
    <row r="59" spans="2:49" x14ac:dyDescent="0.25">
      <c r="B59" s="399">
        <v>16</v>
      </c>
      <c r="C59" s="406">
        <v>1.25</v>
      </c>
      <c r="D59" s="162"/>
      <c r="E59" s="162"/>
      <c r="F59" s="146">
        <v>0.5</v>
      </c>
      <c r="G59" s="148"/>
      <c r="H59" s="29">
        <v>16</v>
      </c>
      <c r="I59" s="146">
        <v>0.97</v>
      </c>
      <c r="J59" s="90"/>
      <c r="K59" s="146">
        <v>0.97</v>
      </c>
      <c r="L59" s="146">
        <v>0.42</v>
      </c>
      <c r="M59" s="148"/>
      <c r="N59" s="29">
        <v>16</v>
      </c>
      <c r="O59" s="146">
        <v>0.95</v>
      </c>
      <c r="P59" s="90"/>
      <c r="Q59" s="146">
        <v>0.95</v>
      </c>
      <c r="R59" s="146">
        <v>0.4</v>
      </c>
      <c r="S59" s="148"/>
      <c r="T59" s="29">
        <v>16</v>
      </c>
      <c r="U59" s="146">
        <v>0.99</v>
      </c>
      <c r="V59" s="90"/>
      <c r="W59" s="146">
        <v>0.99</v>
      </c>
      <c r="X59" s="146">
        <v>0.4</v>
      </c>
      <c r="Y59" s="148"/>
      <c r="Z59" s="29">
        <v>16</v>
      </c>
      <c r="AA59" s="146">
        <v>0.99</v>
      </c>
      <c r="AB59" s="90"/>
      <c r="AC59" s="146">
        <v>0.99</v>
      </c>
      <c r="AD59" s="146">
        <v>0.31</v>
      </c>
      <c r="AE59" s="148"/>
      <c r="AF59" s="29">
        <v>16</v>
      </c>
      <c r="AG59" s="146">
        <v>0.5</v>
      </c>
      <c r="AH59" s="90"/>
      <c r="AI59" s="146">
        <v>0.5</v>
      </c>
      <c r="AJ59" s="146">
        <v>0.2</v>
      </c>
      <c r="AK59" s="148"/>
      <c r="AL59" s="29">
        <v>16</v>
      </c>
      <c r="AM59" s="146">
        <v>0.99</v>
      </c>
      <c r="AN59" s="90"/>
      <c r="AO59" s="146">
        <v>0.99</v>
      </c>
      <c r="AP59" s="146">
        <v>0.9</v>
      </c>
      <c r="AQ59" s="148"/>
      <c r="AR59" s="160">
        <v>16</v>
      </c>
      <c r="AS59" s="146">
        <v>0.8</v>
      </c>
      <c r="AT59" s="146">
        <v>0.75</v>
      </c>
      <c r="AU59" s="90"/>
      <c r="AV59" s="146">
        <v>0.3</v>
      </c>
      <c r="AW59" s="148"/>
    </row>
    <row r="60" spans="2:49" x14ac:dyDescent="0.25">
      <c r="B60" s="399">
        <v>17</v>
      </c>
      <c r="C60" s="406">
        <v>1.25</v>
      </c>
      <c r="D60" s="162"/>
      <c r="E60" s="162"/>
      <c r="F60" s="146">
        <v>0.5</v>
      </c>
      <c r="G60" s="148"/>
      <c r="H60" s="29">
        <v>17</v>
      </c>
      <c r="I60" s="146">
        <v>0.99</v>
      </c>
      <c r="J60" s="90"/>
      <c r="K60" s="146">
        <v>0.99</v>
      </c>
      <c r="L60" s="146">
        <v>0.42</v>
      </c>
      <c r="M60" s="148"/>
      <c r="N60" s="29">
        <v>17</v>
      </c>
      <c r="O60" s="146">
        <v>0.99</v>
      </c>
      <c r="P60" s="90"/>
      <c r="Q60" s="146">
        <v>0.99</v>
      </c>
      <c r="R60" s="146">
        <v>0.4</v>
      </c>
      <c r="S60" s="148"/>
      <c r="T60" s="29">
        <v>17</v>
      </c>
      <c r="U60" s="146">
        <v>0.99</v>
      </c>
      <c r="V60" s="90"/>
      <c r="W60" s="146">
        <v>0.99</v>
      </c>
      <c r="X60" s="146">
        <v>0.4</v>
      </c>
      <c r="Y60" s="148"/>
      <c r="Z60" s="29">
        <v>17</v>
      </c>
      <c r="AA60" s="146">
        <v>0.99</v>
      </c>
      <c r="AB60" s="90"/>
      <c r="AC60" s="146">
        <v>0.99</v>
      </c>
      <c r="AD60" s="146">
        <v>0.31</v>
      </c>
      <c r="AE60" s="148"/>
      <c r="AF60" s="29">
        <v>17</v>
      </c>
      <c r="AG60" s="146">
        <v>0.55000000000000004</v>
      </c>
      <c r="AH60" s="90"/>
      <c r="AI60" s="146">
        <v>0.55000000000000004</v>
      </c>
      <c r="AJ60" s="146">
        <v>0.2</v>
      </c>
      <c r="AK60" s="148"/>
      <c r="AL60" s="29">
        <v>17</v>
      </c>
      <c r="AM60" s="146">
        <v>0.99</v>
      </c>
      <c r="AN60" s="90"/>
      <c r="AO60" s="146">
        <v>0.99</v>
      </c>
      <c r="AP60" s="146">
        <v>0.9</v>
      </c>
      <c r="AQ60" s="148"/>
      <c r="AR60" s="160">
        <v>17</v>
      </c>
      <c r="AS60" s="146">
        <v>0.8</v>
      </c>
      <c r="AT60" s="146">
        <v>0.8</v>
      </c>
      <c r="AU60" s="90"/>
      <c r="AV60" s="146">
        <v>0.3</v>
      </c>
      <c r="AW60" s="148"/>
    </row>
    <row r="61" spans="2:49" x14ac:dyDescent="0.25">
      <c r="B61" s="399">
        <v>18</v>
      </c>
      <c r="C61" s="406">
        <v>1.25</v>
      </c>
      <c r="D61" s="162"/>
      <c r="E61" s="162"/>
      <c r="F61" s="146">
        <v>0.5</v>
      </c>
      <c r="G61" s="148"/>
      <c r="H61" s="29">
        <v>18</v>
      </c>
      <c r="I61" s="146">
        <v>0.99</v>
      </c>
      <c r="J61" s="90"/>
      <c r="K61" s="146">
        <v>0.99</v>
      </c>
      <c r="L61" s="146">
        <v>0.42</v>
      </c>
      <c r="M61" s="148"/>
      <c r="N61" s="29">
        <v>18</v>
      </c>
      <c r="O61" s="146">
        <v>0.99</v>
      </c>
      <c r="P61" s="90"/>
      <c r="Q61" s="146">
        <v>0.99</v>
      </c>
      <c r="R61" s="146">
        <v>0.4</v>
      </c>
      <c r="S61" s="148"/>
      <c r="T61" s="29">
        <v>18</v>
      </c>
      <c r="U61" s="146">
        <v>0.99</v>
      </c>
      <c r="V61" s="90"/>
      <c r="W61" s="146">
        <v>0.99</v>
      </c>
      <c r="X61" s="146">
        <v>0.4</v>
      </c>
      <c r="Y61" s="148"/>
      <c r="Z61" s="29">
        <v>18</v>
      </c>
      <c r="AA61" s="146">
        <v>0.99</v>
      </c>
      <c r="AB61" s="90"/>
      <c r="AC61" s="146">
        <v>0.99</v>
      </c>
      <c r="AD61" s="146">
        <v>0.31</v>
      </c>
      <c r="AE61" s="148"/>
      <c r="AF61" s="29">
        <v>18</v>
      </c>
      <c r="AG61" s="146">
        <v>0.55000000000000004</v>
      </c>
      <c r="AH61" s="90"/>
      <c r="AI61" s="146">
        <v>0.55000000000000004</v>
      </c>
      <c r="AJ61" s="146">
        <v>0.2</v>
      </c>
      <c r="AK61" s="148"/>
      <c r="AL61" s="29">
        <v>18</v>
      </c>
      <c r="AM61" s="146">
        <v>0.99</v>
      </c>
      <c r="AN61" s="90"/>
      <c r="AO61" s="146">
        <v>0.99</v>
      </c>
      <c r="AP61" s="146">
        <v>0.9</v>
      </c>
      <c r="AQ61" s="148"/>
      <c r="AR61" s="160">
        <v>18</v>
      </c>
      <c r="AS61" s="146">
        <v>0.8</v>
      </c>
      <c r="AT61" s="146">
        <v>0.8</v>
      </c>
      <c r="AU61" s="90"/>
      <c r="AV61" s="146">
        <v>0.3</v>
      </c>
      <c r="AW61" s="148"/>
    </row>
    <row r="62" spans="2:49" x14ac:dyDescent="0.25">
      <c r="B62" s="399">
        <v>19</v>
      </c>
      <c r="C62" s="406">
        <v>1.25</v>
      </c>
      <c r="D62" s="162"/>
      <c r="E62" s="162"/>
      <c r="F62" s="146">
        <v>0.5</v>
      </c>
      <c r="G62" s="148"/>
      <c r="H62" s="29">
        <v>19</v>
      </c>
      <c r="I62" s="146">
        <v>0.99</v>
      </c>
      <c r="J62" s="90"/>
      <c r="K62" s="146">
        <v>0.99</v>
      </c>
      <c r="L62" s="146">
        <v>0.42</v>
      </c>
      <c r="M62" s="148"/>
      <c r="N62" s="29">
        <v>19</v>
      </c>
      <c r="O62" s="146">
        <v>0.99</v>
      </c>
      <c r="P62" s="90"/>
      <c r="Q62" s="146">
        <v>0.99</v>
      </c>
      <c r="R62" s="146">
        <v>0.4</v>
      </c>
      <c r="S62" s="148"/>
      <c r="T62" s="29">
        <v>19</v>
      </c>
      <c r="U62" s="146">
        <v>0.99</v>
      </c>
      <c r="V62" s="90"/>
      <c r="W62" s="146">
        <v>0.99</v>
      </c>
      <c r="X62" s="146">
        <v>0.4</v>
      </c>
      <c r="Y62" s="148"/>
      <c r="Z62" s="29">
        <v>19</v>
      </c>
      <c r="AA62" s="146">
        <v>0.99</v>
      </c>
      <c r="AB62" s="90"/>
      <c r="AC62" s="146">
        <v>0.99</v>
      </c>
      <c r="AD62" s="146">
        <v>0.31</v>
      </c>
      <c r="AE62" s="148"/>
      <c r="AF62" s="29">
        <v>19</v>
      </c>
      <c r="AG62" s="146">
        <v>0.55000000000000004</v>
      </c>
      <c r="AH62" s="90"/>
      <c r="AI62" s="146">
        <v>0.55000000000000004</v>
      </c>
      <c r="AJ62" s="146">
        <v>0.2</v>
      </c>
      <c r="AK62" s="148"/>
      <c r="AL62" s="29">
        <v>19</v>
      </c>
      <c r="AM62" s="146">
        <v>0.99</v>
      </c>
      <c r="AN62" s="90"/>
      <c r="AO62" s="146">
        <v>0.99</v>
      </c>
      <c r="AP62" s="146">
        <v>0.9</v>
      </c>
      <c r="AQ62" s="148"/>
      <c r="AR62" s="160">
        <v>19</v>
      </c>
      <c r="AS62" s="146">
        <v>0.8</v>
      </c>
      <c r="AT62" s="146">
        <v>0.8</v>
      </c>
      <c r="AU62" s="90"/>
      <c r="AV62" s="146">
        <v>0.3</v>
      </c>
      <c r="AW62" s="148"/>
    </row>
    <row r="63" spans="2:49" x14ac:dyDescent="0.25">
      <c r="B63" s="399">
        <v>20</v>
      </c>
      <c r="C63" s="406">
        <v>1.25</v>
      </c>
      <c r="D63" s="162"/>
      <c r="E63" s="162"/>
      <c r="F63" s="146">
        <v>0.5</v>
      </c>
      <c r="G63" s="148"/>
      <c r="H63" s="29">
        <v>20</v>
      </c>
      <c r="I63" s="146">
        <v>0.99</v>
      </c>
      <c r="J63" s="90"/>
      <c r="K63" s="146">
        <v>0.99</v>
      </c>
      <c r="L63" s="146">
        <v>0.42</v>
      </c>
      <c r="M63" s="148"/>
      <c r="N63" s="29">
        <v>20</v>
      </c>
      <c r="O63" s="146">
        <v>0.99</v>
      </c>
      <c r="P63" s="90"/>
      <c r="Q63" s="146">
        <v>0.99</v>
      </c>
      <c r="R63" s="146">
        <v>0.4</v>
      </c>
      <c r="S63" s="148"/>
      <c r="T63" s="29">
        <v>20</v>
      </c>
      <c r="U63" s="146">
        <v>0.99</v>
      </c>
      <c r="V63" s="90"/>
      <c r="W63" s="146">
        <v>0.99</v>
      </c>
      <c r="X63" s="146">
        <v>0.4</v>
      </c>
      <c r="Y63" s="148"/>
      <c r="Z63" s="29">
        <v>20</v>
      </c>
      <c r="AA63" s="146">
        <v>0.99</v>
      </c>
      <c r="AB63" s="90"/>
      <c r="AC63" s="146">
        <v>0.99</v>
      </c>
      <c r="AD63" s="146">
        <v>0.31</v>
      </c>
      <c r="AE63" s="148"/>
      <c r="AF63" s="29">
        <v>20</v>
      </c>
      <c r="AG63" s="146">
        <v>0.55000000000000004</v>
      </c>
      <c r="AH63" s="90"/>
      <c r="AI63" s="146">
        <v>0.55000000000000004</v>
      </c>
      <c r="AJ63" s="146">
        <v>0.2</v>
      </c>
      <c r="AK63" s="148"/>
      <c r="AL63" s="29">
        <v>20</v>
      </c>
      <c r="AM63" s="146">
        <v>0.99</v>
      </c>
      <c r="AN63" s="90"/>
      <c r="AO63" s="146">
        <v>0.99</v>
      </c>
      <c r="AP63" s="146">
        <v>0.9</v>
      </c>
      <c r="AQ63" s="148"/>
      <c r="AR63" s="160">
        <v>20</v>
      </c>
      <c r="AS63" s="146">
        <v>0.8</v>
      </c>
      <c r="AT63" s="146">
        <v>0.8</v>
      </c>
      <c r="AU63" s="90"/>
      <c r="AV63" s="146">
        <v>0.3</v>
      </c>
      <c r="AW63" s="148"/>
    </row>
    <row r="64" spans="2:49" x14ac:dyDescent="0.25">
      <c r="B64" s="399">
        <v>21</v>
      </c>
      <c r="C64" s="406">
        <v>1.25</v>
      </c>
      <c r="D64" s="162"/>
      <c r="E64" s="162"/>
      <c r="F64" s="146">
        <v>0.5</v>
      </c>
      <c r="G64" s="148"/>
      <c r="H64" s="29">
        <v>21</v>
      </c>
      <c r="I64" s="146">
        <v>0.99</v>
      </c>
      <c r="J64" s="90"/>
      <c r="K64" s="146">
        <v>0.99</v>
      </c>
      <c r="L64" s="146">
        <v>0.42</v>
      </c>
      <c r="M64" s="148"/>
      <c r="N64" s="29">
        <v>21</v>
      </c>
      <c r="O64" s="146">
        <v>0.99</v>
      </c>
      <c r="P64" s="90"/>
      <c r="Q64" s="146">
        <v>0.99</v>
      </c>
      <c r="R64" s="146">
        <v>0.4</v>
      </c>
      <c r="S64" s="148"/>
      <c r="T64" s="29">
        <v>21</v>
      </c>
      <c r="U64" s="146">
        <v>0.99</v>
      </c>
      <c r="V64" s="90"/>
      <c r="W64" s="146">
        <v>0.99</v>
      </c>
      <c r="X64" s="146">
        <v>0.4</v>
      </c>
      <c r="Y64" s="148"/>
      <c r="Z64" s="29">
        <v>21</v>
      </c>
      <c r="AA64" s="146">
        <v>0.99</v>
      </c>
      <c r="AB64" s="90"/>
      <c r="AC64" s="146">
        <v>0.99</v>
      </c>
      <c r="AD64" s="146">
        <v>0.31</v>
      </c>
      <c r="AE64" s="148"/>
      <c r="AF64" s="29">
        <v>21</v>
      </c>
      <c r="AG64" s="146">
        <v>0.55000000000000004</v>
      </c>
      <c r="AH64" s="90"/>
      <c r="AI64" s="146">
        <v>0.55000000000000004</v>
      </c>
      <c r="AJ64" s="146">
        <v>0.2</v>
      </c>
      <c r="AK64" s="148"/>
      <c r="AL64" s="29">
        <v>21</v>
      </c>
      <c r="AM64" s="146">
        <v>0.99</v>
      </c>
      <c r="AN64" s="90"/>
      <c r="AO64" s="146">
        <v>0.99</v>
      </c>
      <c r="AP64" s="146">
        <v>0.9</v>
      </c>
      <c r="AQ64" s="148"/>
      <c r="AR64" s="160">
        <v>21</v>
      </c>
      <c r="AS64" s="146">
        <v>0.8</v>
      </c>
      <c r="AT64" s="146">
        <v>0.8</v>
      </c>
      <c r="AU64" s="90"/>
      <c r="AV64" s="146">
        <v>0.3</v>
      </c>
      <c r="AW64" s="148"/>
    </row>
    <row r="65" spans="2:49" x14ac:dyDescent="0.25">
      <c r="B65" s="399">
        <v>22</v>
      </c>
      <c r="C65" s="406">
        <v>1.25</v>
      </c>
      <c r="D65" s="162"/>
      <c r="E65" s="90"/>
      <c r="F65" s="146">
        <v>0.5</v>
      </c>
      <c r="G65" s="148"/>
      <c r="H65" s="29">
        <v>22</v>
      </c>
      <c r="I65" s="146">
        <v>0.99</v>
      </c>
      <c r="J65" s="90"/>
      <c r="K65" s="90"/>
      <c r="L65" s="146">
        <v>0.42</v>
      </c>
      <c r="M65" s="148"/>
      <c r="N65" s="29">
        <v>22</v>
      </c>
      <c r="O65" s="146">
        <v>0.99</v>
      </c>
      <c r="P65" s="90"/>
      <c r="Q65" s="90"/>
      <c r="R65" s="146">
        <v>0.4</v>
      </c>
      <c r="S65" s="148"/>
      <c r="T65" s="29">
        <v>22</v>
      </c>
      <c r="U65" s="146">
        <v>0.99</v>
      </c>
      <c r="V65" s="90"/>
      <c r="W65" s="90"/>
      <c r="X65" s="146">
        <v>0.4</v>
      </c>
      <c r="Y65" s="148"/>
      <c r="Z65" s="29">
        <v>22</v>
      </c>
      <c r="AA65" s="146">
        <v>0.99</v>
      </c>
      <c r="AB65" s="90"/>
      <c r="AC65" s="90"/>
      <c r="AD65" s="146">
        <v>0.31</v>
      </c>
      <c r="AE65" s="148"/>
      <c r="AF65" s="29">
        <v>22</v>
      </c>
      <c r="AG65" s="146">
        <v>0.55000000000000004</v>
      </c>
      <c r="AH65" s="90"/>
      <c r="AI65" s="90"/>
      <c r="AJ65" s="146">
        <v>0.2</v>
      </c>
      <c r="AK65" s="148"/>
      <c r="AL65" s="29">
        <v>22</v>
      </c>
      <c r="AM65" s="146">
        <v>0.99</v>
      </c>
      <c r="AN65" s="90"/>
      <c r="AO65" s="90"/>
      <c r="AP65" s="146">
        <v>0.9</v>
      </c>
      <c r="AQ65" s="148"/>
      <c r="AR65" s="160">
        <v>22</v>
      </c>
      <c r="AS65" s="146">
        <v>0.8</v>
      </c>
      <c r="AT65" s="146">
        <v>0.8</v>
      </c>
      <c r="AU65" s="90"/>
      <c r="AV65" s="146">
        <v>0.3</v>
      </c>
      <c r="AW65" s="148"/>
    </row>
    <row r="66" spans="2:49" x14ac:dyDescent="0.25">
      <c r="B66" s="399">
        <v>23</v>
      </c>
      <c r="C66" s="406">
        <v>1.25</v>
      </c>
      <c r="D66" s="162"/>
      <c r="E66" s="90"/>
      <c r="F66" s="146">
        <v>0.5</v>
      </c>
      <c r="G66" s="148"/>
      <c r="H66" s="29">
        <v>23</v>
      </c>
      <c r="I66" s="146">
        <v>0.99</v>
      </c>
      <c r="J66" s="90"/>
      <c r="K66" s="90"/>
      <c r="L66" s="146">
        <v>0.42</v>
      </c>
      <c r="M66" s="148"/>
      <c r="N66" s="29">
        <v>23</v>
      </c>
      <c r="O66" s="146">
        <v>0.99</v>
      </c>
      <c r="P66" s="90"/>
      <c r="Q66" s="90"/>
      <c r="R66" s="146">
        <v>0.4</v>
      </c>
      <c r="S66" s="148"/>
      <c r="T66" s="29">
        <v>23</v>
      </c>
      <c r="U66" s="146">
        <v>0.99</v>
      </c>
      <c r="V66" s="90"/>
      <c r="W66" s="90"/>
      <c r="X66" s="146">
        <v>0.4</v>
      </c>
      <c r="Y66" s="148"/>
      <c r="Z66" s="29">
        <v>23</v>
      </c>
      <c r="AA66" s="146">
        <v>0.99</v>
      </c>
      <c r="AB66" s="90"/>
      <c r="AC66" s="90"/>
      <c r="AD66" s="146">
        <v>0.31</v>
      </c>
      <c r="AE66" s="148"/>
      <c r="AF66" s="29">
        <v>23</v>
      </c>
      <c r="AG66" s="146">
        <v>0.55000000000000004</v>
      </c>
      <c r="AH66" s="90"/>
      <c r="AI66" s="90"/>
      <c r="AJ66" s="146">
        <v>0.2</v>
      </c>
      <c r="AK66" s="148"/>
      <c r="AL66" s="29">
        <v>23</v>
      </c>
      <c r="AM66" s="146">
        <v>0.99</v>
      </c>
      <c r="AN66" s="90"/>
      <c r="AO66" s="90"/>
      <c r="AP66" s="146">
        <v>0.9</v>
      </c>
      <c r="AQ66" s="148"/>
      <c r="AR66" s="160">
        <v>23</v>
      </c>
      <c r="AS66" s="146">
        <v>0.8</v>
      </c>
      <c r="AT66" s="146">
        <v>0.8</v>
      </c>
      <c r="AU66" s="90"/>
      <c r="AV66" s="146">
        <v>0.3</v>
      </c>
      <c r="AW66" s="148"/>
    </row>
    <row r="67" spans="2:49" x14ac:dyDescent="0.25">
      <c r="B67" s="399">
        <v>24</v>
      </c>
      <c r="C67" s="406">
        <v>1.25</v>
      </c>
      <c r="D67" s="162"/>
      <c r="E67" s="90"/>
      <c r="F67" s="146">
        <v>0.5</v>
      </c>
      <c r="G67" s="148"/>
      <c r="H67" s="29">
        <v>24</v>
      </c>
      <c r="I67" s="146">
        <v>0.99</v>
      </c>
      <c r="J67" s="90"/>
      <c r="K67" s="90"/>
      <c r="L67" s="146">
        <v>0.42</v>
      </c>
      <c r="M67" s="148"/>
      <c r="N67" s="29">
        <v>24</v>
      </c>
      <c r="O67" s="146">
        <v>0.99</v>
      </c>
      <c r="P67" s="90"/>
      <c r="Q67" s="90"/>
      <c r="R67" s="146">
        <v>0.4</v>
      </c>
      <c r="S67" s="148"/>
      <c r="T67" s="29">
        <v>24</v>
      </c>
      <c r="U67" s="146">
        <v>0.99</v>
      </c>
      <c r="V67" s="90"/>
      <c r="W67" s="90"/>
      <c r="X67" s="146">
        <v>0.4</v>
      </c>
      <c r="Y67" s="148"/>
      <c r="Z67" s="29">
        <v>24</v>
      </c>
      <c r="AA67" s="146">
        <v>0.99</v>
      </c>
      <c r="AB67" s="90"/>
      <c r="AC67" s="90"/>
      <c r="AD67" s="146">
        <v>0.31</v>
      </c>
      <c r="AE67" s="148"/>
      <c r="AF67" s="29">
        <v>24</v>
      </c>
      <c r="AG67" s="146">
        <v>0.55000000000000004</v>
      </c>
      <c r="AH67" s="90"/>
      <c r="AI67" s="90"/>
      <c r="AJ67" s="146">
        <v>0.2</v>
      </c>
      <c r="AK67" s="148"/>
      <c r="AL67" s="29">
        <v>24</v>
      </c>
      <c r="AM67" s="146">
        <v>0.99</v>
      </c>
      <c r="AN67" s="90"/>
      <c r="AO67" s="90"/>
      <c r="AP67" s="146">
        <v>0.9</v>
      </c>
      <c r="AQ67" s="148"/>
      <c r="AR67" s="160">
        <v>24</v>
      </c>
      <c r="AS67" s="146">
        <v>0.8</v>
      </c>
      <c r="AT67" s="146">
        <v>0.8</v>
      </c>
      <c r="AU67" s="90"/>
      <c r="AV67" s="146">
        <v>0.3</v>
      </c>
      <c r="AW67" s="148"/>
    </row>
    <row r="68" spans="2:49" x14ac:dyDescent="0.25">
      <c r="B68" s="399">
        <v>25</v>
      </c>
      <c r="C68" s="406">
        <v>1.25</v>
      </c>
      <c r="D68" s="162"/>
      <c r="E68" s="90"/>
      <c r="F68" s="146">
        <v>0.5</v>
      </c>
      <c r="G68" s="148"/>
      <c r="H68" s="29">
        <v>25</v>
      </c>
      <c r="I68" s="146">
        <v>0.99</v>
      </c>
      <c r="J68" s="90"/>
      <c r="K68" s="90"/>
      <c r="L68" s="146">
        <v>0.42</v>
      </c>
      <c r="M68" s="148"/>
      <c r="N68" s="29">
        <v>25</v>
      </c>
      <c r="O68" s="146">
        <v>0.99</v>
      </c>
      <c r="P68" s="90"/>
      <c r="Q68" s="90"/>
      <c r="R68" s="146">
        <v>0.4</v>
      </c>
      <c r="S68" s="148"/>
      <c r="T68" s="29">
        <v>25</v>
      </c>
      <c r="U68" s="146">
        <v>0.99</v>
      </c>
      <c r="V68" s="90"/>
      <c r="W68" s="90"/>
      <c r="X68" s="146">
        <v>0.4</v>
      </c>
      <c r="Y68" s="148"/>
      <c r="Z68" s="29">
        <v>25</v>
      </c>
      <c r="AA68" s="146">
        <v>0.99</v>
      </c>
      <c r="AB68" s="90"/>
      <c r="AC68" s="90"/>
      <c r="AD68" s="146">
        <v>0.31</v>
      </c>
      <c r="AE68" s="148"/>
      <c r="AF68" s="29">
        <v>25</v>
      </c>
      <c r="AG68" s="146">
        <v>0.55000000000000004</v>
      </c>
      <c r="AH68" s="90"/>
      <c r="AI68" s="90"/>
      <c r="AJ68" s="146">
        <v>0.2</v>
      </c>
      <c r="AK68" s="148"/>
      <c r="AL68" s="29">
        <v>25</v>
      </c>
      <c r="AM68" s="146">
        <v>0.99</v>
      </c>
      <c r="AN68" s="90"/>
      <c r="AO68" s="90"/>
      <c r="AP68" s="146">
        <v>0.9</v>
      </c>
      <c r="AQ68" s="148"/>
      <c r="AR68" s="160">
        <v>25</v>
      </c>
      <c r="AS68" s="146">
        <v>0.8</v>
      </c>
      <c r="AT68" s="146">
        <v>0.8</v>
      </c>
      <c r="AU68" s="90"/>
      <c r="AV68" s="146">
        <v>0.3</v>
      </c>
      <c r="AW68" s="148"/>
    </row>
    <row r="69" spans="2:49" x14ac:dyDescent="0.25">
      <c r="B69" s="399">
        <v>26</v>
      </c>
      <c r="C69" s="406">
        <v>1.25</v>
      </c>
      <c r="D69" s="162"/>
      <c r="E69" s="90"/>
      <c r="F69" s="146">
        <v>0.5</v>
      </c>
      <c r="G69" s="148"/>
      <c r="H69" s="29">
        <v>26</v>
      </c>
      <c r="I69" s="146">
        <v>0.99</v>
      </c>
      <c r="J69" s="90"/>
      <c r="K69" s="90"/>
      <c r="L69" s="146">
        <v>0.42</v>
      </c>
      <c r="M69" s="148"/>
      <c r="N69" s="29">
        <v>26</v>
      </c>
      <c r="O69" s="146">
        <v>0.99</v>
      </c>
      <c r="P69" s="90"/>
      <c r="Q69" s="90"/>
      <c r="R69" s="146">
        <v>0.4</v>
      </c>
      <c r="S69" s="148"/>
      <c r="T69" s="29">
        <v>26</v>
      </c>
      <c r="U69" s="146">
        <v>0.99</v>
      </c>
      <c r="V69" s="90"/>
      <c r="W69" s="90"/>
      <c r="X69" s="146">
        <v>0.4</v>
      </c>
      <c r="Y69" s="148"/>
      <c r="Z69" s="29">
        <v>26</v>
      </c>
      <c r="AA69" s="146">
        <v>0.99</v>
      </c>
      <c r="AB69" s="90"/>
      <c r="AC69" s="90"/>
      <c r="AD69" s="146">
        <v>0.31</v>
      </c>
      <c r="AE69" s="148"/>
      <c r="AF69" s="29">
        <v>26</v>
      </c>
      <c r="AG69" s="146">
        <v>0.55000000000000004</v>
      </c>
      <c r="AH69" s="90"/>
      <c r="AI69" s="90"/>
      <c r="AJ69" s="146">
        <v>0.2</v>
      </c>
      <c r="AK69" s="148"/>
      <c r="AL69" s="29">
        <v>26</v>
      </c>
      <c r="AM69" s="146">
        <v>0.99</v>
      </c>
      <c r="AN69" s="90"/>
      <c r="AO69" s="90"/>
      <c r="AP69" s="146">
        <v>0.9</v>
      </c>
      <c r="AQ69" s="148"/>
      <c r="AR69" s="160">
        <v>26</v>
      </c>
      <c r="AS69" s="146">
        <v>0.8</v>
      </c>
      <c r="AT69" s="146">
        <v>0.8</v>
      </c>
      <c r="AU69" s="90"/>
      <c r="AV69" s="146">
        <v>0.3</v>
      </c>
      <c r="AW69" s="148"/>
    </row>
    <row r="70" spans="2:49" x14ac:dyDescent="0.25">
      <c r="B70" s="399">
        <v>27</v>
      </c>
      <c r="C70" s="406">
        <v>1.25</v>
      </c>
      <c r="D70" s="162"/>
      <c r="E70" s="90"/>
      <c r="F70" s="146">
        <v>0.5</v>
      </c>
      <c r="G70" s="148"/>
      <c r="H70" s="29">
        <v>27</v>
      </c>
      <c r="I70" s="146">
        <v>0.99</v>
      </c>
      <c r="J70" s="90"/>
      <c r="K70" s="90"/>
      <c r="L70" s="146">
        <v>0.42</v>
      </c>
      <c r="M70" s="148"/>
      <c r="N70" s="29">
        <v>27</v>
      </c>
      <c r="O70" s="146">
        <v>0.99</v>
      </c>
      <c r="P70" s="90"/>
      <c r="Q70" s="90"/>
      <c r="R70" s="146">
        <v>0.4</v>
      </c>
      <c r="S70" s="148"/>
      <c r="T70" s="29">
        <v>27</v>
      </c>
      <c r="U70" s="146">
        <v>0.99</v>
      </c>
      <c r="V70" s="90"/>
      <c r="W70" s="90"/>
      <c r="X70" s="146">
        <v>0.4</v>
      </c>
      <c r="Y70" s="148"/>
      <c r="Z70" s="29">
        <v>27</v>
      </c>
      <c r="AA70" s="146">
        <v>0.99</v>
      </c>
      <c r="AB70" s="90"/>
      <c r="AC70" s="90"/>
      <c r="AD70" s="146">
        <v>0.31</v>
      </c>
      <c r="AE70" s="148"/>
      <c r="AF70" s="29">
        <v>27</v>
      </c>
      <c r="AG70" s="146">
        <v>0.55000000000000004</v>
      </c>
      <c r="AH70" s="90"/>
      <c r="AI70" s="90"/>
      <c r="AJ70" s="146">
        <v>0.2</v>
      </c>
      <c r="AK70" s="148"/>
      <c r="AL70" s="29">
        <v>27</v>
      </c>
      <c r="AM70" s="146">
        <v>0.99</v>
      </c>
      <c r="AN70" s="90"/>
      <c r="AO70" s="90"/>
      <c r="AP70" s="146">
        <v>0.9</v>
      </c>
      <c r="AQ70" s="148"/>
      <c r="AR70" s="160">
        <v>27</v>
      </c>
      <c r="AS70" s="146">
        <v>0.8</v>
      </c>
      <c r="AT70" s="146">
        <v>0.8</v>
      </c>
      <c r="AU70" s="90"/>
      <c r="AV70" s="146">
        <v>0.3</v>
      </c>
      <c r="AW70" s="148"/>
    </row>
    <row r="71" spans="2:49" x14ac:dyDescent="0.25">
      <c r="B71" s="399">
        <v>28</v>
      </c>
      <c r="C71" s="406">
        <v>1.25</v>
      </c>
      <c r="D71" s="162"/>
      <c r="E71" s="90"/>
      <c r="F71" s="146">
        <v>0.5</v>
      </c>
      <c r="G71" s="148"/>
      <c r="H71" s="29">
        <v>28</v>
      </c>
      <c r="I71" s="146">
        <v>0.99</v>
      </c>
      <c r="J71" s="90"/>
      <c r="K71" s="90"/>
      <c r="L71" s="146">
        <v>0.42</v>
      </c>
      <c r="M71" s="148"/>
      <c r="N71" s="29">
        <v>28</v>
      </c>
      <c r="O71" s="146">
        <v>0.99</v>
      </c>
      <c r="P71" s="90"/>
      <c r="Q71" s="90"/>
      <c r="R71" s="146">
        <v>0.4</v>
      </c>
      <c r="S71" s="148"/>
      <c r="T71" s="29">
        <v>28</v>
      </c>
      <c r="U71" s="146">
        <v>0.99</v>
      </c>
      <c r="V71" s="90"/>
      <c r="W71" s="90"/>
      <c r="X71" s="146">
        <v>0.4</v>
      </c>
      <c r="Y71" s="148"/>
      <c r="Z71" s="29">
        <v>28</v>
      </c>
      <c r="AA71" s="146">
        <v>0.99</v>
      </c>
      <c r="AB71" s="90"/>
      <c r="AC71" s="90"/>
      <c r="AD71" s="146">
        <v>0.31</v>
      </c>
      <c r="AE71" s="148"/>
      <c r="AF71" s="29">
        <v>28</v>
      </c>
      <c r="AG71" s="146">
        <v>0.55000000000000004</v>
      </c>
      <c r="AH71" s="90"/>
      <c r="AI71" s="90"/>
      <c r="AJ71" s="146">
        <v>0.2</v>
      </c>
      <c r="AK71" s="148"/>
      <c r="AL71" s="29">
        <v>28</v>
      </c>
      <c r="AM71" s="146">
        <v>0.99</v>
      </c>
      <c r="AN71" s="90"/>
      <c r="AO71" s="90"/>
      <c r="AP71" s="146">
        <v>0.9</v>
      </c>
      <c r="AQ71" s="148"/>
      <c r="AR71" s="160">
        <v>28</v>
      </c>
      <c r="AS71" s="146">
        <v>0.8</v>
      </c>
      <c r="AT71" s="146">
        <v>0.8</v>
      </c>
      <c r="AU71" s="90"/>
      <c r="AV71" s="146">
        <v>0.3</v>
      </c>
      <c r="AW71" s="148"/>
    </row>
    <row r="72" spans="2:49" x14ac:dyDescent="0.25">
      <c r="B72" s="399">
        <v>29</v>
      </c>
      <c r="C72" s="406">
        <v>1.25</v>
      </c>
      <c r="D72" s="162"/>
      <c r="E72" s="90"/>
      <c r="F72" s="146">
        <v>0.5</v>
      </c>
      <c r="G72" s="148"/>
      <c r="H72" s="29">
        <v>29</v>
      </c>
      <c r="I72" s="146">
        <v>0.99</v>
      </c>
      <c r="J72" s="90"/>
      <c r="K72" s="90"/>
      <c r="L72" s="146">
        <v>0.42</v>
      </c>
      <c r="M72" s="148"/>
      <c r="N72" s="29">
        <v>29</v>
      </c>
      <c r="O72" s="146">
        <v>0.99</v>
      </c>
      <c r="P72" s="90"/>
      <c r="Q72" s="90"/>
      <c r="R72" s="146">
        <v>0.4</v>
      </c>
      <c r="S72" s="148"/>
      <c r="T72" s="29">
        <v>29</v>
      </c>
      <c r="U72" s="146">
        <v>0.99</v>
      </c>
      <c r="V72" s="90"/>
      <c r="W72" s="90"/>
      <c r="X72" s="146">
        <v>0.4</v>
      </c>
      <c r="Y72" s="148"/>
      <c r="Z72" s="29">
        <v>29</v>
      </c>
      <c r="AA72" s="146">
        <v>0.99</v>
      </c>
      <c r="AB72" s="90"/>
      <c r="AC72" s="90"/>
      <c r="AD72" s="146">
        <v>0.31</v>
      </c>
      <c r="AE72" s="148"/>
      <c r="AF72" s="29">
        <v>29</v>
      </c>
      <c r="AG72" s="146">
        <v>0.55000000000000004</v>
      </c>
      <c r="AH72" s="90"/>
      <c r="AI72" s="90"/>
      <c r="AJ72" s="146">
        <v>0.2</v>
      </c>
      <c r="AK72" s="148"/>
      <c r="AL72" s="29">
        <v>29</v>
      </c>
      <c r="AM72" s="146">
        <v>0.99</v>
      </c>
      <c r="AN72" s="90"/>
      <c r="AO72" s="90"/>
      <c r="AP72" s="146">
        <v>0.9</v>
      </c>
      <c r="AQ72" s="148"/>
      <c r="AR72" s="160">
        <v>29</v>
      </c>
      <c r="AS72" s="146">
        <v>0.8</v>
      </c>
      <c r="AT72" s="146">
        <v>0.8</v>
      </c>
      <c r="AU72" s="90"/>
      <c r="AV72" s="146">
        <v>0.3</v>
      </c>
      <c r="AW72" s="148"/>
    </row>
    <row r="73" spans="2:49" x14ac:dyDescent="0.25">
      <c r="B73" s="399">
        <v>30</v>
      </c>
      <c r="C73" s="406">
        <v>1.25</v>
      </c>
      <c r="D73" s="162"/>
      <c r="E73" s="90"/>
      <c r="F73" s="146">
        <v>0.5</v>
      </c>
      <c r="G73" s="148"/>
      <c r="H73" s="29">
        <v>30</v>
      </c>
      <c r="I73" s="146">
        <v>0.99</v>
      </c>
      <c r="J73" s="90"/>
      <c r="K73" s="90"/>
      <c r="L73" s="146">
        <v>0.42</v>
      </c>
      <c r="M73" s="148"/>
      <c r="N73" s="29">
        <v>30</v>
      </c>
      <c r="O73" s="146">
        <v>0.99</v>
      </c>
      <c r="P73" s="90"/>
      <c r="Q73" s="90"/>
      <c r="R73" s="146">
        <v>0.4</v>
      </c>
      <c r="S73" s="148"/>
      <c r="T73" s="29">
        <v>30</v>
      </c>
      <c r="U73" s="146">
        <v>0.99</v>
      </c>
      <c r="V73" s="90"/>
      <c r="W73" s="90"/>
      <c r="X73" s="146">
        <v>0.4</v>
      </c>
      <c r="Y73" s="148"/>
      <c r="Z73" s="29">
        <v>30</v>
      </c>
      <c r="AA73" s="146">
        <v>0.99</v>
      </c>
      <c r="AB73" s="90"/>
      <c r="AC73" s="90"/>
      <c r="AD73" s="146">
        <v>0.31</v>
      </c>
      <c r="AE73" s="148"/>
      <c r="AF73" s="29">
        <v>30</v>
      </c>
      <c r="AG73" s="146">
        <v>0.55000000000000004</v>
      </c>
      <c r="AH73" s="90"/>
      <c r="AI73" s="90"/>
      <c r="AJ73" s="146">
        <v>0.2</v>
      </c>
      <c r="AK73" s="148"/>
      <c r="AL73" s="29">
        <v>30</v>
      </c>
      <c r="AM73" s="146">
        <v>0.99</v>
      </c>
      <c r="AN73" s="90"/>
      <c r="AO73" s="90"/>
      <c r="AP73" s="146">
        <v>0.9</v>
      </c>
      <c r="AQ73" s="148"/>
      <c r="AR73" s="160">
        <v>30</v>
      </c>
      <c r="AS73" s="146">
        <v>0.8</v>
      </c>
      <c r="AT73" s="146">
        <v>0.8</v>
      </c>
      <c r="AU73" s="90"/>
      <c r="AV73" s="146">
        <v>0.3</v>
      </c>
      <c r="AW73" s="148"/>
    </row>
    <row r="74" spans="2:49" x14ac:dyDescent="0.25">
      <c r="B74" s="399">
        <v>31</v>
      </c>
      <c r="C74" s="406">
        <v>1.25</v>
      </c>
      <c r="D74" s="162"/>
      <c r="E74" s="90"/>
      <c r="F74" s="146">
        <v>0.5</v>
      </c>
      <c r="G74" s="148"/>
      <c r="H74" s="29">
        <v>31</v>
      </c>
      <c r="I74" s="146">
        <v>0.99</v>
      </c>
      <c r="J74" s="90"/>
      <c r="K74" s="90"/>
      <c r="L74" s="146">
        <v>0.42</v>
      </c>
      <c r="M74" s="148"/>
      <c r="N74" s="29">
        <v>31</v>
      </c>
      <c r="O74" s="146">
        <v>0.99</v>
      </c>
      <c r="P74" s="90"/>
      <c r="Q74" s="90"/>
      <c r="R74" s="146">
        <v>0.4</v>
      </c>
      <c r="S74" s="148"/>
      <c r="T74" s="29">
        <v>31</v>
      </c>
      <c r="U74" s="146">
        <v>0.99</v>
      </c>
      <c r="V74" s="90"/>
      <c r="W74" s="90"/>
      <c r="X74" s="146">
        <v>0.4</v>
      </c>
      <c r="Y74" s="148"/>
      <c r="Z74" s="29">
        <v>31</v>
      </c>
      <c r="AA74" s="146">
        <v>0.99</v>
      </c>
      <c r="AB74" s="90"/>
      <c r="AC74" s="90"/>
      <c r="AD74" s="146">
        <v>0.31</v>
      </c>
      <c r="AE74" s="148"/>
      <c r="AF74" s="29">
        <v>31</v>
      </c>
      <c r="AG74" s="146">
        <v>0.55000000000000004</v>
      </c>
      <c r="AH74" s="90"/>
      <c r="AI74" s="90"/>
      <c r="AJ74" s="146">
        <v>0.2</v>
      </c>
      <c r="AK74" s="148"/>
      <c r="AL74" s="29">
        <v>31</v>
      </c>
      <c r="AM74" s="146">
        <v>0.99</v>
      </c>
      <c r="AN74" s="90"/>
      <c r="AO74" s="90"/>
      <c r="AP74" s="146">
        <v>0.9</v>
      </c>
      <c r="AQ74" s="148"/>
      <c r="AR74" s="160">
        <v>31</v>
      </c>
      <c r="AS74" s="146">
        <v>0.8</v>
      </c>
      <c r="AT74" s="146">
        <v>0.8</v>
      </c>
      <c r="AU74" s="90"/>
      <c r="AV74" s="146">
        <v>0.3</v>
      </c>
      <c r="AW74" s="148"/>
    </row>
    <row r="75" spans="2:49" x14ac:dyDescent="0.25">
      <c r="B75" s="399">
        <v>32</v>
      </c>
      <c r="C75" s="406">
        <v>1.25</v>
      </c>
      <c r="D75" s="162"/>
      <c r="E75" s="90"/>
      <c r="F75" s="146">
        <v>0.5</v>
      </c>
      <c r="G75" s="148"/>
      <c r="H75" s="29">
        <v>32</v>
      </c>
      <c r="I75" s="146">
        <v>0.99</v>
      </c>
      <c r="J75" s="90"/>
      <c r="K75" s="90"/>
      <c r="L75" s="146">
        <v>0.42</v>
      </c>
      <c r="M75" s="148"/>
      <c r="N75" s="29">
        <v>32</v>
      </c>
      <c r="O75" s="146">
        <v>0.99</v>
      </c>
      <c r="P75" s="90"/>
      <c r="Q75" s="90"/>
      <c r="R75" s="146">
        <v>0.4</v>
      </c>
      <c r="S75" s="148"/>
      <c r="T75" s="29">
        <v>32</v>
      </c>
      <c r="U75" s="146">
        <v>0.99</v>
      </c>
      <c r="V75" s="90"/>
      <c r="W75" s="90"/>
      <c r="X75" s="146">
        <v>0.4</v>
      </c>
      <c r="Y75" s="148"/>
      <c r="Z75" s="29">
        <v>32</v>
      </c>
      <c r="AA75" s="146">
        <v>0.99</v>
      </c>
      <c r="AB75" s="90"/>
      <c r="AC75" s="90"/>
      <c r="AD75" s="146">
        <v>0.31</v>
      </c>
      <c r="AE75" s="148"/>
      <c r="AF75" s="29">
        <v>32</v>
      </c>
      <c r="AG75" s="146">
        <v>0.55000000000000004</v>
      </c>
      <c r="AH75" s="90"/>
      <c r="AI75" s="90"/>
      <c r="AJ75" s="146">
        <v>0.2</v>
      </c>
      <c r="AK75" s="148"/>
      <c r="AL75" s="29">
        <v>32</v>
      </c>
      <c r="AM75" s="146">
        <v>0.99</v>
      </c>
      <c r="AN75" s="90"/>
      <c r="AO75" s="90"/>
      <c r="AP75" s="146">
        <v>0.9</v>
      </c>
      <c r="AQ75" s="148"/>
      <c r="AR75" s="160">
        <v>32</v>
      </c>
      <c r="AS75" s="146">
        <v>0.8</v>
      </c>
      <c r="AT75" s="146">
        <v>0.8</v>
      </c>
      <c r="AU75" s="90"/>
      <c r="AV75" s="146">
        <v>0.3</v>
      </c>
      <c r="AW75" s="148"/>
    </row>
    <row r="76" spans="2:49" x14ac:dyDescent="0.25">
      <c r="B76" s="399">
        <v>33</v>
      </c>
      <c r="C76" s="406">
        <v>1.25</v>
      </c>
      <c r="D76" s="162"/>
      <c r="E76" s="90"/>
      <c r="F76" s="146">
        <v>0.5</v>
      </c>
      <c r="G76" s="148"/>
      <c r="H76" s="29">
        <v>33</v>
      </c>
      <c r="I76" s="146">
        <v>0.99</v>
      </c>
      <c r="J76" s="90"/>
      <c r="K76" s="90"/>
      <c r="L76" s="146">
        <v>0.42</v>
      </c>
      <c r="M76" s="148"/>
      <c r="N76" s="29">
        <v>33</v>
      </c>
      <c r="O76" s="146">
        <v>0.99</v>
      </c>
      <c r="P76" s="90"/>
      <c r="Q76" s="90"/>
      <c r="R76" s="146">
        <v>0.4</v>
      </c>
      <c r="S76" s="148"/>
      <c r="T76" s="29">
        <v>33</v>
      </c>
      <c r="U76" s="146">
        <v>0.99</v>
      </c>
      <c r="V76" s="90"/>
      <c r="W76" s="90"/>
      <c r="X76" s="146">
        <v>0.4</v>
      </c>
      <c r="Y76" s="148"/>
      <c r="Z76" s="29">
        <v>33</v>
      </c>
      <c r="AA76" s="146">
        <v>0.99</v>
      </c>
      <c r="AB76" s="90"/>
      <c r="AC76" s="90"/>
      <c r="AD76" s="146">
        <v>0.31</v>
      </c>
      <c r="AE76" s="148"/>
      <c r="AF76" s="29">
        <v>33</v>
      </c>
      <c r="AG76" s="146">
        <v>0.55000000000000004</v>
      </c>
      <c r="AH76" s="90"/>
      <c r="AI76" s="90"/>
      <c r="AJ76" s="146">
        <v>0.2</v>
      </c>
      <c r="AK76" s="148"/>
      <c r="AL76" s="29">
        <v>33</v>
      </c>
      <c r="AM76" s="146">
        <v>0.99</v>
      </c>
      <c r="AN76" s="90"/>
      <c r="AO76" s="90"/>
      <c r="AP76" s="146">
        <v>0.9</v>
      </c>
      <c r="AQ76" s="148"/>
      <c r="AR76" s="160">
        <v>33</v>
      </c>
      <c r="AS76" s="146">
        <v>0.8</v>
      </c>
      <c r="AT76" s="146">
        <v>0.8</v>
      </c>
      <c r="AU76" s="90"/>
      <c r="AV76" s="146">
        <v>0.3</v>
      </c>
      <c r="AW76" s="148"/>
    </row>
    <row r="77" spans="2:49" x14ac:dyDescent="0.25">
      <c r="B77" s="399">
        <v>34</v>
      </c>
      <c r="C77" s="406">
        <v>1.25</v>
      </c>
      <c r="D77" s="162"/>
      <c r="E77" s="90"/>
      <c r="F77" s="162"/>
      <c r="G77" s="148"/>
      <c r="H77" s="29">
        <v>34</v>
      </c>
      <c r="I77" s="146">
        <v>0.99</v>
      </c>
      <c r="J77" s="90"/>
      <c r="K77" s="90"/>
      <c r="L77" s="90"/>
      <c r="M77" s="148"/>
      <c r="N77" s="29">
        <v>34</v>
      </c>
      <c r="O77" s="146">
        <v>0.99</v>
      </c>
      <c r="P77" s="90"/>
      <c r="Q77" s="90"/>
      <c r="R77" s="90"/>
      <c r="S77" s="148"/>
      <c r="T77" s="29">
        <v>34</v>
      </c>
      <c r="U77" s="146">
        <v>0.99</v>
      </c>
      <c r="V77" s="90"/>
      <c r="W77" s="90"/>
      <c r="X77" s="90"/>
      <c r="Y77" s="148"/>
      <c r="Z77" s="29">
        <v>34</v>
      </c>
      <c r="AA77" s="146">
        <v>0.99</v>
      </c>
      <c r="AB77" s="90"/>
      <c r="AC77" s="90"/>
      <c r="AD77" s="90"/>
      <c r="AE77" s="148"/>
      <c r="AF77" s="29">
        <v>34</v>
      </c>
      <c r="AG77" s="146">
        <v>0.55000000000000004</v>
      </c>
      <c r="AH77" s="90"/>
      <c r="AI77" s="90"/>
      <c r="AJ77" s="90"/>
      <c r="AK77" s="148"/>
      <c r="AL77" s="29">
        <v>34</v>
      </c>
      <c r="AM77" s="146">
        <v>0.99</v>
      </c>
      <c r="AN77" s="90"/>
      <c r="AO77" s="90"/>
      <c r="AP77" s="90"/>
      <c r="AQ77" s="148"/>
      <c r="AR77" s="160">
        <v>34</v>
      </c>
      <c r="AS77" s="146">
        <v>0.8</v>
      </c>
      <c r="AT77" s="146">
        <v>0.8</v>
      </c>
      <c r="AU77" s="90"/>
      <c r="AV77" s="90"/>
      <c r="AW77" s="148"/>
    </row>
    <row r="78" spans="2:49" x14ac:dyDescent="0.25">
      <c r="B78" s="399">
        <v>35</v>
      </c>
      <c r="C78" s="406">
        <v>1.25</v>
      </c>
      <c r="D78" s="162"/>
      <c r="E78" s="90"/>
      <c r="F78" s="162"/>
      <c r="G78" s="148"/>
      <c r="H78" s="29">
        <v>35</v>
      </c>
      <c r="I78" s="146">
        <v>0.99</v>
      </c>
      <c r="J78" s="90"/>
      <c r="K78" s="90"/>
      <c r="L78" s="90"/>
      <c r="M78" s="148"/>
      <c r="N78" s="29">
        <v>35</v>
      </c>
      <c r="O78" s="146">
        <v>0.99</v>
      </c>
      <c r="P78" s="90"/>
      <c r="Q78" s="90"/>
      <c r="R78" s="90"/>
      <c r="S78" s="148"/>
      <c r="T78" s="29">
        <v>35</v>
      </c>
      <c r="U78" s="146">
        <v>0.99</v>
      </c>
      <c r="V78" s="90"/>
      <c r="W78" s="90"/>
      <c r="X78" s="90"/>
      <c r="Y78" s="148"/>
      <c r="Z78" s="29">
        <v>35</v>
      </c>
      <c r="AA78" s="146">
        <v>0.99</v>
      </c>
      <c r="AB78" s="90"/>
      <c r="AC78" s="90"/>
      <c r="AD78" s="90"/>
      <c r="AE78" s="148"/>
      <c r="AF78" s="29">
        <v>35</v>
      </c>
      <c r="AG78" s="146">
        <v>0.55000000000000004</v>
      </c>
      <c r="AH78" s="90"/>
      <c r="AI78" s="90"/>
      <c r="AJ78" s="90"/>
      <c r="AK78" s="148"/>
      <c r="AL78" s="29">
        <v>35</v>
      </c>
      <c r="AM78" s="146">
        <v>0.99</v>
      </c>
      <c r="AN78" s="90"/>
      <c r="AO78" s="90"/>
      <c r="AP78" s="90"/>
      <c r="AQ78" s="148"/>
      <c r="AR78" s="160">
        <v>35</v>
      </c>
      <c r="AS78" s="146">
        <v>0.8</v>
      </c>
      <c r="AT78" s="146">
        <v>0.8</v>
      </c>
      <c r="AU78" s="90"/>
      <c r="AV78" s="90"/>
      <c r="AW78" s="148"/>
    </row>
    <row r="79" spans="2:49" ht="15.75" thickBot="1" x14ac:dyDescent="0.3">
      <c r="B79" s="400">
        <v>36</v>
      </c>
      <c r="C79" s="407">
        <v>1.25</v>
      </c>
      <c r="D79" s="163"/>
      <c r="E79" s="150"/>
      <c r="F79" s="163"/>
      <c r="G79" s="151"/>
      <c r="H79" s="31">
        <v>36</v>
      </c>
      <c r="I79" s="149">
        <v>0.99</v>
      </c>
      <c r="J79" s="150"/>
      <c r="K79" s="150"/>
      <c r="L79" s="150"/>
      <c r="M79" s="151"/>
      <c r="N79" s="31">
        <v>36</v>
      </c>
      <c r="O79" s="149">
        <v>0.99</v>
      </c>
      <c r="P79" s="150"/>
      <c r="Q79" s="150"/>
      <c r="R79" s="150"/>
      <c r="S79" s="151"/>
      <c r="T79" s="31">
        <v>36</v>
      </c>
      <c r="U79" s="149">
        <v>0.99</v>
      </c>
      <c r="V79" s="150"/>
      <c r="W79" s="150"/>
      <c r="X79" s="150"/>
      <c r="Y79" s="151"/>
      <c r="Z79" s="31">
        <v>36</v>
      </c>
      <c r="AA79" s="149">
        <v>0.99</v>
      </c>
      <c r="AB79" s="150"/>
      <c r="AC79" s="150"/>
      <c r="AD79" s="150"/>
      <c r="AE79" s="151"/>
      <c r="AF79" s="31">
        <v>36</v>
      </c>
      <c r="AG79" s="149">
        <v>0.55000000000000004</v>
      </c>
      <c r="AH79" s="150"/>
      <c r="AI79" s="150"/>
      <c r="AJ79" s="150"/>
      <c r="AK79" s="151"/>
      <c r="AL79" s="31">
        <v>36</v>
      </c>
      <c r="AM79" s="149">
        <v>0.99</v>
      </c>
      <c r="AN79" s="150"/>
      <c r="AO79" s="150"/>
      <c r="AP79" s="150"/>
      <c r="AQ79" s="151"/>
      <c r="AR79" s="161">
        <v>36</v>
      </c>
      <c r="AS79" s="149">
        <v>0.8</v>
      </c>
      <c r="AT79" s="149">
        <v>0.8</v>
      </c>
      <c r="AU79" s="150"/>
      <c r="AV79" s="150"/>
      <c r="AW79" s="151"/>
    </row>
    <row r="80" spans="2:49" x14ac:dyDescent="0.25">
      <c r="C80" s="52"/>
      <c r="D80" s="52"/>
      <c r="E80" s="52"/>
      <c r="F80" s="52"/>
      <c r="G80" s="52"/>
      <c r="H80" s="52"/>
      <c r="I80" s="52"/>
      <c r="J80" s="52"/>
      <c r="K80" s="52"/>
      <c r="L80" s="52"/>
      <c r="M80" s="52"/>
      <c r="N80" s="52"/>
      <c r="O80" s="52"/>
      <c r="P80" s="52"/>
      <c r="Q80" s="52"/>
      <c r="R80" s="52"/>
      <c r="S80" s="52"/>
      <c r="T80" s="52"/>
      <c r="U80" s="52"/>
      <c r="V80" s="52"/>
      <c r="W80" s="52"/>
      <c r="X80" s="52"/>
      <c r="Y80" s="52"/>
      <c r="Z80" s="52"/>
      <c r="AA80" s="52"/>
      <c r="AB80" s="52"/>
      <c r="AC80" s="52"/>
      <c r="AD80" s="52"/>
      <c r="AE80" s="52"/>
      <c r="AF80" s="52"/>
      <c r="AG80" s="27"/>
      <c r="AH80" s="52"/>
    </row>
    <row r="81" spans="2:34" ht="19.5" thickBot="1" x14ac:dyDescent="0.35">
      <c r="B81" s="121" t="s">
        <v>1663</v>
      </c>
      <c r="C81" s="52"/>
      <c r="D81" s="52"/>
      <c r="E81" s="52"/>
      <c r="F81" s="52"/>
      <c r="G81" s="52"/>
      <c r="H81" s="52"/>
      <c r="I81" s="52"/>
      <c r="J81" s="52"/>
      <c r="K81" s="52"/>
      <c r="L81" s="52"/>
      <c r="M81" s="52"/>
      <c r="N81" s="52"/>
      <c r="O81" s="52"/>
      <c r="P81" s="52"/>
      <c r="Q81" s="52"/>
      <c r="R81" s="52"/>
      <c r="S81" s="52"/>
      <c r="T81" s="52"/>
      <c r="U81" s="52"/>
      <c r="V81" s="52"/>
      <c r="W81" s="52"/>
      <c r="X81" s="52"/>
      <c r="Y81" s="52"/>
      <c r="Z81" s="52"/>
      <c r="AA81" s="52"/>
      <c r="AB81" s="52"/>
      <c r="AC81" s="52"/>
      <c r="AD81" s="52"/>
      <c r="AE81" s="52"/>
      <c r="AF81" s="52"/>
      <c r="AG81" s="27"/>
      <c r="AH81" s="52"/>
    </row>
    <row r="82" spans="2:34" s="26" customFormat="1" ht="15.75" thickBot="1" x14ac:dyDescent="0.3">
      <c r="B82" s="243" t="s">
        <v>1555</v>
      </c>
      <c r="C82" s="345" t="s">
        <v>63</v>
      </c>
      <c r="D82" s="206" t="s">
        <v>64</v>
      </c>
      <c r="E82" s="206" t="s">
        <v>65</v>
      </c>
      <c r="F82" s="206" t="s">
        <v>66</v>
      </c>
      <c r="G82" s="206" t="s">
        <v>67</v>
      </c>
      <c r="H82" s="206" t="s">
        <v>68</v>
      </c>
      <c r="I82" s="206" t="s">
        <v>247</v>
      </c>
      <c r="J82" s="206" t="s">
        <v>69</v>
      </c>
      <c r="K82" s="206" t="s">
        <v>70</v>
      </c>
      <c r="L82" s="206" t="s">
        <v>333</v>
      </c>
      <c r="M82" s="302" t="s">
        <v>334</v>
      </c>
      <c r="N82" s="206" t="s">
        <v>1681</v>
      </c>
      <c r="O82" s="42"/>
      <c r="P82" s="42"/>
      <c r="Q82" s="42"/>
      <c r="R82" s="42"/>
      <c r="S82" s="42"/>
      <c r="T82" s="42"/>
      <c r="U82" s="42"/>
      <c r="V82" s="42"/>
      <c r="W82" s="42"/>
      <c r="X82" s="42"/>
      <c r="Y82" s="42"/>
    </row>
    <row r="83" spans="2:34" x14ac:dyDescent="0.25">
      <c r="B83" s="343">
        <v>1</v>
      </c>
      <c r="C83" s="309"/>
      <c r="D83" s="310"/>
      <c r="E83" s="310"/>
      <c r="F83" s="310"/>
      <c r="G83" s="310"/>
      <c r="H83" s="310"/>
      <c r="I83" s="310"/>
      <c r="J83" s="310" t="s">
        <v>238</v>
      </c>
      <c r="K83" s="310" t="s">
        <v>238</v>
      </c>
      <c r="L83" s="310"/>
      <c r="M83" s="310" t="s">
        <v>238</v>
      </c>
      <c r="N83" s="311" t="s">
        <v>238</v>
      </c>
    </row>
    <row r="84" spans="2:34" x14ac:dyDescent="0.25">
      <c r="B84" s="344">
        <v>2</v>
      </c>
      <c r="C84" s="312"/>
      <c r="D84" s="235"/>
      <c r="E84" s="235"/>
      <c r="F84" s="235"/>
      <c r="G84" s="235"/>
      <c r="H84" s="235"/>
      <c r="I84" s="235"/>
      <c r="J84" s="235" t="s">
        <v>238</v>
      </c>
      <c r="K84" s="235" t="s">
        <v>238</v>
      </c>
      <c r="L84" s="235"/>
      <c r="M84" s="235" t="s">
        <v>238</v>
      </c>
      <c r="N84" s="236" t="s">
        <v>238</v>
      </c>
    </row>
    <row r="85" spans="2:34" x14ac:dyDescent="0.25">
      <c r="B85" s="344">
        <v>3</v>
      </c>
      <c r="C85" s="312"/>
      <c r="D85" s="235"/>
      <c r="E85" s="235"/>
      <c r="F85" s="235"/>
      <c r="G85" s="235"/>
      <c r="H85" s="235"/>
      <c r="I85" s="235"/>
      <c r="J85" s="235" t="s">
        <v>238</v>
      </c>
      <c r="K85" s="235" t="s">
        <v>238</v>
      </c>
      <c r="L85" s="235"/>
      <c r="M85" s="235" t="s">
        <v>238</v>
      </c>
      <c r="N85" s="236" t="s">
        <v>238</v>
      </c>
    </row>
    <row r="86" spans="2:34" x14ac:dyDescent="0.25">
      <c r="B86" s="344">
        <v>4</v>
      </c>
      <c r="C86" s="312"/>
      <c r="D86" s="235"/>
      <c r="E86" s="235"/>
      <c r="F86" s="235"/>
      <c r="G86" s="235"/>
      <c r="H86" s="235"/>
      <c r="I86" s="235"/>
      <c r="J86" s="235" t="s">
        <v>238</v>
      </c>
      <c r="K86" s="235" t="s">
        <v>238</v>
      </c>
      <c r="L86" s="235"/>
      <c r="M86" s="235" t="s">
        <v>238</v>
      </c>
      <c r="N86" s="236" t="s">
        <v>238</v>
      </c>
    </row>
    <row r="87" spans="2:34" x14ac:dyDescent="0.25">
      <c r="B87" s="344">
        <v>5</v>
      </c>
      <c r="C87" s="312"/>
      <c r="D87" s="235"/>
      <c r="E87" s="235"/>
      <c r="F87" s="235"/>
      <c r="G87" s="235"/>
      <c r="H87" s="235"/>
      <c r="I87" s="235"/>
      <c r="J87" s="235" t="s">
        <v>239</v>
      </c>
      <c r="K87" s="235" t="s">
        <v>239</v>
      </c>
      <c r="L87" s="235"/>
      <c r="M87" s="235" t="s">
        <v>238</v>
      </c>
      <c r="N87" s="236" t="s">
        <v>239</v>
      </c>
    </row>
    <row r="88" spans="2:34" x14ac:dyDescent="0.25">
      <c r="B88" s="344">
        <v>6</v>
      </c>
      <c r="C88" s="312"/>
      <c r="D88" s="235"/>
      <c r="E88" s="235"/>
      <c r="F88" s="235"/>
      <c r="G88" s="235"/>
      <c r="H88" s="235"/>
      <c r="I88" s="235"/>
      <c r="J88" s="235" t="s">
        <v>239</v>
      </c>
      <c r="K88" s="235" t="s">
        <v>239</v>
      </c>
      <c r="L88" s="235"/>
      <c r="M88" s="235" t="s">
        <v>238</v>
      </c>
      <c r="N88" s="236" t="s">
        <v>239</v>
      </c>
    </row>
    <row r="89" spans="2:34" x14ac:dyDescent="0.25">
      <c r="B89" s="344">
        <v>7</v>
      </c>
      <c r="C89" s="312"/>
      <c r="D89" s="235"/>
      <c r="E89" s="235"/>
      <c r="F89" s="235"/>
      <c r="G89" s="235"/>
      <c r="H89" s="235"/>
      <c r="I89" s="235"/>
      <c r="J89" s="235" t="s">
        <v>239</v>
      </c>
      <c r="K89" s="235" t="s">
        <v>239</v>
      </c>
      <c r="L89" s="235"/>
      <c r="M89" s="235" t="s">
        <v>238</v>
      </c>
      <c r="N89" s="236" t="s">
        <v>239</v>
      </c>
    </row>
    <row r="90" spans="2:34" x14ac:dyDescent="0.25">
      <c r="B90" s="344">
        <v>8</v>
      </c>
      <c r="C90" s="312"/>
      <c r="D90" s="235"/>
      <c r="E90" s="235"/>
      <c r="F90" s="235"/>
      <c r="G90" s="235"/>
      <c r="H90" s="235"/>
      <c r="I90" s="235"/>
      <c r="J90" s="235" t="s">
        <v>239</v>
      </c>
      <c r="K90" s="235" t="s">
        <v>239</v>
      </c>
      <c r="L90" s="235"/>
      <c r="M90" s="235" t="s">
        <v>238</v>
      </c>
      <c r="N90" s="236" t="s">
        <v>239</v>
      </c>
    </row>
    <row r="91" spans="2:34" x14ac:dyDescent="0.25">
      <c r="B91" s="344">
        <v>9</v>
      </c>
      <c r="C91" s="312"/>
      <c r="D91" s="235"/>
      <c r="E91" s="235"/>
      <c r="F91" s="235"/>
      <c r="G91" s="235"/>
      <c r="H91" s="235"/>
      <c r="I91" s="235"/>
      <c r="J91" s="28" t="s">
        <v>240</v>
      </c>
      <c r="K91" s="28" t="s">
        <v>240</v>
      </c>
      <c r="L91" s="28"/>
      <c r="M91" s="235" t="s">
        <v>238</v>
      </c>
      <c r="N91" s="236" t="s">
        <v>239</v>
      </c>
    </row>
    <row r="92" spans="2:34" x14ac:dyDescent="0.25">
      <c r="B92" s="344">
        <v>10</v>
      </c>
      <c r="C92" s="312"/>
      <c r="D92" s="235"/>
      <c r="E92" s="235"/>
      <c r="F92" s="235"/>
      <c r="G92" s="235"/>
      <c r="H92" s="235"/>
      <c r="I92" s="235"/>
      <c r="J92" s="28" t="s">
        <v>240</v>
      </c>
      <c r="K92" s="28" t="s">
        <v>240</v>
      </c>
      <c r="L92" s="28"/>
      <c r="M92" s="235" t="s">
        <v>238</v>
      </c>
      <c r="N92" s="236" t="s">
        <v>239</v>
      </c>
    </row>
    <row r="93" spans="2:34" x14ac:dyDescent="0.25">
      <c r="B93" s="344">
        <v>11</v>
      </c>
      <c r="C93" s="312"/>
      <c r="D93" s="235"/>
      <c r="E93" s="235"/>
      <c r="F93" s="235"/>
      <c r="G93" s="235"/>
      <c r="H93" s="235"/>
      <c r="I93" s="235"/>
      <c r="J93" s="28" t="s">
        <v>240</v>
      </c>
      <c r="K93" s="28" t="s">
        <v>240</v>
      </c>
      <c r="L93" s="28"/>
      <c r="M93" s="235" t="s">
        <v>239</v>
      </c>
      <c r="N93" s="236" t="s">
        <v>239</v>
      </c>
    </row>
    <row r="94" spans="2:34" x14ac:dyDescent="0.25">
      <c r="B94" s="344">
        <v>12</v>
      </c>
      <c r="C94" s="312"/>
      <c r="D94" s="235"/>
      <c r="E94" s="235"/>
      <c r="F94" s="235"/>
      <c r="G94" s="235"/>
      <c r="H94" s="235"/>
      <c r="I94" s="235"/>
      <c r="J94" s="28" t="s">
        <v>240</v>
      </c>
      <c r="K94" s="28" t="s">
        <v>240</v>
      </c>
      <c r="L94" s="28"/>
      <c r="M94" s="235" t="s">
        <v>239</v>
      </c>
      <c r="N94" s="236" t="s">
        <v>239</v>
      </c>
    </row>
    <row r="95" spans="2:34" x14ac:dyDescent="0.25">
      <c r="B95" s="344">
        <v>13</v>
      </c>
      <c r="C95" s="312"/>
      <c r="D95" s="235"/>
      <c r="E95" s="235"/>
      <c r="F95" s="235"/>
      <c r="G95" s="235"/>
      <c r="H95" s="235"/>
      <c r="I95" s="235"/>
      <c r="J95" s="235" t="s">
        <v>241</v>
      </c>
      <c r="K95" s="235" t="s">
        <v>241</v>
      </c>
      <c r="L95" s="235"/>
      <c r="M95" s="235" t="s">
        <v>239</v>
      </c>
      <c r="N95" s="236" t="s">
        <v>239</v>
      </c>
    </row>
    <row r="96" spans="2:34" x14ac:dyDescent="0.25">
      <c r="B96" s="344">
        <v>14</v>
      </c>
      <c r="C96" s="312"/>
      <c r="D96" s="235"/>
      <c r="E96" s="235"/>
      <c r="F96" s="235"/>
      <c r="G96" s="235"/>
      <c r="H96" s="235"/>
      <c r="I96" s="235"/>
      <c r="J96" s="235" t="s">
        <v>241</v>
      </c>
      <c r="K96" s="235" t="s">
        <v>241</v>
      </c>
      <c r="L96" s="235"/>
      <c r="M96" s="235" t="s">
        <v>239</v>
      </c>
      <c r="N96" s="236" t="s">
        <v>239</v>
      </c>
    </row>
    <row r="97" spans="2:34" s="27" customFormat="1" x14ac:dyDescent="0.25">
      <c r="B97" s="344">
        <v>15</v>
      </c>
      <c r="C97" s="312"/>
      <c r="D97" s="235"/>
      <c r="E97" s="235"/>
      <c r="F97" s="235"/>
      <c r="G97" s="235"/>
      <c r="H97" s="235"/>
      <c r="I97" s="235"/>
      <c r="J97" s="235" t="s">
        <v>241</v>
      </c>
      <c r="K97" s="235" t="s">
        <v>241</v>
      </c>
      <c r="L97" s="235"/>
      <c r="M97" s="235" t="s">
        <v>239</v>
      </c>
      <c r="N97" s="236" t="s">
        <v>239</v>
      </c>
      <c r="Z97"/>
      <c r="AA97"/>
      <c r="AB97"/>
      <c r="AC97"/>
      <c r="AD97"/>
      <c r="AE97"/>
      <c r="AF97"/>
      <c r="AG97"/>
      <c r="AH97"/>
    </row>
    <row r="98" spans="2:34" s="27" customFormat="1" x14ac:dyDescent="0.25">
      <c r="B98" s="344">
        <v>16</v>
      </c>
      <c r="C98" s="312"/>
      <c r="D98" s="235"/>
      <c r="E98" s="235"/>
      <c r="F98" s="235"/>
      <c r="G98" s="235"/>
      <c r="H98" s="235"/>
      <c r="I98" s="235"/>
      <c r="J98" s="235" t="s">
        <v>241</v>
      </c>
      <c r="K98" s="235"/>
      <c r="L98" s="235"/>
      <c r="M98" s="235" t="s">
        <v>239</v>
      </c>
      <c r="N98" s="236" t="s">
        <v>239</v>
      </c>
      <c r="Z98"/>
      <c r="AA98"/>
      <c r="AB98"/>
      <c r="AC98"/>
      <c r="AD98"/>
      <c r="AE98"/>
      <c r="AF98"/>
      <c r="AG98"/>
      <c r="AH98"/>
    </row>
    <row r="99" spans="2:34" s="27" customFormat="1" x14ac:dyDescent="0.25">
      <c r="B99" s="344">
        <v>17</v>
      </c>
      <c r="C99" s="312"/>
      <c r="D99" s="235"/>
      <c r="E99" s="235"/>
      <c r="F99" s="235"/>
      <c r="G99" s="235"/>
      <c r="H99" s="235"/>
      <c r="I99" s="235"/>
      <c r="J99" s="235" t="s">
        <v>241</v>
      </c>
      <c r="K99" s="235"/>
      <c r="L99" s="235"/>
      <c r="M99" s="235" t="s">
        <v>239</v>
      </c>
      <c r="N99" s="236" t="s">
        <v>239</v>
      </c>
      <c r="Z99"/>
      <c r="AA99"/>
      <c r="AB99"/>
      <c r="AC99"/>
      <c r="AD99"/>
      <c r="AE99"/>
      <c r="AF99"/>
      <c r="AG99"/>
      <c r="AH99"/>
    </row>
    <row r="100" spans="2:34" s="27" customFormat="1" x14ac:dyDescent="0.25">
      <c r="B100" s="344">
        <v>18</v>
      </c>
      <c r="C100" s="312"/>
      <c r="D100" s="235"/>
      <c r="E100" s="235"/>
      <c r="F100" s="235"/>
      <c r="G100" s="235"/>
      <c r="H100" s="235"/>
      <c r="I100" s="235"/>
      <c r="J100" s="235" t="s">
        <v>241</v>
      </c>
      <c r="K100" s="235"/>
      <c r="L100" s="235"/>
      <c r="M100" s="235" t="s">
        <v>239</v>
      </c>
      <c r="N100" s="236" t="s">
        <v>239</v>
      </c>
      <c r="Z100"/>
      <c r="AA100"/>
      <c r="AB100"/>
      <c r="AC100"/>
      <c r="AD100"/>
      <c r="AE100"/>
      <c r="AF100"/>
      <c r="AG100"/>
      <c r="AH100"/>
    </row>
    <row r="101" spans="2:34" s="27" customFormat="1" x14ac:dyDescent="0.25">
      <c r="B101" s="344">
        <v>19</v>
      </c>
      <c r="C101" s="312"/>
      <c r="D101" s="235"/>
      <c r="E101" s="235"/>
      <c r="F101" s="235"/>
      <c r="G101" s="235"/>
      <c r="H101" s="235"/>
      <c r="I101" s="235"/>
      <c r="J101" s="235" t="s">
        <v>241</v>
      </c>
      <c r="K101" s="235"/>
      <c r="L101" s="235"/>
      <c r="M101" s="235" t="s">
        <v>239</v>
      </c>
      <c r="N101" s="236" t="s">
        <v>239</v>
      </c>
      <c r="Z101"/>
      <c r="AA101"/>
      <c r="AB101"/>
      <c r="AC101"/>
      <c r="AD101"/>
      <c r="AE101"/>
      <c r="AF101"/>
      <c r="AG101"/>
      <c r="AH101"/>
    </row>
    <row r="102" spans="2:34" s="27" customFormat="1" x14ac:dyDescent="0.25">
      <c r="B102" s="344">
        <v>20</v>
      </c>
      <c r="C102" s="312"/>
      <c r="D102" s="235"/>
      <c r="E102" s="235"/>
      <c r="F102" s="235"/>
      <c r="G102" s="235"/>
      <c r="H102" s="235"/>
      <c r="I102" s="235"/>
      <c r="J102" s="235" t="s">
        <v>241</v>
      </c>
      <c r="K102" s="235"/>
      <c r="L102" s="235"/>
      <c r="M102" s="235" t="s">
        <v>239</v>
      </c>
      <c r="N102" s="236" t="s">
        <v>239</v>
      </c>
      <c r="Z102"/>
      <c r="AA102"/>
      <c r="AB102"/>
      <c r="AC102"/>
      <c r="AD102"/>
      <c r="AE102"/>
      <c r="AF102"/>
      <c r="AG102"/>
      <c r="AH102"/>
    </row>
    <row r="103" spans="2:34" s="27" customFormat="1" x14ac:dyDescent="0.25">
      <c r="B103" s="344">
        <v>21</v>
      </c>
      <c r="C103" s="312"/>
      <c r="D103" s="235"/>
      <c r="E103" s="235"/>
      <c r="F103" s="235"/>
      <c r="G103" s="235"/>
      <c r="H103" s="235"/>
      <c r="I103" s="235"/>
      <c r="J103" s="235" t="s">
        <v>241</v>
      </c>
      <c r="K103" s="235"/>
      <c r="L103" s="235"/>
      <c r="M103" s="235" t="s">
        <v>239</v>
      </c>
      <c r="N103" s="236" t="s">
        <v>239</v>
      </c>
      <c r="Z103"/>
      <c r="AA103"/>
      <c r="AB103"/>
      <c r="AC103"/>
      <c r="AD103"/>
      <c r="AE103"/>
      <c r="AF103"/>
      <c r="AG103"/>
      <c r="AH103"/>
    </row>
    <row r="104" spans="2:34" s="27" customFormat="1" x14ac:dyDescent="0.25">
      <c r="B104" s="344">
        <v>22</v>
      </c>
      <c r="C104" s="312"/>
      <c r="D104" s="235"/>
      <c r="E104" s="235"/>
      <c r="F104" s="235"/>
      <c r="G104" s="235"/>
      <c r="H104" s="235"/>
      <c r="I104" s="235"/>
      <c r="J104" s="235" t="s">
        <v>241</v>
      </c>
      <c r="K104" s="235"/>
      <c r="L104" s="235"/>
      <c r="M104" s="235" t="s">
        <v>239</v>
      </c>
      <c r="N104" s="236" t="s">
        <v>239</v>
      </c>
      <c r="Z104"/>
      <c r="AA104"/>
      <c r="AB104"/>
      <c r="AC104"/>
      <c r="AD104"/>
      <c r="AE104"/>
      <c r="AF104"/>
      <c r="AG104"/>
      <c r="AH104"/>
    </row>
    <row r="105" spans="2:34" s="27" customFormat="1" x14ac:dyDescent="0.25">
      <c r="B105" s="344">
        <v>23</v>
      </c>
      <c r="C105" s="312"/>
      <c r="D105" s="235"/>
      <c r="E105" s="235"/>
      <c r="F105" s="235"/>
      <c r="G105" s="235"/>
      <c r="H105" s="235"/>
      <c r="I105" s="235"/>
      <c r="J105" s="235" t="s">
        <v>241</v>
      </c>
      <c r="K105" s="235"/>
      <c r="L105" s="235"/>
      <c r="M105" s="235" t="s">
        <v>239</v>
      </c>
      <c r="N105" s="236" t="s">
        <v>239</v>
      </c>
      <c r="Z105"/>
      <c r="AA105"/>
      <c r="AB105"/>
      <c r="AC105"/>
      <c r="AD105"/>
      <c r="AE105"/>
      <c r="AF105"/>
      <c r="AG105"/>
      <c r="AH105"/>
    </row>
    <row r="106" spans="2:34" s="27" customFormat="1" x14ac:dyDescent="0.25">
      <c r="B106" s="344">
        <v>24</v>
      </c>
      <c r="C106" s="312"/>
      <c r="D106" s="235"/>
      <c r="E106" s="235"/>
      <c r="F106" s="235"/>
      <c r="G106" s="235"/>
      <c r="H106" s="235"/>
      <c r="I106" s="235"/>
      <c r="J106" s="235" t="s">
        <v>241</v>
      </c>
      <c r="K106" s="235"/>
      <c r="L106" s="235"/>
      <c r="M106" s="235" t="s">
        <v>239</v>
      </c>
      <c r="N106" s="236" t="s">
        <v>239</v>
      </c>
      <c r="Z106"/>
      <c r="AA106"/>
      <c r="AB106"/>
      <c r="AC106"/>
      <c r="AD106"/>
      <c r="AE106"/>
      <c r="AF106"/>
      <c r="AG106"/>
      <c r="AH106"/>
    </row>
    <row r="107" spans="2:34" s="27" customFormat="1" x14ac:dyDescent="0.25">
      <c r="B107" s="344">
        <v>25</v>
      </c>
      <c r="C107" s="312"/>
      <c r="D107" s="235"/>
      <c r="E107" s="235"/>
      <c r="F107" s="235"/>
      <c r="G107" s="235"/>
      <c r="H107" s="235"/>
      <c r="I107" s="235"/>
      <c r="J107" s="235" t="s">
        <v>241</v>
      </c>
      <c r="K107" s="235"/>
      <c r="L107" s="235"/>
      <c r="M107" s="235" t="s">
        <v>239</v>
      </c>
      <c r="N107" s="236" t="s">
        <v>239</v>
      </c>
      <c r="Z107"/>
      <c r="AA107"/>
      <c r="AB107"/>
      <c r="AC107"/>
      <c r="AD107"/>
      <c r="AE107"/>
      <c r="AF107"/>
      <c r="AG107"/>
      <c r="AH107"/>
    </row>
    <row r="108" spans="2:34" s="27" customFormat="1" x14ac:dyDescent="0.25">
      <c r="B108" s="344">
        <v>26</v>
      </c>
      <c r="C108" s="312"/>
      <c r="D108" s="235"/>
      <c r="E108" s="235"/>
      <c r="F108" s="235"/>
      <c r="G108" s="235"/>
      <c r="H108" s="235"/>
      <c r="I108" s="235"/>
      <c r="J108" s="235" t="s">
        <v>241</v>
      </c>
      <c r="K108" s="235"/>
      <c r="L108" s="235"/>
      <c r="M108" s="235" t="s">
        <v>239</v>
      </c>
      <c r="N108" s="236" t="s">
        <v>239</v>
      </c>
      <c r="Z108"/>
      <c r="AA108"/>
      <c r="AB108"/>
      <c r="AC108"/>
      <c r="AD108"/>
      <c r="AE108"/>
      <c r="AF108"/>
      <c r="AG108"/>
      <c r="AH108"/>
    </row>
    <row r="109" spans="2:34" s="27" customFormat="1" x14ac:dyDescent="0.25">
      <c r="B109" s="344">
        <v>27</v>
      </c>
      <c r="C109" s="312"/>
      <c r="D109" s="235"/>
      <c r="E109" s="235"/>
      <c r="F109" s="235"/>
      <c r="G109" s="235"/>
      <c r="H109" s="235"/>
      <c r="I109" s="235"/>
      <c r="J109" s="235" t="s">
        <v>241</v>
      </c>
      <c r="K109" s="235"/>
      <c r="L109" s="235"/>
      <c r="M109" s="235" t="s">
        <v>239</v>
      </c>
      <c r="N109" s="236" t="s">
        <v>239</v>
      </c>
      <c r="Z109"/>
      <c r="AA109"/>
      <c r="AB109"/>
      <c r="AC109"/>
      <c r="AD109"/>
      <c r="AE109"/>
      <c r="AF109"/>
      <c r="AG109"/>
      <c r="AH109"/>
    </row>
    <row r="110" spans="2:34" s="27" customFormat="1" x14ac:dyDescent="0.25">
      <c r="B110" s="344">
        <v>28</v>
      </c>
      <c r="C110" s="312"/>
      <c r="D110" s="235"/>
      <c r="E110" s="235"/>
      <c r="F110" s="235"/>
      <c r="G110" s="235"/>
      <c r="H110" s="235"/>
      <c r="I110" s="235"/>
      <c r="J110" s="235" t="s">
        <v>241</v>
      </c>
      <c r="K110" s="235"/>
      <c r="L110" s="235"/>
      <c r="M110" s="235" t="s">
        <v>239</v>
      </c>
      <c r="N110" s="236" t="s">
        <v>239</v>
      </c>
      <c r="Z110"/>
      <c r="AA110"/>
      <c r="AB110"/>
      <c r="AC110"/>
      <c r="AD110"/>
      <c r="AE110"/>
      <c r="AF110"/>
      <c r="AG110"/>
      <c r="AH110"/>
    </row>
    <row r="111" spans="2:34" s="27" customFormat="1" x14ac:dyDescent="0.25">
      <c r="B111" s="344">
        <v>29</v>
      </c>
      <c r="C111" s="312"/>
      <c r="D111" s="235"/>
      <c r="E111" s="235"/>
      <c r="F111" s="235"/>
      <c r="G111" s="235"/>
      <c r="H111" s="235"/>
      <c r="I111" s="235"/>
      <c r="J111" s="235" t="s">
        <v>241</v>
      </c>
      <c r="K111" s="235"/>
      <c r="L111" s="235"/>
      <c r="M111" s="235" t="s">
        <v>239</v>
      </c>
      <c r="N111" s="236" t="s">
        <v>239</v>
      </c>
      <c r="Z111"/>
      <c r="AA111"/>
      <c r="AB111"/>
      <c r="AC111"/>
      <c r="AD111"/>
      <c r="AE111"/>
      <c r="AF111"/>
      <c r="AG111"/>
      <c r="AH111"/>
    </row>
    <row r="112" spans="2:34" s="27" customFormat="1" x14ac:dyDescent="0.25">
      <c r="B112" s="344">
        <v>30</v>
      </c>
      <c r="C112" s="312"/>
      <c r="D112" s="235"/>
      <c r="E112" s="235"/>
      <c r="F112" s="235"/>
      <c r="G112" s="235"/>
      <c r="H112" s="235"/>
      <c r="I112" s="235"/>
      <c r="J112" s="235" t="s">
        <v>241</v>
      </c>
      <c r="K112" s="235"/>
      <c r="L112" s="235"/>
      <c r="M112" s="235" t="s">
        <v>239</v>
      </c>
      <c r="N112" s="236" t="s">
        <v>239</v>
      </c>
      <c r="Z112"/>
      <c r="AA112"/>
      <c r="AB112"/>
      <c r="AC112"/>
      <c r="AD112"/>
      <c r="AE112"/>
      <c r="AF112"/>
      <c r="AG112"/>
      <c r="AH112"/>
    </row>
    <row r="113" spans="2:34" s="27" customFormat="1" x14ac:dyDescent="0.25">
      <c r="B113" s="344">
        <v>31</v>
      </c>
      <c r="C113" s="312"/>
      <c r="D113" s="235"/>
      <c r="E113" s="235"/>
      <c r="F113" s="235"/>
      <c r="G113" s="235"/>
      <c r="H113" s="235"/>
      <c r="I113" s="235"/>
      <c r="J113" s="235" t="s">
        <v>241</v>
      </c>
      <c r="K113" s="235"/>
      <c r="L113" s="235"/>
      <c r="M113" s="235" t="s">
        <v>239</v>
      </c>
      <c r="N113" s="236" t="s">
        <v>239</v>
      </c>
      <c r="Z113"/>
      <c r="AA113"/>
      <c r="AB113"/>
      <c r="AC113"/>
      <c r="AD113"/>
      <c r="AE113"/>
      <c r="AF113"/>
      <c r="AG113"/>
      <c r="AH113"/>
    </row>
    <row r="114" spans="2:34" s="27" customFormat="1" x14ac:dyDescent="0.25">
      <c r="B114" s="344">
        <v>32</v>
      </c>
      <c r="C114" s="312"/>
      <c r="D114" s="235"/>
      <c r="E114" s="235"/>
      <c r="F114" s="235"/>
      <c r="G114" s="235"/>
      <c r="H114" s="235"/>
      <c r="I114" s="235"/>
      <c r="J114" s="235" t="s">
        <v>241</v>
      </c>
      <c r="K114" s="235"/>
      <c r="L114" s="235"/>
      <c r="M114" s="235" t="s">
        <v>239</v>
      </c>
      <c r="N114" s="236" t="s">
        <v>239</v>
      </c>
      <c r="Z114"/>
      <c r="AA114"/>
      <c r="AB114"/>
      <c r="AC114"/>
      <c r="AD114"/>
      <c r="AE114"/>
      <c r="AF114"/>
      <c r="AG114"/>
      <c r="AH114"/>
    </row>
    <row r="115" spans="2:34" s="27" customFormat="1" x14ac:dyDescent="0.25">
      <c r="B115" s="344">
        <v>33</v>
      </c>
      <c r="C115" s="312"/>
      <c r="D115" s="235"/>
      <c r="E115" s="235"/>
      <c r="F115" s="235"/>
      <c r="G115" s="235"/>
      <c r="H115" s="235"/>
      <c r="I115" s="235"/>
      <c r="J115" s="235" t="s">
        <v>241</v>
      </c>
      <c r="K115" s="235"/>
      <c r="L115" s="235"/>
      <c r="M115" s="235" t="s">
        <v>239</v>
      </c>
      <c r="N115" s="236" t="s">
        <v>239</v>
      </c>
      <c r="Z115"/>
      <c r="AA115"/>
      <c r="AB115"/>
      <c r="AC115"/>
      <c r="AD115"/>
      <c r="AE115"/>
      <c r="AF115"/>
      <c r="AG115"/>
      <c r="AH115"/>
    </row>
    <row r="116" spans="2:34" s="27" customFormat="1" x14ac:dyDescent="0.25">
      <c r="B116" s="344">
        <v>34</v>
      </c>
      <c r="C116" s="312"/>
      <c r="D116" s="235"/>
      <c r="E116" s="235"/>
      <c r="F116" s="235"/>
      <c r="G116" s="235"/>
      <c r="H116" s="235"/>
      <c r="I116" s="235"/>
      <c r="J116" s="235" t="s">
        <v>241</v>
      </c>
      <c r="K116" s="235"/>
      <c r="L116" s="235"/>
      <c r="M116" s="235"/>
      <c r="N116" s="236" t="s">
        <v>239</v>
      </c>
      <c r="Z116"/>
      <c r="AA116"/>
      <c r="AB116"/>
      <c r="AC116"/>
      <c r="AD116"/>
      <c r="AE116"/>
      <c r="AF116"/>
      <c r="AG116"/>
      <c r="AH116"/>
    </row>
    <row r="117" spans="2:34" s="27" customFormat="1" x14ac:dyDescent="0.25">
      <c r="B117" s="344">
        <v>35</v>
      </c>
      <c r="C117" s="312"/>
      <c r="D117" s="235"/>
      <c r="E117" s="235"/>
      <c r="F117" s="235"/>
      <c r="G117" s="235"/>
      <c r="H117" s="235"/>
      <c r="I117" s="235"/>
      <c r="J117" s="235" t="s">
        <v>241</v>
      </c>
      <c r="K117" s="235"/>
      <c r="L117" s="235"/>
      <c r="M117" s="235"/>
      <c r="N117" s="236" t="s">
        <v>239</v>
      </c>
      <c r="Z117"/>
      <c r="AA117"/>
      <c r="AB117"/>
      <c r="AC117"/>
      <c r="AD117"/>
      <c r="AE117"/>
      <c r="AF117"/>
      <c r="AG117"/>
      <c r="AH117"/>
    </row>
    <row r="118" spans="2:34" s="27" customFormat="1" ht="15.75" thickBot="1" x14ac:dyDescent="0.3">
      <c r="B118" s="107">
        <v>36</v>
      </c>
      <c r="C118" s="313"/>
      <c r="D118" s="237"/>
      <c r="E118" s="237"/>
      <c r="F118" s="237"/>
      <c r="G118" s="237"/>
      <c r="H118" s="237"/>
      <c r="I118" s="237"/>
      <c r="J118" s="237" t="s">
        <v>241</v>
      </c>
      <c r="K118" s="237"/>
      <c r="L118" s="237"/>
      <c r="M118" s="237"/>
      <c r="N118" s="238" t="s">
        <v>239</v>
      </c>
      <c r="Z118"/>
      <c r="AA118"/>
      <c r="AB118"/>
      <c r="AC118"/>
      <c r="AD118"/>
      <c r="AE118"/>
      <c r="AF118"/>
      <c r="AG118"/>
      <c r="AH118"/>
    </row>
    <row r="119" spans="2:34" s="27" customFormat="1" ht="15.75" thickBot="1" x14ac:dyDescent="0.3">
      <c r="B119" s="26"/>
      <c r="C119" s="126"/>
      <c r="D119" s="126"/>
      <c r="E119" s="126"/>
      <c r="F119" s="126"/>
      <c r="G119" s="126"/>
      <c r="H119" s="126"/>
      <c r="I119" s="126"/>
      <c r="J119" s="126"/>
      <c r="K119" s="126"/>
      <c r="L119" s="126"/>
      <c r="M119" s="126"/>
      <c r="Z119"/>
      <c r="AA119"/>
      <c r="AB119"/>
      <c r="AC119"/>
      <c r="AD119"/>
      <c r="AE119"/>
      <c r="AF119"/>
      <c r="AG119"/>
      <c r="AH119"/>
    </row>
    <row r="120" spans="2:34" s="42" customFormat="1" ht="15.75" thickBot="1" x14ac:dyDescent="0.3">
      <c r="B120" s="327" t="s">
        <v>1554</v>
      </c>
      <c r="C120" s="328" t="s">
        <v>63</v>
      </c>
      <c r="D120" s="329" t="s">
        <v>64</v>
      </c>
      <c r="E120" s="329" t="s">
        <v>65</v>
      </c>
      <c r="F120" s="329" t="s">
        <v>66</v>
      </c>
      <c r="G120" s="329" t="s">
        <v>67</v>
      </c>
      <c r="H120" s="329" t="s">
        <v>68</v>
      </c>
      <c r="I120" s="329" t="s">
        <v>247</v>
      </c>
      <c r="J120" s="329" t="s">
        <v>69</v>
      </c>
      <c r="K120" s="329" t="s">
        <v>70</v>
      </c>
      <c r="L120" s="329" t="s">
        <v>333</v>
      </c>
      <c r="M120" s="330" t="s">
        <v>334</v>
      </c>
      <c r="Z120" s="26"/>
      <c r="AA120" s="26"/>
      <c r="AB120" s="26"/>
      <c r="AC120" s="26"/>
      <c r="AD120" s="26"/>
      <c r="AE120" s="26"/>
      <c r="AF120" s="26"/>
      <c r="AG120" s="26"/>
      <c r="AH120" s="26"/>
    </row>
    <row r="121" spans="2:34" s="27" customFormat="1" x14ac:dyDescent="0.25">
      <c r="B121" s="331">
        <v>1</v>
      </c>
      <c r="C121" s="332" t="s">
        <v>364</v>
      </c>
      <c r="D121" s="333" t="s">
        <v>364</v>
      </c>
      <c r="E121" s="333" t="s">
        <v>364</v>
      </c>
      <c r="F121" s="333" t="s">
        <v>364</v>
      </c>
      <c r="G121" s="333" t="s">
        <v>364</v>
      </c>
      <c r="H121" s="333" t="s">
        <v>364</v>
      </c>
      <c r="I121" s="333" t="s">
        <v>364</v>
      </c>
      <c r="J121" s="333" t="s">
        <v>365</v>
      </c>
      <c r="K121" s="333" t="s">
        <v>365</v>
      </c>
      <c r="L121" s="333" t="s">
        <v>364</v>
      </c>
      <c r="M121" s="334" t="s">
        <v>364</v>
      </c>
      <c r="Z121"/>
      <c r="AA121"/>
      <c r="AB121"/>
      <c r="AC121"/>
      <c r="AD121"/>
      <c r="AE121"/>
      <c r="AF121"/>
      <c r="AG121"/>
      <c r="AH121"/>
    </row>
    <row r="122" spans="2:34" s="27" customFormat="1" x14ac:dyDescent="0.25">
      <c r="B122" s="335">
        <v>2</v>
      </c>
      <c r="C122" s="336" t="s">
        <v>364</v>
      </c>
      <c r="D122" s="337" t="s">
        <v>364</v>
      </c>
      <c r="E122" s="337" t="s">
        <v>364</v>
      </c>
      <c r="F122" s="337" t="s">
        <v>364</v>
      </c>
      <c r="G122" s="337" t="s">
        <v>364</v>
      </c>
      <c r="H122" s="337" t="s">
        <v>364</v>
      </c>
      <c r="I122" s="337" t="s">
        <v>364</v>
      </c>
      <c r="J122" s="337" t="s">
        <v>365</v>
      </c>
      <c r="K122" s="337" t="s">
        <v>365</v>
      </c>
      <c r="L122" s="337" t="s">
        <v>364</v>
      </c>
      <c r="M122" s="338" t="s">
        <v>364</v>
      </c>
      <c r="Z122"/>
      <c r="AA122"/>
      <c r="AB122"/>
      <c r="AC122"/>
      <c r="AD122"/>
      <c r="AE122"/>
      <c r="AF122"/>
      <c r="AG122"/>
      <c r="AH122"/>
    </row>
    <row r="123" spans="2:34" s="27" customFormat="1" x14ac:dyDescent="0.25">
      <c r="B123" s="335">
        <v>3</v>
      </c>
      <c r="C123" s="336" t="s">
        <v>364</v>
      </c>
      <c r="D123" s="337" t="s">
        <v>364</v>
      </c>
      <c r="E123" s="337" t="s">
        <v>364</v>
      </c>
      <c r="F123" s="337" t="s">
        <v>364</v>
      </c>
      <c r="G123" s="337" t="s">
        <v>364</v>
      </c>
      <c r="H123" s="337" t="s">
        <v>364</v>
      </c>
      <c r="I123" s="337" t="s">
        <v>364</v>
      </c>
      <c r="J123" s="337" t="s">
        <v>365</v>
      </c>
      <c r="K123" s="337" t="s">
        <v>365</v>
      </c>
      <c r="L123" s="337" t="s">
        <v>364</v>
      </c>
      <c r="M123" s="338" t="s">
        <v>364</v>
      </c>
      <c r="Z123"/>
      <c r="AA123"/>
      <c r="AB123"/>
      <c r="AC123"/>
      <c r="AD123"/>
      <c r="AE123"/>
      <c r="AF123"/>
      <c r="AG123"/>
      <c r="AH123"/>
    </row>
    <row r="124" spans="2:34" s="27" customFormat="1" x14ac:dyDescent="0.25">
      <c r="B124" s="335">
        <v>4</v>
      </c>
      <c r="C124" s="336" t="s">
        <v>364</v>
      </c>
      <c r="D124" s="337" t="s">
        <v>364</v>
      </c>
      <c r="E124" s="337" t="s">
        <v>364</v>
      </c>
      <c r="F124" s="337" t="s">
        <v>364</v>
      </c>
      <c r="G124" s="337" t="s">
        <v>364</v>
      </c>
      <c r="H124" s="337" t="s">
        <v>364</v>
      </c>
      <c r="I124" s="337" t="s">
        <v>364</v>
      </c>
      <c r="J124" s="337" t="s">
        <v>365</v>
      </c>
      <c r="K124" s="337" t="s">
        <v>365</v>
      </c>
      <c r="L124" s="337" t="s">
        <v>364</v>
      </c>
      <c r="M124" s="338" t="s">
        <v>364</v>
      </c>
      <c r="Z124"/>
      <c r="AA124"/>
      <c r="AB124"/>
      <c r="AC124"/>
      <c r="AD124"/>
      <c r="AE124"/>
      <c r="AF124"/>
      <c r="AG124"/>
      <c r="AH124"/>
    </row>
    <row r="125" spans="2:34" s="27" customFormat="1" x14ac:dyDescent="0.25">
      <c r="B125" s="335">
        <v>5</v>
      </c>
      <c r="C125" s="336" t="s">
        <v>364</v>
      </c>
      <c r="D125" s="337" t="s">
        <v>364</v>
      </c>
      <c r="E125" s="337" t="s">
        <v>364</v>
      </c>
      <c r="F125" s="337" t="s">
        <v>364</v>
      </c>
      <c r="G125" s="337" t="s">
        <v>364</v>
      </c>
      <c r="H125" s="337" t="s">
        <v>364</v>
      </c>
      <c r="I125" s="337" t="s">
        <v>364</v>
      </c>
      <c r="J125" s="337" t="s">
        <v>365</v>
      </c>
      <c r="K125" s="337" t="s">
        <v>365</v>
      </c>
      <c r="L125" s="337" t="s">
        <v>364</v>
      </c>
      <c r="M125" s="338" t="s">
        <v>364</v>
      </c>
      <c r="Z125"/>
      <c r="AA125"/>
      <c r="AB125"/>
      <c r="AC125"/>
      <c r="AD125"/>
      <c r="AE125"/>
      <c r="AF125"/>
      <c r="AG125"/>
      <c r="AH125"/>
    </row>
    <row r="126" spans="2:34" s="27" customFormat="1" x14ac:dyDescent="0.25">
      <c r="B126" s="335">
        <v>6</v>
      </c>
      <c r="C126" s="336" t="s">
        <v>364</v>
      </c>
      <c r="D126" s="337" t="s">
        <v>364</v>
      </c>
      <c r="E126" s="337" t="s">
        <v>364</v>
      </c>
      <c r="F126" s="337" t="s">
        <v>364</v>
      </c>
      <c r="G126" s="337" t="s">
        <v>364</v>
      </c>
      <c r="H126" s="337" t="s">
        <v>364</v>
      </c>
      <c r="I126" s="337" t="s">
        <v>364</v>
      </c>
      <c r="J126" s="337" t="s">
        <v>365</v>
      </c>
      <c r="K126" s="337" t="s">
        <v>365</v>
      </c>
      <c r="L126" s="337" t="s">
        <v>364</v>
      </c>
      <c r="M126" s="338" t="s">
        <v>364</v>
      </c>
      <c r="Z126"/>
      <c r="AA126"/>
      <c r="AB126"/>
      <c r="AC126"/>
      <c r="AD126"/>
      <c r="AE126"/>
      <c r="AF126"/>
      <c r="AG126"/>
      <c r="AH126"/>
    </row>
    <row r="127" spans="2:34" s="27" customFormat="1" x14ac:dyDescent="0.25">
      <c r="B127" s="335">
        <v>7</v>
      </c>
      <c r="C127" s="336" t="s">
        <v>364</v>
      </c>
      <c r="D127" s="337" t="s">
        <v>364</v>
      </c>
      <c r="E127" s="337" t="s">
        <v>364</v>
      </c>
      <c r="F127" s="337" t="s">
        <v>364</v>
      </c>
      <c r="G127" s="337" t="s">
        <v>364</v>
      </c>
      <c r="H127" s="337" t="s">
        <v>364</v>
      </c>
      <c r="I127" s="337" t="s">
        <v>364</v>
      </c>
      <c r="J127" s="337" t="s">
        <v>365</v>
      </c>
      <c r="K127" s="337" t="s">
        <v>365</v>
      </c>
      <c r="L127" s="337" t="s">
        <v>364</v>
      </c>
      <c r="M127" s="338" t="s">
        <v>365</v>
      </c>
      <c r="Z127"/>
      <c r="AA127"/>
      <c r="AB127"/>
      <c r="AC127"/>
      <c r="AD127"/>
      <c r="AE127"/>
      <c r="AF127"/>
      <c r="AG127"/>
      <c r="AH127"/>
    </row>
    <row r="128" spans="2:34" s="27" customFormat="1" x14ac:dyDescent="0.25">
      <c r="B128" s="335">
        <v>8</v>
      </c>
      <c r="C128" s="336" t="s">
        <v>364</v>
      </c>
      <c r="D128" s="337" t="s">
        <v>364</v>
      </c>
      <c r="E128" s="337" t="s">
        <v>364</v>
      </c>
      <c r="F128" s="337" t="s">
        <v>364</v>
      </c>
      <c r="G128" s="337" t="s">
        <v>364</v>
      </c>
      <c r="H128" s="337" t="s">
        <v>364</v>
      </c>
      <c r="I128" s="337" t="s">
        <v>364</v>
      </c>
      <c r="J128" s="337" t="s">
        <v>365</v>
      </c>
      <c r="K128" s="337" t="s">
        <v>365</v>
      </c>
      <c r="L128" s="337" t="s">
        <v>364</v>
      </c>
      <c r="M128" s="338" t="s">
        <v>365</v>
      </c>
      <c r="Z128"/>
      <c r="AA128"/>
      <c r="AB128"/>
      <c r="AC128"/>
      <c r="AD128"/>
      <c r="AE128"/>
      <c r="AF128"/>
      <c r="AG128"/>
      <c r="AH128"/>
    </row>
    <row r="129" spans="2:34" s="27" customFormat="1" x14ac:dyDescent="0.25">
      <c r="B129" s="335">
        <v>9</v>
      </c>
      <c r="C129" s="336" t="s">
        <v>364</v>
      </c>
      <c r="D129" s="337" t="s">
        <v>364</v>
      </c>
      <c r="E129" s="337" t="s">
        <v>364</v>
      </c>
      <c r="F129" s="337" t="s">
        <v>364</v>
      </c>
      <c r="G129" s="337" t="s">
        <v>364</v>
      </c>
      <c r="H129" s="337" t="s">
        <v>364</v>
      </c>
      <c r="I129" s="337" t="s">
        <v>364</v>
      </c>
      <c r="J129" s="337" t="s">
        <v>365</v>
      </c>
      <c r="K129" s="337" t="s">
        <v>365</v>
      </c>
      <c r="L129" s="337" t="s">
        <v>364</v>
      </c>
      <c r="M129" s="338" t="s">
        <v>365</v>
      </c>
      <c r="Z129"/>
      <c r="AA129"/>
      <c r="AB129"/>
      <c r="AC129"/>
      <c r="AD129"/>
      <c r="AE129"/>
      <c r="AF129"/>
      <c r="AG129"/>
      <c r="AH129"/>
    </row>
    <row r="130" spans="2:34" s="27" customFormat="1" x14ac:dyDescent="0.25">
      <c r="B130" s="335">
        <v>10</v>
      </c>
      <c r="C130" s="336" t="s">
        <v>364</v>
      </c>
      <c r="D130" s="337" t="s">
        <v>364</v>
      </c>
      <c r="E130" s="337" t="s">
        <v>364</v>
      </c>
      <c r="F130" s="337" t="s">
        <v>364</v>
      </c>
      <c r="G130" s="337" t="s">
        <v>364</v>
      </c>
      <c r="H130" s="337" t="s">
        <v>364</v>
      </c>
      <c r="I130" s="337" t="s">
        <v>364</v>
      </c>
      <c r="J130" s="337" t="s">
        <v>365</v>
      </c>
      <c r="K130" s="337" t="s">
        <v>365</v>
      </c>
      <c r="L130" s="337" t="s">
        <v>364</v>
      </c>
      <c r="M130" s="338" t="s">
        <v>365</v>
      </c>
      <c r="Z130"/>
      <c r="AA130"/>
      <c r="AB130"/>
      <c r="AC130"/>
      <c r="AD130"/>
      <c r="AE130"/>
      <c r="AF130"/>
      <c r="AG130"/>
      <c r="AH130"/>
    </row>
    <row r="131" spans="2:34" s="27" customFormat="1" x14ac:dyDescent="0.25">
      <c r="B131" s="335">
        <v>11</v>
      </c>
      <c r="C131" s="336" t="s">
        <v>364</v>
      </c>
      <c r="D131" s="337" t="s">
        <v>364</v>
      </c>
      <c r="E131" s="337" t="s">
        <v>364</v>
      </c>
      <c r="F131" s="337" t="s">
        <v>364</v>
      </c>
      <c r="G131" s="337" t="s">
        <v>364</v>
      </c>
      <c r="H131" s="337" t="s">
        <v>364</v>
      </c>
      <c r="I131" s="337" t="s">
        <v>364</v>
      </c>
      <c r="J131" s="337" t="s">
        <v>365</v>
      </c>
      <c r="K131" s="337" t="s">
        <v>365</v>
      </c>
      <c r="L131" s="337" t="s">
        <v>364</v>
      </c>
      <c r="M131" s="338" t="s">
        <v>365</v>
      </c>
      <c r="Z131"/>
      <c r="AA131"/>
      <c r="AB131"/>
      <c r="AC131"/>
      <c r="AD131"/>
      <c r="AE131"/>
      <c r="AF131"/>
      <c r="AG131"/>
      <c r="AH131"/>
    </row>
    <row r="132" spans="2:34" s="27" customFormat="1" x14ac:dyDescent="0.25">
      <c r="B132" s="335">
        <v>12</v>
      </c>
      <c r="C132" s="336" t="s">
        <v>364</v>
      </c>
      <c r="D132" s="337" t="s">
        <v>364</v>
      </c>
      <c r="E132" s="337" t="s">
        <v>364</v>
      </c>
      <c r="F132" s="337" t="s">
        <v>364</v>
      </c>
      <c r="G132" s="337" t="s">
        <v>364</v>
      </c>
      <c r="H132" s="337" t="s">
        <v>364</v>
      </c>
      <c r="I132" s="337" t="s">
        <v>364</v>
      </c>
      <c r="J132" s="337" t="s">
        <v>365</v>
      </c>
      <c r="K132" s="337" t="s">
        <v>365</v>
      </c>
      <c r="L132" s="337" t="s">
        <v>364</v>
      </c>
      <c r="M132" s="338" t="s">
        <v>365</v>
      </c>
      <c r="Z132"/>
      <c r="AA132"/>
      <c r="AB132"/>
      <c r="AC132"/>
      <c r="AD132"/>
      <c r="AE132"/>
      <c r="AF132"/>
      <c r="AG132"/>
      <c r="AH132"/>
    </row>
    <row r="133" spans="2:34" s="27" customFormat="1" x14ac:dyDescent="0.25">
      <c r="B133" s="335">
        <v>13</v>
      </c>
      <c r="C133" s="336" t="s">
        <v>364</v>
      </c>
      <c r="D133" s="337" t="s">
        <v>364</v>
      </c>
      <c r="E133" s="337" t="s">
        <v>364</v>
      </c>
      <c r="F133" s="337" t="s">
        <v>364</v>
      </c>
      <c r="G133" s="337" t="s">
        <v>364</v>
      </c>
      <c r="H133" s="337" t="s">
        <v>364</v>
      </c>
      <c r="I133" s="337" t="s">
        <v>364</v>
      </c>
      <c r="J133" s="337" t="s">
        <v>365</v>
      </c>
      <c r="K133" s="337" t="s">
        <v>365</v>
      </c>
      <c r="L133" s="337" t="s">
        <v>364</v>
      </c>
      <c r="M133" s="338" t="s">
        <v>365</v>
      </c>
      <c r="Z133"/>
      <c r="AA133"/>
      <c r="AB133"/>
      <c r="AC133"/>
      <c r="AD133"/>
      <c r="AE133"/>
      <c r="AF133"/>
      <c r="AG133"/>
      <c r="AH133"/>
    </row>
    <row r="134" spans="2:34" s="27" customFormat="1" x14ac:dyDescent="0.25">
      <c r="B134" s="335">
        <v>14</v>
      </c>
      <c r="C134" s="336" t="s">
        <v>364</v>
      </c>
      <c r="D134" s="337" t="s">
        <v>364</v>
      </c>
      <c r="E134" s="337" t="s">
        <v>364</v>
      </c>
      <c r="F134" s="337" t="s">
        <v>364</v>
      </c>
      <c r="G134" s="337" t="s">
        <v>364</v>
      </c>
      <c r="H134" s="337" t="s">
        <v>364</v>
      </c>
      <c r="I134" s="337" t="s">
        <v>364</v>
      </c>
      <c r="J134" s="337" t="s">
        <v>365</v>
      </c>
      <c r="K134" s="337" t="s">
        <v>365</v>
      </c>
      <c r="L134" s="337" t="s">
        <v>364</v>
      </c>
      <c r="M134" s="338" t="s">
        <v>365</v>
      </c>
      <c r="Z134"/>
      <c r="AA134"/>
      <c r="AB134"/>
      <c r="AC134"/>
      <c r="AD134"/>
      <c r="AE134"/>
      <c r="AF134"/>
      <c r="AG134"/>
      <c r="AH134"/>
    </row>
    <row r="135" spans="2:34" s="27" customFormat="1" x14ac:dyDescent="0.25">
      <c r="B135" s="335">
        <v>15</v>
      </c>
      <c r="C135" s="336" t="s">
        <v>364</v>
      </c>
      <c r="D135" s="337" t="s">
        <v>364</v>
      </c>
      <c r="E135" s="337" t="s">
        <v>364</v>
      </c>
      <c r="F135" s="337" t="s">
        <v>364</v>
      </c>
      <c r="G135" s="337" t="s">
        <v>364</v>
      </c>
      <c r="H135" s="337" t="s">
        <v>364</v>
      </c>
      <c r="I135" s="337" t="s">
        <v>364</v>
      </c>
      <c r="J135" s="337" t="s">
        <v>365</v>
      </c>
      <c r="K135" s="337" t="s">
        <v>365</v>
      </c>
      <c r="L135" s="337" t="s">
        <v>364</v>
      </c>
      <c r="M135" s="338" t="s">
        <v>365</v>
      </c>
      <c r="Z135"/>
      <c r="AA135"/>
      <c r="AB135"/>
      <c r="AC135"/>
      <c r="AD135"/>
      <c r="AE135"/>
      <c r="AF135"/>
      <c r="AG135"/>
      <c r="AH135"/>
    </row>
    <row r="136" spans="2:34" s="27" customFormat="1" x14ac:dyDescent="0.25">
      <c r="B136" s="335">
        <v>16</v>
      </c>
      <c r="C136" s="336" t="s">
        <v>364</v>
      </c>
      <c r="D136" s="337" t="s">
        <v>364</v>
      </c>
      <c r="E136" s="337" t="s">
        <v>364</v>
      </c>
      <c r="F136" s="337" t="s">
        <v>364</v>
      </c>
      <c r="G136" s="337" t="s">
        <v>364</v>
      </c>
      <c r="H136" s="337" t="s">
        <v>364</v>
      </c>
      <c r="I136" s="337" t="s">
        <v>364</v>
      </c>
      <c r="J136" s="337" t="s">
        <v>365</v>
      </c>
      <c r="K136" s="337" t="s">
        <v>365</v>
      </c>
      <c r="L136" s="337" t="s">
        <v>364</v>
      </c>
      <c r="M136" s="338" t="s">
        <v>365</v>
      </c>
      <c r="Z136"/>
      <c r="AA136"/>
      <c r="AB136"/>
      <c r="AC136"/>
      <c r="AD136"/>
      <c r="AE136"/>
      <c r="AF136"/>
      <c r="AG136"/>
      <c r="AH136"/>
    </row>
    <row r="137" spans="2:34" s="27" customFormat="1" x14ac:dyDescent="0.25">
      <c r="B137" s="335">
        <v>17</v>
      </c>
      <c r="C137" s="336" t="s">
        <v>364</v>
      </c>
      <c r="D137" s="337" t="s">
        <v>364</v>
      </c>
      <c r="E137" s="337" t="s">
        <v>364</v>
      </c>
      <c r="F137" s="337" t="s">
        <v>364</v>
      </c>
      <c r="G137" s="337" t="s">
        <v>364</v>
      </c>
      <c r="H137" s="337" t="s">
        <v>364</v>
      </c>
      <c r="I137" s="337" t="s">
        <v>364</v>
      </c>
      <c r="J137" s="337" t="s">
        <v>365</v>
      </c>
      <c r="K137" s="337" t="s">
        <v>365</v>
      </c>
      <c r="L137" s="337" t="s">
        <v>364</v>
      </c>
      <c r="M137" s="338" t="s">
        <v>365</v>
      </c>
      <c r="Z137"/>
      <c r="AA137"/>
      <c r="AB137"/>
      <c r="AC137"/>
      <c r="AD137"/>
      <c r="AE137"/>
      <c r="AF137"/>
      <c r="AG137"/>
      <c r="AH137"/>
    </row>
    <row r="138" spans="2:34" s="27" customFormat="1" x14ac:dyDescent="0.25">
      <c r="B138" s="335">
        <v>18</v>
      </c>
      <c r="C138" s="336" t="s">
        <v>364</v>
      </c>
      <c r="D138" s="337" t="s">
        <v>364</v>
      </c>
      <c r="E138" s="337" t="s">
        <v>364</v>
      </c>
      <c r="F138" s="337" t="s">
        <v>364</v>
      </c>
      <c r="G138" s="337" t="s">
        <v>364</v>
      </c>
      <c r="H138" s="337" t="s">
        <v>364</v>
      </c>
      <c r="I138" s="337" t="s">
        <v>364</v>
      </c>
      <c r="J138" s="337" t="s">
        <v>365</v>
      </c>
      <c r="K138" s="337" t="s">
        <v>365</v>
      </c>
      <c r="L138" s="337" t="s">
        <v>364</v>
      </c>
      <c r="M138" s="338" t="s">
        <v>365</v>
      </c>
      <c r="Z138"/>
      <c r="AA138"/>
      <c r="AB138"/>
      <c r="AC138"/>
      <c r="AD138"/>
      <c r="AE138"/>
      <c r="AF138"/>
      <c r="AG138"/>
      <c r="AH138"/>
    </row>
    <row r="139" spans="2:34" s="27" customFormat="1" x14ac:dyDescent="0.25">
      <c r="B139" s="335">
        <v>19</v>
      </c>
      <c r="C139" s="336" t="s">
        <v>364</v>
      </c>
      <c r="D139" s="337" t="s">
        <v>364</v>
      </c>
      <c r="E139" s="337" t="s">
        <v>364</v>
      </c>
      <c r="F139" s="337" t="s">
        <v>364</v>
      </c>
      <c r="G139" s="337" t="s">
        <v>364</v>
      </c>
      <c r="H139" s="337" t="s">
        <v>364</v>
      </c>
      <c r="I139" s="337" t="s">
        <v>364</v>
      </c>
      <c r="J139" s="337" t="s">
        <v>365</v>
      </c>
      <c r="K139" s="337" t="s">
        <v>365</v>
      </c>
      <c r="L139" s="337" t="s">
        <v>364</v>
      </c>
      <c r="M139" s="338" t="s">
        <v>365</v>
      </c>
      <c r="Z139"/>
      <c r="AA139"/>
      <c r="AB139"/>
      <c r="AC139"/>
      <c r="AD139"/>
      <c r="AE139"/>
      <c r="AF139"/>
      <c r="AG139"/>
      <c r="AH139"/>
    </row>
    <row r="140" spans="2:34" s="27" customFormat="1" x14ac:dyDescent="0.25">
      <c r="B140" s="335">
        <v>20</v>
      </c>
      <c r="C140" s="336" t="s">
        <v>364</v>
      </c>
      <c r="D140" s="337" t="s">
        <v>364</v>
      </c>
      <c r="E140" s="337" t="s">
        <v>364</v>
      </c>
      <c r="F140" s="337" t="s">
        <v>364</v>
      </c>
      <c r="G140" s="337" t="s">
        <v>364</v>
      </c>
      <c r="H140" s="337" t="s">
        <v>364</v>
      </c>
      <c r="I140" s="337" t="s">
        <v>364</v>
      </c>
      <c r="J140" s="337" t="s">
        <v>365</v>
      </c>
      <c r="K140" s="337" t="s">
        <v>365</v>
      </c>
      <c r="L140" s="337" t="s">
        <v>364</v>
      </c>
      <c r="M140" s="338" t="s">
        <v>365</v>
      </c>
      <c r="Z140"/>
      <c r="AA140"/>
      <c r="AB140"/>
      <c r="AC140"/>
      <c r="AD140"/>
      <c r="AE140"/>
      <c r="AF140"/>
      <c r="AG140"/>
      <c r="AH140"/>
    </row>
    <row r="141" spans="2:34" s="27" customFormat="1" x14ac:dyDescent="0.25">
      <c r="B141" s="335">
        <v>21</v>
      </c>
      <c r="C141" s="336" t="s">
        <v>364</v>
      </c>
      <c r="D141" s="337" t="s">
        <v>364</v>
      </c>
      <c r="E141" s="337" t="s">
        <v>364</v>
      </c>
      <c r="F141" s="337" t="s">
        <v>364</v>
      </c>
      <c r="G141" s="337" t="s">
        <v>364</v>
      </c>
      <c r="H141" s="337" t="s">
        <v>364</v>
      </c>
      <c r="I141" s="337" t="s">
        <v>364</v>
      </c>
      <c r="J141" s="337" t="s">
        <v>365</v>
      </c>
      <c r="K141" s="337" t="s">
        <v>365</v>
      </c>
      <c r="L141" s="337" t="s">
        <v>364</v>
      </c>
      <c r="M141" s="338" t="s">
        <v>365</v>
      </c>
      <c r="Z141"/>
      <c r="AA141"/>
      <c r="AB141"/>
      <c r="AC141"/>
      <c r="AD141"/>
      <c r="AE141"/>
      <c r="AF141"/>
      <c r="AG141"/>
      <c r="AH141"/>
    </row>
    <row r="142" spans="2:34" s="27" customFormat="1" x14ac:dyDescent="0.25">
      <c r="B142" s="335">
        <v>22</v>
      </c>
      <c r="C142" s="336" t="s">
        <v>364</v>
      </c>
      <c r="D142" s="337" t="s">
        <v>364</v>
      </c>
      <c r="E142" s="337" t="s">
        <v>364</v>
      </c>
      <c r="F142" s="337" t="s">
        <v>364</v>
      </c>
      <c r="G142" s="337" t="s">
        <v>364</v>
      </c>
      <c r="H142" s="337" t="s">
        <v>364</v>
      </c>
      <c r="I142" s="337" t="s">
        <v>364</v>
      </c>
      <c r="J142" s="337" t="s">
        <v>365</v>
      </c>
      <c r="K142" s="337" t="s">
        <v>365</v>
      </c>
      <c r="L142" s="337" t="s">
        <v>364</v>
      </c>
      <c r="M142" s="338" t="s">
        <v>365</v>
      </c>
      <c r="Z142"/>
      <c r="AA142"/>
      <c r="AB142"/>
      <c r="AC142"/>
      <c r="AD142"/>
      <c r="AE142"/>
      <c r="AF142"/>
      <c r="AG142"/>
      <c r="AH142"/>
    </row>
    <row r="143" spans="2:34" s="27" customFormat="1" x14ac:dyDescent="0.25">
      <c r="B143" s="335">
        <v>23</v>
      </c>
      <c r="C143" s="336" t="s">
        <v>364</v>
      </c>
      <c r="D143" s="337" t="s">
        <v>364</v>
      </c>
      <c r="E143" s="337" t="s">
        <v>364</v>
      </c>
      <c r="F143" s="337" t="s">
        <v>364</v>
      </c>
      <c r="G143" s="337" t="s">
        <v>364</v>
      </c>
      <c r="H143" s="337" t="s">
        <v>364</v>
      </c>
      <c r="I143" s="337" t="s">
        <v>364</v>
      </c>
      <c r="J143" s="337" t="s">
        <v>365</v>
      </c>
      <c r="K143" s="337" t="s">
        <v>365</v>
      </c>
      <c r="L143" s="337" t="s">
        <v>364</v>
      </c>
      <c r="M143" s="338" t="s">
        <v>365</v>
      </c>
      <c r="Z143"/>
      <c r="AA143"/>
      <c r="AB143"/>
      <c r="AC143"/>
      <c r="AD143"/>
      <c r="AE143"/>
      <c r="AF143"/>
      <c r="AG143"/>
      <c r="AH143"/>
    </row>
    <row r="144" spans="2:34" s="27" customFormat="1" x14ac:dyDescent="0.25">
      <c r="B144" s="335">
        <v>24</v>
      </c>
      <c r="C144" s="336" t="s">
        <v>364</v>
      </c>
      <c r="D144" s="337" t="s">
        <v>364</v>
      </c>
      <c r="E144" s="337" t="s">
        <v>364</v>
      </c>
      <c r="F144" s="337" t="s">
        <v>364</v>
      </c>
      <c r="G144" s="337" t="s">
        <v>364</v>
      </c>
      <c r="H144" s="337" t="s">
        <v>364</v>
      </c>
      <c r="I144" s="337" t="s">
        <v>364</v>
      </c>
      <c r="J144" s="337" t="s">
        <v>365</v>
      </c>
      <c r="K144" s="337" t="s">
        <v>365</v>
      </c>
      <c r="L144" s="337" t="s">
        <v>364</v>
      </c>
      <c r="M144" s="338" t="s">
        <v>365</v>
      </c>
      <c r="Z144"/>
      <c r="AA144"/>
      <c r="AB144"/>
      <c r="AC144"/>
      <c r="AD144"/>
      <c r="AE144"/>
      <c r="AF144"/>
      <c r="AG144"/>
      <c r="AH144"/>
    </row>
    <row r="145" spans="2:34" s="27" customFormat="1" x14ac:dyDescent="0.25">
      <c r="B145" s="335">
        <v>25</v>
      </c>
      <c r="C145" s="336" t="s">
        <v>364</v>
      </c>
      <c r="D145" s="337" t="s">
        <v>364</v>
      </c>
      <c r="E145" s="337" t="s">
        <v>364</v>
      </c>
      <c r="F145" s="337" t="s">
        <v>364</v>
      </c>
      <c r="G145" s="337" t="s">
        <v>364</v>
      </c>
      <c r="H145" s="337" t="s">
        <v>364</v>
      </c>
      <c r="I145" s="337" t="s">
        <v>364</v>
      </c>
      <c r="J145" s="337" t="s">
        <v>365</v>
      </c>
      <c r="K145" s="337" t="s">
        <v>365</v>
      </c>
      <c r="L145" s="337" t="s">
        <v>364</v>
      </c>
      <c r="M145" s="338" t="s">
        <v>365</v>
      </c>
      <c r="Z145"/>
      <c r="AA145"/>
      <c r="AB145"/>
      <c r="AC145"/>
      <c r="AD145"/>
      <c r="AE145"/>
      <c r="AF145"/>
      <c r="AG145"/>
      <c r="AH145"/>
    </row>
    <row r="146" spans="2:34" s="27" customFormat="1" x14ac:dyDescent="0.25">
      <c r="B146" s="335">
        <v>26</v>
      </c>
      <c r="C146" s="336" t="s">
        <v>364</v>
      </c>
      <c r="D146" s="337" t="s">
        <v>364</v>
      </c>
      <c r="E146" s="337" t="s">
        <v>364</v>
      </c>
      <c r="F146" s="337" t="s">
        <v>364</v>
      </c>
      <c r="G146" s="337" t="s">
        <v>364</v>
      </c>
      <c r="H146" s="337" t="s">
        <v>364</v>
      </c>
      <c r="I146" s="337" t="s">
        <v>364</v>
      </c>
      <c r="J146" s="337" t="s">
        <v>365</v>
      </c>
      <c r="K146" s="337" t="s">
        <v>365</v>
      </c>
      <c r="L146" s="337" t="s">
        <v>364</v>
      </c>
      <c r="M146" s="338" t="s">
        <v>365</v>
      </c>
      <c r="Z146"/>
      <c r="AA146"/>
      <c r="AB146"/>
      <c r="AC146"/>
      <c r="AD146"/>
      <c r="AE146"/>
      <c r="AF146"/>
      <c r="AG146"/>
      <c r="AH146"/>
    </row>
    <row r="147" spans="2:34" s="27" customFormat="1" x14ac:dyDescent="0.25">
      <c r="B147" s="335">
        <v>27</v>
      </c>
      <c r="C147" s="336" t="s">
        <v>364</v>
      </c>
      <c r="D147" s="337" t="s">
        <v>364</v>
      </c>
      <c r="E147" s="337" t="s">
        <v>364</v>
      </c>
      <c r="F147" s="337" t="s">
        <v>364</v>
      </c>
      <c r="G147" s="337" t="s">
        <v>364</v>
      </c>
      <c r="H147" s="337" t="s">
        <v>364</v>
      </c>
      <c r="I147" s="337" t="s">
        <v>364</v>
      </c>
      <c r="J147" s="337" t="s">
        <v>365</v>
      </c>
      <c r="K147" s="337" t="s">
        <v>365</v>
      </c>
      <c r="L147" s="337" t="s">
        <v>364</v>
      </c>
      <c r="M147" s="338" t="s">
        <v>365</v>
      </c>
      <c r="Z147"/>
      <c r="AA147"/>
      <c r="AB147"/>
      <c r="AC147"/>
      <c r="AD147"/>
      <c r="AE147"/>
      <c r="AF147"/>
      <c r="AG147"/>
      <c r="AH147"/>
    </row>
    <row r="148" spans="2:34" s="27" customFormat="1" x14ac:dyDescent="0.25">
      <c r="B148" s="335">
        <v>28</v>
      </c>
      <c r="C148" s="336" t="s">
        <v>364</v>
      </c>
      <c r="D148" s="337" t="s">
        <v>364</v>
      </c>
      <c r="E148" s="337" t="s">
        <v>364</v>
      </c>
      <c r="F148" s="337" t="s">
        <v>364</v>
      </c>
      <c r="G148" s="337" t="s">
        <v>364</v>
      </c>
      <c r="H148" s="337" t="s">
        <v>364</v>
      </c>
      <c r="I148" s="337" t="s">
        <v>364</v>
      </c>
      <c r="J148" s="337" t="s">
        <v>365</v>
      </c>
      <c r="K148" s="337" t="s">
        <v>365</v>
      </c>
      <c r="L148" s="337" t="s">
        <v>364</v>
      </c>
      <c r="M148" s="338" t="s">
        <v>365</v>
      </c>
      <c r="Z148"/>
      <c r="AA148"/>
      <c r="AB148"/>
      <c r="AC148"/>
      <c r="AD148"/>
      <c r="AE148"/>
      <c r="AF148"/>
      <c r="AG148"/>
      <c r="AH148"/>
    </row>
    <row r="149" spans="2:34" s="27" customFormat="1" x14ac:dyDescent="0.25">
      <c r="B149" s="335">
        <v>29</v>
      </c>
      <c r="C149" s="336" t="s">
        <v>364</v>
      </c>
      <c r="D149" s="337" t="s">
        <v>364</v>
      </c>
      <c r="E149" s="337" t="s">
        <v>364</v>
      </c>
      <c r="F149" s="337" t="s">
        <v>364</v>
      </c>
      <c r="G149" s="337" t="s">
        <v>364</v>
      </c>
      <c r="H149" s="337" t="s">
        <v>364</v>
      </c>
      <c r="I149" s="337" t="s">
        <v>364</v>
      </c>
      <c r="J149" s="337" t="s">
        <v>365</v>
      </c>
      <c r="K149" s="337" t="s">
        <v>365</v>
      </c>
      <c r="L149" s="337" t="s">
        <v>364</v>
      </c>
      <c r="M149" s="338" t="s">
        <v>365</v>
      </c>
      <c r="Z149"/>
      <c r="AA149"/>
      <c r="AB149"/>
      <c r="AC149"/>
      <c r="AD149"/>
      <c r="AE149"/>
      <c r="AF149"/>
      <c r="AG149"/>
      <c r="AH149"/>
    </row>
    <row r="150" spans="2:34" s="27" customFormat="1" x14ac:dyDescent="0.25">
      <c r="B150" s="335">
        <v>30</v>
      </c>
      <c r="C150" s="336" t="s">
        <v>364</v>
      </c>
      <c r="D150" s="337" t="s">
        <v>364</v>
      </c>
      <c r="E150" s="337" t="s">
        <v>364</v>
      </c>
      <c r="F150" s="337" t="s">
        <v>364</v>
      </c>
      <c r="G150" s="337" t="s">
        <v>364</v>
      </c>
      <c r="H150" s="337" t="s">
        <v>364</v>
      </c>
      <c r="I150" s="337" t="s">
        <v>364</v>
      </c>
      <c r="J150" s="337" t="s">
        <v>365</v>
      </c>
      <c r="K150" s="337" t="s">
        <v>365</v>
      </c>
      <c r="L150" s="337" t="s">
        <v>364</v>
      </c>
      <c r="M150" s="338" t="s">
        <v>365</v>
      </c>
      <c r="Z150"/>
      <c r="AA150"/>
      <c r="AB150"/>
      <c r="AC150"/>
      <c r="AD150"/>
      <c r="AE150"/>
      <c r="AF150"/>
      <c r="AG150"/>
      <c r="AH150"/>
    </row>
    <row r="151" spans="2:34" s="27" customFormat="1" x14ac:dyDescent="0.25">
      <c r="B151" s="335">
        <v>31</v>
      </c>
      <c r="C151" s="336" t="s">
        <v>364</v>
      </c>
      <c r="D151" s="337" t="s">
        <v>364</v>
      </c>
      <c r="E151" s="337" t="s">
        <v>364</v>
      </c>
      <c r="F151" s="337" t="s">
        <v>364</v>
      </c>
      <c r="G151" s="337" t="s">
        <v>364</v>
      </c>
      <c r="H151" s="337" t="s">
        <v>364</v>
      </c>
      <c r="I151" s="337" t="s">
        <v>364</v>
      </c>
      <c r="J151" s="337" t="s">
        <v>365</v>
      </c>
      <c r="K151" s="337" t="s">
        <v>365</v>
      </c>
      <c r="L151" s="337" t="s">
        <v>364</v>
      </c>
      <c r="M151" s="338" t="s">
        <v>365</v>
      </c>
      <c r="Z151"/>
      <c r="AA151"/>
      <c r="AB151"/>
      <c r="AC151"/>
      <c r="AD151"/>
      <c r="AE151"/>
      <c r="AF151"/>
      <c r="AG151"/>
      <c r="AH151"/>
    </row>
    <row r="152" spans="2:34" s="27" customFormat="1" x14ac:dyDescent="0.25">
      <c r="B152" s="335">
        <v>32</v>
      </c>
      <c r="C152" s="336" t="s">
        <v>364</v>
      </c>
      <c r="D152" s="337" t="s">
        <v>364</v>
      </c>
      <c r="E152" s="337" t="s">
        <v>364</v>
      </c>
      <c r="F152" s="337" t="s">
        <v>364</v>
      </c>
      <c r="G152" s="337" t="s">
        <v>364</v>
      </c>
      <c r="H152" s="337" t="s">
        <v>364</v>
      </c>
      <c r="I152" s="337" t="s">
        <v>364</v>
      </c>
      <c r="J152" s="337" t="s">
        <v>365</v>
      </c>
      <c r="K152" s="337" t="s">
        <v>365</v>
      </c>
      <c r="L152" s="337" t="s">
        <v>364</v>
      </c>
      <c r="M152" s="338" t="s">
        <v>365</v>
      </c>
      <c r="Z152"/>
      <c r="AA152"/>
      <c r="AB152"/>
      <c r="AC152"/>
      <c r="AD152"/>
      <c r="AE152"/>
      <c r="AF152"/>
      <c r="AG152"/>
      <c r="AH152"/>
    </row>
    <row r="153" spans="2:34" s="27" customFormat="1" x14ac:dyDescent="0.25">
      <c r="B153" s="335">
        <v>33</v>
      </c>
      <c r="C153" s="336" t="s">
        <v>364</v>
      </c>
      <c r="D153" s="337" t="s">
        <v>364</v>
      </c>
      <c r="E153" s="337" t="s">
        <v>364</v>
      </c>
      <c r="F153" s="337" t="s">
        <v>364</v>
      </c>
      <c r="G153" s="337" t="s">
        <v>364</v>
      </c>
      <c r="H153" s="337" t="s">
        <v>364</v>
      </c>
      <c r="I153" s="337" t="s">
        <v>364</v>
      </c>
      <c r="J153" s="337" t="s">
        <v>365</v>
      </c>
      <c r="K153" s="337" t="s">
        <v>365</v>
      </c>
      <c r="L153" s="337" t="s">
        <v>364</v>
      </c>
      <c r="M153" s="338" t="s">
        <v>365</v>
      </c>
      <c r="Z153"/>
      <c r="AA153"/>
      <c r="AB153"/>
      <c r="AC153"/>
      <c r="AD153"/>
      <c r="AE153"/>
      <c r="AF153"/>
      <c r="AG153"/>
      <c r="AH153"/>
    </row>
    <row r="154" spans="2:34" s="27" customFormat="1" x14ac:dyDescent="0.25">
      <c r="B154" s="335">
        <v>34</v>
      </c>
      <c r="C154" s="336" t="s">
        <v>364</v>
      </c>
      <c r="D154" s="337" t="s">
        <v>364</v>
      </c>
      <c r="E154" s="337" t="s">
        <v>364</v>
      </c>
      <c r="F154" s="337" t="s">
        <v>364</v>
      </c>
      <c r="G154" s="337" t="s">
        <v>364</v>
      </c>
      <c r="H154" s="337" t="s">
        <v>364</v>
      </c>
      <c r="I154" s="337" t="s">
        <v>364</v>
      </c>
      <c r="J154" s="337" t="s">
        <v>365</v>
      </c>
      <c r="K154" s="337" t="s">
        <v>365</v>
      </c>
      <c r="L154" s="337" t="s">
        <v>364</v>
      </c>
      <c r="M154" s="338" t="s">
        <v>365</v>
      </c>
      <c r="Z154"/>
      <c r="AA154"/>
      <c r="AB154"/>
      <c r="AC154"/>
      <c r="AD154"/>
      <c r="AE154"/>
      <c r="AF154"/>
      <c r="AG154"/>
      <c r="AH154"/>
    </row>
    <row r="155" spans="2:34" s="27" customFormat="1" x14ac:dyDescent="0.25">
      <c r="B155" s="335">
        <v>35</v>
      </c>
      <c r="C155" s="336" t="s">
        <v>364</v>
      </c>
      <c r="D155" s="337" t="s">
        <v>364</v>
      </c>
      <c r="E155" s="337" t="s">
        <v>364</v>
      </c>
      <c r="F155" s="337" t="s">
        <v>364</v>
      </c>
      <c r="G155" s="337" t="s">
        <v>364</v>
      </c>
      <c r="H155" s="337" t="s">
        <v>364</v>
      </c>
      <c r="I155" s="337" t="s">
        <v>364</v>
      </c>
      <c r="J155" s="337" t="s">
        <v>365</v>
      </c>
      <c r="K155" s="337" t="s">
        <v>365</v>
      </c>
      <c r="L155" s="337" t="s">
        <v>364</v>
      </c>
      <c r="M155" s="338" t="s">
        <v>365</v>
      </c>
      <c r="Z155"/>
      <c r="AA155"/>
      <c r="AB155"/>
      <c r="AC155"/>
      <c r="AD155"/>
      <c r="AE155"/>
      <c r="AF155"/>
      <c r="AG155"/>
      <c r="AH155"/>
    </row>
    <row r="156" spans="2:34" s="27" customFormat="1" ht="15.75" thickBot="1" x14ac:dyDescent="0.3">
      <c r="B156" s="339">
        <v>36</v>
      </c>
      <c r="C156" s="340" t="s">
        <v>364</v>
      </c>
      <c r="D156" s="341" t="s">
        <v>364</v>
      </c>
      <c r="E156" s="341" t="s">
        <v>364</v>
      </c>
      <c r="F156" s="341" t="s">
        <v>364</v>
      </c>
      <c r="G156" s="341" t="s">
        <v>364</v>
      </c>
      <c r="H156" s="341" t="s">
        <v>364</v>
      </c>
      <c r="I156" s="341" t="s">
        <v>364</v>
      </c>
      <c r="J156" s="341" t="s">
        <v>365</v>
      </c>
      <c r="K156" s="341" t="s">
        <v>365</v>
      </c>
      <c r="L156" s="341"/>
      <c r="M156" s="342" t="s">
        <v>365</v>
      </c>
      <c r="Z156"/>
      <c r="AA156"/>
      <c r="AB156"/>
      <c r="AC156"/>
      <c r="AD156"/>
      <c r="AE156"/>
      <c r="AF156"/>
      <c r="AG156"/>
      <c r="AH156"/>
    </row>
    <row r="157" spans="2:34" s="27" customFormat="1" x14ac:dyDescent="0.25">
      <c r="B157" s="26"/>
      <c r="C157" s="126"/>
      <c r="D157" s="126"/>
      <c r="E157" s="126"/>
      <c r="F157" s="126"/>
      <c r="G157" s="126"/>
      <c r="H157" s="126"/>
      <c r="I157" s="126"/>
      <c r="J157" s="126"/>
      <c r="K157" s="126"/>
      <c r="L157" s="126"/>
      <c r="M157" s="126"/>
      <c r="Z157"/>
      <c r="AA157"/>
      <c r="AB157"/>
      <c r="AC157"/>
      <c r="AD157"/>
      <c r="AE157"/>
      <c r="AF157"/>
      <c r="AG157"/>
      <c r="AH157"/>
    </row>
    <row r="158" spans="2:34" s="27" customFormat="1" ht="19.5" thickBot="1" x14ac:dyDescent="0.35">
      <c r="B158" s="121" t="s">
        <v>1567</v>
      </c>
      <c r="Z158"/>
      <c r="AA158"/>
      <c r="AB158"/>
      <c r="AC158"/>
      <c r="AD158"/>
      <c r="AE158"/>
      <c r="AF158"/>
      <c r="AG158"/>
      <c r="AH158"/>
    </row>
    <row r="159" spans="2:34" s="42" customFormat="1" ht="15.75" thickBot="1" x14ac:dyDescent="0.3">
      <c r="B159" s="243" t="s">
        <v>366</v>
      </c>
      <c r="C159" s="242" t="s">
        <v>63</v>
      </c>
      <c r="D159" s="138" t="s">
        <v>64</v>
      </c>
      <c r="E159" s="138" t="s">
        <v>65</v>
      </c>
      <c r="F159" s="138" t="s">
        <v>66</v>
      </c>
      <c r="G159" s="138" t="s">
        <v>67</v>
      </c>
      <c r="H159" s="138" t="s">
        <v>68</v>
      </c>
      <c r="I159" s="138" t="s">
        <v>247</v>
      </c>
      <c r="J159" s="138" t="s">
        <v>69</v>
      </c>
      <c r="K159" s="138" t="s">
        <v>70</v>
      </c>
      <c r="L159" s="138" t="s">
        <v>333</v>
      </c>
      <c r="M159" s="138" t="s">
        <v>334</v>
      </c>
      <c r="N159" s="138" t="s">
        <v>1568</v>
      </c>
      <c r="O159" s="138" t="s">
        <v>1625</v>
      </c>
      <c r="P159" s="139" t="s">
        <v>1569</v>
      </c>
    </row>
    <row r="160" spans="2:34" s="27" customFormat="1" x14ac:dyDescent="0.25">
      <c r="B160" s="398">
        <v>1</v>
      </c>
      <c r="C160" s="397">
        <v>10</v>
      </c>
      <c r="D160" s="133">
        <f t="shared" ref="D160:D182" si="0">C160</f>
        <v>10</v>
      </c>
      <c r="E160" s="133">
        <v>14</v>
      </c>
      <c r="F160" s="133">
        <f t="shared" ref="F160:F195" si="1">E160-2</f>
        <v>12</v>
      </c>
      <c r="G160" s="133">
        <v>14</v>
      </c>
      <c r="H160" s="133">
        <v>14</v>
      </c>
      <c r="I160" s="133">
        <f t="shared" ref="I160:I195" si="2">H160</f>
        <v>14</v>
      </c>
      <c r="J160" s="133">
        <v>13</v>
      </c>
      <c r="K160" s="133">
        <f t="shared" ref="K160:K174" si="3">J160</f>
        <v>13</v>
      </c>
      <c r="L160" s="133">
        <f t="shared" ref="L160:L176" si="4">J160</f>
        <v>13</v>
      </c>
      <c r="M160" s="133">
        <f t="shared" ref="M160:M165" si="5">E160</f>
        <v>14</v>
      </c>
      <c r="N160" s="133">
        <v>14</v>
      </c>
      <c r="O160" s="133">
        <v>14</v>
      </c>
      <c r="P160" s="133">
        <v>13</v>
      </c>
      <c r="Y160"/>
      <c r="Z160"/>
      <c r="AA160"/>
      <c r="AB160"/>
      <c r="AC160"/>
      <c r="AD160"/>
      <c r="AE160"/>
      <c r="AF160"/>
      <c r="AG160"/>
    </row>
    <row r="161" spans="2:33" s="27" customFormat="1" x14ac:dyDescent="0.25">
      <c r="B161" s="399">
        <v>2</v>
      </c>
      <c r="C161" s="295">
        <v>10</v>
      </c>
      <c r="D161" s="28">
        <f t="shared" si="0"/>
        <v>10</v>
      </c>
      <c r="E161" s="28">
        <v>14</v>
      </c>
      <c r="F161" s="28">
        <f t="shared" si="1"/>
        <v>12</v>
      </c>
      <c r="G161" s="28">
        <v>14</v>
      </c>
      <c r="H161" s="28">
        <v>14</v>
      </c>
      <c r="I161" s="28">
        <f t="shared" si="2"/>
        <v>14</v>
      </c>
      <c r="J161" s="28">
        <v>13</v>
      </c>
      <c r="K161" s="28">
        <f t="shared" si="3"/>
        <v>13</v>
      </c>
      <c r="L161" s="28">
        <f t="shared" si="4"/>
        <v>13</v>
      </c>
      <c r="M161" s="28">
        <f t="shared" si="5"/>
        <v>14</v>
      </c>
      <c r="N161" s="28">
        <v>14</v>
      </c>
      <c r="O161" s="28">
        <v>14</v>
      </c>
      <c r="P161" s="28">
        <v>13</v>
      </c>
      <c r="Y161"/>
      <c r="Z161"/>
      <c r="AA161"/>
      <c r="AB161"/>
      <c r="AC161"/>
      <c r="AD161"/>
      <c r="AE161"/>
      <c r="AF161"/>
      <c r="AG161"/>
    </row>
    <row r="162" spans="2:33" s="27" customFormat="1" x14ac:dyDescent="0.25">
      <c r="B162" s="399">
        <v>3</v>
      </c>
      <c r="C162" s="295">
        <v>10</v>
      </c>
      <c r="D162" s="28">
        <f t="shared" si="0"/>
        <v>10</v>
      </c>
      <c r="E162" s="28">
        <v>13</v>
      </c>
      <c r="F162" s="28">
        <f t="shared" si="1"/>
        <v>11</v>
      </c>
      <c r="G162" s="28">
        <v>13</v>
      </c>
      <c r="H162" s="28">
        <v>14</v>
      </c>
      <c r="I162" s="28">
        <f t="shared" si="2"/>
        <v>14</v>
      </c>
      <c r="J162" s="28">
        <v>13</v>
      </c>
      <c r="K162" s="28">
        <f t="shared" si="3"/>
        <v>13</v>
      </c>
      <c r="L162" s="28">
        <f t="shared" si="4"/>
        <v>13</v>
      </c>
      <c r="M162" s="28">
        <f t="shared" si="5"/>
        <v>13</v>
      </c>
      <c r="N162" s="28">
        <v>13</v>
      </c>
      <c r="O162" s="28">
        <v>13</v>
      </c>
      <c r="P162" s="28">
        <v>13</v>
      </c>
      <c r="Y162"/>
      <c r="Z162"/>
      <c r="AA162"/>
      <c r="AB162"/>
      <c r="AC162"/>
      <c r="AD162"/>
      <c r="AE162"/>
      <c r="AF162"/>
      <c r="AG162"/>
    </row>
    <row r="163" spans="2:33" s="27" customFormat="1" x14ac:dyDescent="0.25">
      <c r="B163" s="399">
        <v>4</v>
      </c>
      <c r="C163" s="295">
        <v>9</v>
      </c>
      <c r="D163" s="28">
        <f t="shared" si="0"/>
        <v>9</v>
      </c>
      <c r="E163" s="28">
        <v>13</v>
      </c>
      <c r="F163" s="28">
        <f t="shared" si="1"/>
        <v>11</v>
      </c>
      <c r="G163" s="28">
        <v>13</v>
      </c>
      <c r="H163" s="28">
        <v>14</v>
      </c>
      <c r="I163" s="28">
        <f t="shared" si="2"/>
        <v>14</v>
      </c>
      <c r="J163" s="28">
        <v>13</v>
      </c>
      <c r="K163" s="28">
        <f t="shared" si="3"/>
        <v>13</v>
      </c>
      <c r="L163" s="28">
        <f t="shared" si="4"/>
        <v>13</v>
      </c>
      <c r="M163" s="28">
        <f t="shared" si="5"/>
        <v>13</v>
      </c>
      <c r="N163" s="28">
        <v>13</v>
      </c>
      <c r="O163" s="28">
        <v>13</v>
      </c>
      <c r="P163" s="28">
        <v>13</v>
      </c>
      <c r="Y163"/>
      <c r="Z163"/>
      <c r="AA163"/>
      <c r="AB163"/>
      <c r="AC163"/>
      <c r="AD163"/>
      <c r="AE163"/>
      <c r="AF163"/>
      <c r="AG163"/>
    </row>
    <row r="164" spans="2:33" s="27" customFormat="1" x14ac:dyDescent="0.25">
      <c r="B164" s="399">
        <v>5</v>
      </c>
      <c r="C164" s="295">
        <v>9</v>
      </c>
      <c r="D164" s="28">
        <f t="shared" si="0"/>
        <v>9</v>
      </c>
      <c r="E164" s="28">
        <v>11</v>
      </c>
      <c r="F164" s="28">
        <f t="shared" si="1"/>
        <v>9</v>
      </c>
      <c r="G164" s="28">
        <v>11</v>
      </c>
      <c r="H164" s="28">
        <v>14</v>
      </c>
      <c r="I164" s="28">
        <f t="shared" si="2"/>
        <v>14</v>
      </c>
      <c r="J164" s="28">
        <v>12</v>
      </c>
      <c r="K164" s="28">
        <f t="shared" si="3"/>
        <v>12</v>
      </c>
      <c r="L164" s="28">
        <f t="shared" si="4"/>
        <v>12</v>
      </c>
      <c r="M164" s="28">
        <f t="shared" si="5"/>
        <v>11</v>
      </c>
      <c r="N164" s="28">
        <v>11</v>
      </c>
      <c r="O164" s="28">
        <v>11</v>
      </c>
      <c r="P164" s="28">
        <v>12</v>
      </c>
      <c r="Y164"/>
      <c r="Z164"/>
      <c r="AA164"/>
      <c r="AB164"/>
      <c r="AC164"/>
      <c r="AD164"/>
      <c r="AE164"/>
      <c r="AF164"/>
      <c r="AG164"/>
    </row>
    <row r="165" spans="2:33" s="27" customFormat="1" x14ac:dyDescent="0.25">
      <c r="B165" s="399">
        <v>6</v>
      </c>
      <c r="C165" s="295">
        <v>9</v>
      </c>
      <c r="D165" s="28">
        <f t="shared" si="0"/>
        <v>9</v>
      </c>
      <c r="E165" s="28">
        <v>11</v>
      </c>
      <c r="F165" s="28">
        <f t="shared" si="1"/>
        <v>9</v>
      </c>
      <c r="G165" s="28">
        <v>11</v>
      </c>
      <c r="H165" s="28">
        <v>13</v>
      </c>
      <c r="I165" s="28">
        <f t="shared" si="2"/>
        <v>13</v>
      </c>
      <c r="J165" s="28">
        <v>12</v>
      </c>
      <c r="K165" s="28">
        <f t="shared" si="3"/>
        <v>12</v>
      </c>
      <c r="L165" s="28">
        <f t="shared" si="4"/>
        <v>12</v>
      </c>
      <c r="M165" s="28">
        <f t="shared" si="5"/>
        <v>11</v>
      </c>
      <c r="N165" s="28">
        <v>11</v>
      </c>
      <c r="O165" s="28">
        <v>11</v>
      </c>
      <c r="P165" s="28">
        <v>12</v>
      </c>
      <c r="Y165"/>
      <c r="Z165"/>
      <c r="AA165"/>
      <c r="AB165"/>
      <c r="AC165"/>
      <c r="AD165"/>
      <c r="AE165"/>
      <c r="AF165"/>
      <c r="AG165"/>
    </row>
    <row r="166" spans="2:33" s="27" customFormat="1" x14ac:dyDescent="0.25">
      <c r="B166" s="399">
        <v>7</v>
      </c>
      <c r="C166" s="295">
        <v>7</v>
      </c>
      <c r="D166" s="28">
        <f t="shared" si="0"/>
        <v>7</v>
      </c>
      <c r="E166" s="28">
        <v>10</v>
      </c>
      <c r="F166" s="28">
        <f t="shared" si="1"/>
        <v>8</v>
      </c>
      <c r="G166" s="28">
        <v>10</v>
      </c>
      <c r="H166" s="28">
        <v>13</v>
      </c>
      <c r="I166" s="28">
        <f t="shared" si="2"/>
        <v>13</v>
      </c>
      <c r="J166" s="28">
        <v>12</v>
      </c>
      <c r="K166" s="28">
        <f t="shared" si="3"/>
        <v>12</v>
      </c>
      <c r="L166" s="28">
        <f t="shared" si="4"/>
        <v>12</v>
      </c>
      <c r="M166" s="28">
        <f>MIN(J160,M165)</f>
        <v>11</v>
      </c>
      <c r="N166" s="28">
        <v>10</v>
      </c>
      <c r="O166" s="28">
        <v>10</v>
      </c>
      <c r="P166" s="28">
        <v>12</v>
      </c>
      <c r="Y166"/>
      <c r="Z166"/>
      <c r="AA166"/>
      <c r="AB166"/>
      <c r="AC166"/>
      <c r="AD166"/>
      <c r="AE166"/>
      <c r="AF166"/>
      <c r="AG166"/>
    </row>
    <row r="167" spans="2:33" s="27" customFormat="1" x14ac:dyDescent="0.25">
      <c r="B167" s="399">
        <v>8</v>
      </c>
      <c r="C167" s="295">
        <v>7</v>
      </c>
      <c r="D167" s="28">
        <f t="shared" si="0"/>
        <v>7</v>
      </c>
      <c r="E167" s="28">
        <v>10</v>
      </c>
      <c r="F167" s="28">
        <f t="shared" si="1"/>
        <v>8</v>
      </c>
      <c r="G167" s="28">
        <v>10</v>
      </c>
      <c r="H167" s="28">
        <v>13</v>
      </c>
      <c r="I167" s="28">
        <f t="shared" si="2"/>
        <v>13</v>
      </c>
      <c r="J167" s="28">
        <v>12</v>
      </c>
      <c r="K167" s="28">
        <f t="shared" si="3"/>
        <v>12</v>
      </c>
      <c r="L167" s="28">
        <f t="shared" si="4"/>
        <v>12</v>
      </c>
      <c r="M167" s="28">
        <f>MIN(J161,M166)</f>
        <v>11</v>
      </c>
      <c r="N167" s="28">
        <v>10</v>
      </c>
      <c r="O167" s="28">
        <v>10</v>
      </c>
      <c r="P167" s="28">
        <v>12</v>
      </c>
      <c r="Y167"/>
      <c r="Z167"/>
      <c r="AA167"/>
      <c r="AB167"/>
      <c r="AC167"/>
      <c r="AD167"/>
      <c r="AE167"/>
      <c r="AF167"/>
      <c r="AG167"/>
    </row>
    <row r="168" spans="2:33" s="27" customFormat="1" x14ac:dyDescent="0.25">
      <c r="B168" s="399">
        <v>9</v>
      </c>
      <c r="C168" s="295">
        <v>7</v>
      </c>
      <c r="D168" s="28">
        <f t="shared" si="0"/>
        <v>7</v>
      </c>
      <c r="E168" s="28">
        <v>8</v>
      </c>
      <c r="F168" s="28">
        <f t="shared" si="1"/>
        <v>6</v>
      </c>
      <c r="G168" s="28">
        <v>8</v>
      </c>
      <c r="H168" s="28">
        <v>13</v>
      </c>
      <c r="I168" s="28">
        <f t="shared" si="2"/>
        <v>13</v>
      </c>
      <c r="J168" s="28">
        <v>11</v>
      </c>
      <c r="K168" s="28">
        <f t="shared" si="3"/>
        <v>11</v>
      </c>
      <c r="L168" s="28">
        <f t="shared" si="4"/>
        <v>11</v>
      </c>
      <c r="M168" s="28">
        <f>MIN(J162,M167)</f>
        <v>11</v>
      </c>
      <c r="N168" s="28">
        <v>8</v>
      </c>
      <c r="O168" s="28">
        <v>8</v>
      </c>
      <c r="P168" s="28">
        <v>11</v>
      </c>
      <c r="Y168"/>
      <c r="Z168"/>
      <c r="AA168"/>
      <c r="AB168"/>
      <c r="AC168"/>
      <c r="AD168"/>
      <c r="AE168"/>
      <c r="AF168"/>
      <c r="AG168"/>
    </row>
    <row r="169" spans="2:33" s="27" customFormat="1" x14ac:dyDescent="0.25">
      <c r="B169" s="399">
        <v>10</v>
      </c>
      <c r="C169" s="295">
        <v>6</v>
      </c>
      <c r="D169" s="28">
        <f t="shared" si="0"/>
        <v>6</v>
      </c>
      <c r="E169" s="28">
        <v>8</v>
      </c>
      <c r="F169" s="28">
        <f t="shared" si="1"/>
        <v>6</v>
      </c>
      <c r="G169" s="28">
        <v>8</v>
      </c>
      <c r="H169" s="28">
        <v>13</v>
      </c>
      <c r="I169" s="28">
        <f t="shared" si="2"/>
        <v>13</v>
      </c>
      <c r="J169" s="28">
        <v>11</v>
      </c>
      <c r="K169" s="28">
        <f t="shared" si="3"/>
        <v>11</v>
      </c>
      <c r="L169" s="28">
        <f t="shared" si="4"/>
        <v>11</v>
      </c>
      <c r="M169" s="28">
        <f>MIN(J163,M168)</f>
        <v>11</v>
      </c>
      <c r="N169" s="28">
        <v>8</v>
      </c>
      <c r="O169" s="28">
        <v>8</v>
      </c>
      <c r="P169" s="28">
        <v>11</v>
      </c>
      <c r="Y169"/>
      <c r="Z169"/>
      <c r="AA169"/>
      <c r="AB169"/>
      <c r="AC169"/>
      <c r="AD169"/>
      <c r="AE169"/>
      <c r="AF169"/>
      <c r="AG169"/>
    </row>
    <row r="170" spans="2:33" s="27" customFormat="1" x14ac:dyDescent="0.25">
      <c r="B170" s="399">
        <v>11</v>
      </c>
      <c r="C170" s="295">
        <v>6</v>
      </c>
      <c r="D170" s="28">
        <f t="shared" si="0"/>
        <v>6</v>
      </c>
      <c r="E170" s="28">
        <v>7</v>
      </c>
      <c r="F170" s="28">
        <f t="shared" si="1"/>
        <v>5</v>
      </c>
      <c r="G170" s="28">
        <v>7</v>
      </c>
      <c r="H170" s="28">
        <v>11</v>
      </c>
      <c r="I170" s="28">
        <f t="shared" si="2"/>
        <v>11</v>
      </c>
      <c r="J170" s="28">
        <v>11</v>
      </c>
      <c r="K170" s="28">
        <f t="shared" si="3"/>
        <v>11</v>
      </c>
      <c r="L170" s="28">
        <f t="shared" si="4"/>
        <v>11</v>
      </c>
      <c r="M170" s="28">
        <f t="shared" ref="M170:M192" si="6">MIN(M169,D162,E162,J162)</f>
        <v>10</v>
      </c>
      <c r="N170" s="28">
        <v>7</v>
      </c>
      <c r="O170" s="28">
        <v>7</v>
      </c>
      <c r="P170" s="28">
        <v>11</v>
      </c>
      <c r="Y170"/>
      <c r="Z170"/>
      <c r="AA170"/>
      <c r="AB170"/>
      <c r="AC170"/>
      <c r="AD170"/>
      <c r="AE170"/>
      <c r="AF170"/>
      <c r="AG170"/>
    </row>
    <row r="171" spans="2:33" s="27" customFormat="1" x14ac:dyDescent="0.25">
      <c r="B171" s="399">
        <v>12</v>
      </c>
      <c r="C171" s="295">
        <v>6</v>
      </c>
      <c r="D171" s="28">
        <f t="shared" si="0"/>
        <v>6</v>
      </c>
      <c r="E171" s="28">
        <v>7</v>
      </c>
      <c r="F171" s="28">
        <f t="shared" si="1"/>
        <v>5</v>
      </c>
      <c r="G171" s="28">
        <v>7</v>
      </c>
      <c r="H171" s="28">
        <v>11</v>
      </c>
      <c r="I171" s="28">
        <f t="shared" si="2"/>
        <v>11</v>
      </c>
      <c r="J171" s="28">
        <v>11</v>
      </c>
      <c r="K171" s="28">
        <f t="shared" si="3"/>
        <v>11</v>
      </c>
      <c r="L171" s="28">
        <f t="shared" si="4"/>
        <v>11</v>
      </c>
      <c r="M171" s="28">
        <f t="shared" si="6"/>
        <v>9</v>
      </c>
      <c r="N171" s="28">
        <v>7</v>
      </c>
      <c r="O171" s="28">
        <v>7</v>
      </c>
      <c r="P171" s="28">
        <v>11</v>
      </c>
      <c r="Y171"/>
      <c r="Z171"/>
      <c r="AA171"/>
      <c r="AB171"/>
      <c r="AC171"/>
      <c r="AD171"/>
      <c r="AE171"/>
      <c r="AF171"/>
      <c r="AG171"/>
    </row>
    <row r="172" spans="2:33" s="27" customFormat="1" x14ac:dyDescent="0.25">
      <c r="B172" s="399">
        <v>13</v>
      </c>
      <c r="C172" s="295">
        <v>5</v>
      </c>
      <c r="D172" s="28">
        <f t="shared" si="0"/>
        <v>5</v>
      </c>
      <c r="E172" s="28">
        <v>5</v>
      </c>
      <c r="F172" s="28">
        <f t="shared" si="1"/>
        <v>3</v>
      </c>
      <c r="G172" s="28">
        <v>5</v>
      </c>
      <c r="H172" s="28">
        <v>11</v>
      </c>
      <c r="I172" s="28">
        <f t="shared" si="2"/>
        <v>11</v>
      </c>
      <c r="J172" s="28">
        <v>10</v>
      </c>
      <c r="K172" s="28">
        <f t="shared" si="3"/>
        <v>10</v>
      </c>
      <c r="L172" s="28">
        <f t="shared" si="4"/>
        <v>10</v>
      </c>
      <c r="M172" s="28">
        <f t="shared" si="6"/>
        <v>9</v>
      </c>
      <c r="N172" s="28">
        <v>5</v>
      </c>
      <c r="O172" s="28">
        <v>5</v>
      </c>
      <c r="P172" s="28">
        <v>10</v>
      </c>
      <c r="Y172"/>
      <c r="Z172"/>
      <c r="AA172"/>
      <c r="AB172"/>
      <c r="AC172"/>
      <c r="AD172"/>
      <c r="AE172"/>
      <c r="AF172"/>
      <c r="AG172"/>
    </row>
    <row r="173" spans="2:33" s="27" customFormat="1" x14ac:dyDescent="0.25">
      <c r="B173" s="399">
        <v>14</v>
      </c>
      <c r="C173" s="295">
        <v>5</v>
      </c>
      <c r="D173" s="28">
        <f t="shared" si="0"/>
        <v>5</v>
      </c>
      <c r="E173" s="28">
        <v>5</v>
      </c>
      <c r="F173" s="28">
        <f t="shared" si="1"/>
        <v>3</v>
      </c>
      <c r="G173" s="28">
        <v>5</v>
      </c>
      <c r="H173" s="28">
        <v>11</v>
      </c>
      <c r="I173" s="28">
        <f t="shared" si="2"/>
        <v>11</v>
      </c>
      <c r="J173" s="28">
        <v>10</v>
      </c>
      <c r="K173" s="28">
        <f t="shared" si="3"/>
        <v>10</v>
      </c>
      <c r="L173" s="28">
        <f t="shared" si="4"/>
        <v>10</v>
      </c>
      <c r="M173" s="28">
        <f t="shared" si="6"/>
        <v>9</v>
      </c>
      <c r="N173" s="28">
        <v>5</v>
      </c>
      <c r="O173" s="28">
        <v>5</v>
      </c>
      <c r="P173" s="28">
        <v>10</v>
      </c>
      <c r="Y173"/>
      <c r="Z173"/>
      <c r="AA173"/>
      <c r="AB173"/>
      <c r="AC173"/>
      <c r="AD173"/>
      <c r="AE173"/>
      <c r="AF173"/>
      <c r="AG173"/>
    </row>
    <row r="174" spans="2:33" s="27" customFormat="1" x14ac:dyDescent="0.25">
      <c r="B174" s="399">
        <v>15</v>
      </c>
      <c r="C174" s="295">
        <v>5</v>
      </c>
      <c r="D174" s="28">
        <f t="shared" si="0"/>
        <v>5</v>
      </c>
      <c r="E174" s="28">
        <v>4</v>
      </c>
      <c r="F174" s="28">
        <f t="shared" si="1"/>
        <v>2</v>
      </c>
      <c r="G174" s="28">
        <v>4</v>
      </c>
      <c r="H174" s="28">
        <v>11</v>
      </c>
      <c r="I174" s="28">
        <f t="shared" si="2"/>
        <v>11</v>
      </c>
      <c r="J174" s="28">
        <v>10</v>
      </c>
      <c r="K174" s="28">
        <f t="shared" si="3"/>
        <v>10</v>
      </c>
      <c r="L174" s="28">
        <f t="shared" si="4"/>
        <v>10</v>
      </c>
      <c r="M174" s="28">
        <f t="shared" si="6"/>
        <v>7</v>
      </c>
      <c r="N174" s="28">
        <v>4</v>
      </c>
      <c r="O174" s="28">
        <v>4</v>
      </c>
      <c r="P174" s="28">
        <v>10</v>
      </c>
      <c r="Y174"/>
      <c r="Z174"/>
      <c r="AA174"/>
      <c r="AB174"/>
      <c r="AC174"/>
      <c r="AD174"/>
      <c r="AE174"/>
      <c r="AF174"/>
      <c r="AG174"/>
    </row>
    <row r="175" spans="2:33" s="27" customFormat="1" x14ac:dyDescent="0.25">
      <c r="B175" s="399">
        <v>16</v>
      </c>
      <c r="C175" s="295">
        <v>4</v>
      </c>
      <c r="D175" s="28">
        <f t="shared" si="0"/>
        <v>4</v>
      </c>
      <c r="E175" s="28">
        <v>4</v>
      </c>
      <c r="F175" s="28">
        <f t="shared" si="1"/>
        <v>2</v>
      </c>
      <c r="G175" s="28">
        <v>4</v>
      </c>
      <c r="H175" s="28">
        <v>10</v>
      </c>
      <c r="I175" s="28">
        <f t="shared" si="2"/>
        <v>10</v>
      </c>
      <c r="J175" s="28">
        <v>9</v>
      </c>
      <c r="K175" s="28"/>
      <c r="L175" s="28">
        <f t="shared" si="4"/>
        <v>9</v>
      </c>
      <c r="M175" s="28">
        <f t="shared" si="6"/>
        <v>7</v>
      </c>
      <c r="N175" s="28">
        <v>4</v>
      </c>
      <c r="O175" s="28">
        <v>4</v>
      </c>
      <c r="P175" s="28">
        <v>9</v>
      </c>
      <c r="Y175"/>
      <c r="Z175"/>
      <c r="AA175"/>
      <c r="AB175"/>
      <c r="AC175"/>
      <c r="AD175"/>
      <c r="AE175"/>
      <c r="AF175"/>
      <c r="AG175"/>
    </row>
    <row r="176" spans="2:33" s="27" customFormat="1" x14ac:dyDescent="0.25">
      <c r="B176" s="399">
        <v>17</v>
      </c>
      <c r="C176" s="295">
        <v>4</v>
      </c>
      <c r="D176" s="28">
        <f t="shared" si="0"/>
        <v>4</v>
      </c>
      <c r="E176" s="28">
        <v>3</v>
      </c>
      <c r="F176" s="28">
        <f t="shared" si="1"/>
        <v>1</v>
      </c>
      <c r="G176" s="28">
        <v>3</v>
      </c>
      <c r="H176" s="28">
        <v>10</v>
      </c>
      <c r="I176" s="28">
        <f t="shared" si="2"/>
        <v>10</v>
      </c>
      <c r="J176" s="28">
        <v>9</v>
      </c>
      <c r="K176" s="28"/>
      <c r="L176" s="28">
        <f t="shared" si="4"/>
        <v>9</v>
      </c>
      <c r="M176" s="28">
        <f t="shared" si="6"/>
        <v>7</v>
      </c>
      <c r="N176" s="28">
        <v>3</v>
      </c>
      <c r="O176" s="28">
        <v>3</v>
      </c>
      <c r="P176" s="28">
        <v>9</v>
      </c>
      <c r="Y176"/>
      <c r="Z176"/>
      <c r="AA176"/>
      <c r="AB176"/>
      <c r="AC176"/>
      <c r="AD176"/>
      <c r="AE176"/>
      <c r="AF176"/>
      <c r="AG176"/>
    </row>
    <row r="177" spans="2:33" s="27" customFormat="1" x14ac:dyDescent="0.25">
      <c r="B177" s="399">
        <v>18</v>
      </c>
      <c r="C177" s="295">
        <v>4</v>
      </c>
      <c r="D177" s="28">
        <f t="shared" si="0"/>
        <v>4</v>
      </c>
      <c r="E177" s="28">
        <v>3</v>
      </c>
      <c r="F177" s="28">
        <f t="shared" si="1"/>
        <v>1</v>
      </c>
      <c r="G177" s="28">
        <v>3</v>
      </c>
      <c r="H177" s="28">
        <v>10</v>
      </c>
      <c r="I177" s="28">
        <f t="shared" si="2"/>
        <v>10</v>
      </c>
      <c r="J177" s="28">
        <v>9</v>
      </c>
      <c r="K177" s="28"/>
      <c r="L177" s="28"/>
      <c r="M177" s="28">
        <f t="shared" si="6"/>
        <v>6</v>
      </c>
      <c r="N177" s="28">
        <v>3</v>
      </c>
      <c r="O177" s="28">
        <v>3</v>
      </c>
      <c r="P177" s="28">
        <v>9</v>
      </c>
      <c r="Y177"/>
      <c r="Z177"/>
      <c r="AA177"/>
      <c r="AB177"/>
      <c r="AC177"/>
      <c r="AD177"/>
      <c r="AE177"/>
      <c r="AF177"/>
      <c r="AG177"/>
    </row>
    <row r="178" spans="2:33" s="27" customFormat="1" x14ac:dyDescent="0.25">
      <c r="B178" s="399">
        <v>19</v>
      </c>
      <c r="C178" s="295">
        <v>2</v>
      </c>
      <c r="D178" s="28">
        <f t="shared" si="0"/>
        <v>2</v>
      </c>
      <c r="E178" s="28">
        <v>3</v>
      </c>
      <c r="F178" s="28">
        <f t="shared" si="1"/>
        <v>1</v>
      </c>
      <c r="G178" s="28">
        <v>3</v>
      </c>
      <c r="H178" s="28">
        <v>10</v>
      </c>
      <c r="I178" s="28">
        <f t="shared" si="2"/>
        <v>10</v>
      </c>
      <c r="J178" s="28">
        <v>9</v>
      </c>
      <c r="K178" s="28"/>
      <c r="L178" s="28"/>
      <c r="M178" s="28">
        <f t="shared" si="6"/>
        <v>6</v>
      </c>
      <c r="N178" s="28">
        <v>3</v>
      </c>
      <c r="O178" s="28">
        <v>3</v>
      </c>
      <c r="P178" s="28">
        <v>9</v>
      </c>
      <c r="Y178"/>
      <c r="Z178"/>
      <c r="AA178"/>
      <c r="AB178"/>
      <c r="AC178"/>
      <c r="AD178"/>
      <c r="AE178"/>
      <c r="AF178"/>
      <c r="AG178"/>
    </row>
    <row r="179" spans="2:33" s="27" customFormat="1" x14ac:dyDescent="0.25">
      <c r="B179" s="399">
        <v>20</v>
      </c>
      <c r="C179" s="295">
        <v>2</v>
      </c>
      <c r="D179" s="28">
        <f t="shared" si="0"/>
        <v>2</v>
      </c>
      <c r="E179" s="28">
        <v>3</v>
      </c>
      <c r="F179" s="28">
        <f t="shared" si="1"/>
        <v>1</v>
      </c>
      <c r="G179" s="28">
        <v>3</v>
      </c>
      <c r="H179" s="28">
        <v>10</v>
      </c>
      <c r="I179" s="28">
        <f t="shared" si="2"/>
        <v>10</v>
      </c>
      <c r="J179" s="28">
        <v>9</v>
      </c>
      <c r="K179" s="28"/>
      <c r="L179" s="28"/>
      <c r="M179" s="28">
        <f t="shared" si="6"/>
        <v>6</v>
      </c>
      <c r="N179" s="28">
        <v>3</v>
      </c>
      <c r="O179" s="28">
        <v>3</v>
      </c>
      <c r="P179" s="28">
        <v>9</v>
      </c>
      <c r="Y179"/>
      <c r="Z179"/>
      <c r="AA179"/>
      <c r="AB179"/>
      <c r="AC179"/>
      <c r="AD179"/>
      <c r="AE179"/>
      <c r="AF179"/>
      <c r="AG179"/>
    </row>
    <row r="180" spans="2:33" s="27" customFormat="1" x14ac:dyDescent="0.25">
      <c r="B180" s="399">
        <v>21</v>
      </c>
      <c r="C180" s="295">
        <v>2</v>
      </c>
      <c r="D180" s="28">
        <f t="shared" si="0"/>
        <v>2</v>
      </c>
      <c r="E180" s="28">
        <v>3</v>
      </c>
      <c r="F180" s="28">
        <f t="shared" si="1"/>
        <v>1</v>
      </c>
      <c r="G180" s="28">
        <v>3</v>
      </c>
      <c r="H180" s="28">
        <v>8</v>
      </c>
      <c r="I180" s="28">
        <f t="shared" si="2"/>
        <v>8</v>
      </c>
      <c r="J180" s="28">
        <v>8</v>
      </c>
      <c r="K180" s="28"/>
      <c r="L180" s="28"/>
      <c r="M180" s="28">
        <f t="shared" si="6"/>
        <v>5</v>
      </c>
      <c r="N180" s="28">
        <v>3</v>
      </c>
      <c r="O180" s="28">
        <v>3</v>
      </c>
      <c r="P180" s="28">
        <v>8</v>
      </c>
      <c r="Y180"/>
      <c r="Z180"/>
      <c r="AA180"/>
      <c r="AB180"/>
      <c r="AC180"/>
      <c r="AD180"/>
      <c r="AE180"/>
      <c r="AF180"/>
      <c r="AG180"/>
    </row>
    <row r="181" spans="2:33" s="27" customFormat="1" x14ac:dyDescent="0.25">
      <c r="B181" s="399">
        <v>22</v>
      </c>
      <c r="C181" s="295">
        <v>2</v>
      </c>
      <c r="D181" s="28">
        <f t="shared" si="0"/>
        <v>2</v>
      </c>
      <c r="E181" s="28">
        <v>3</v>
      </c>
      <c r="F181" s="28">
        <f t="shared" si="1"/>
        <v>1</v>
      </c>
      <c r="G181" s="28">
        <v>3</v>
      </c>
      <c r="H181" s="28">
        <v>8</v>
      </c>
      <c r="I181" s="28">
        <f t="shared" si="2"/>
        <v>8</v>
      </c>
      <c r="J181" s="28">
        <v>8</v>
      </c>
      <c r="K181" s="28"/>
      <c r="L181" s="28"/>
      <c r="M181" s="28">
        <f t="shared" si="6"/>
        <v>5</v>
      </c>
      <c r="N181" s="28">
        <v>3</v>
      </c>
      <c r="O181" s="28">
        <v>3</v>
      </c>
      <c r="P181" s="28">
        <v>8</v>
      </c>
      <c r="Y181"/>
      <c r="Z181"/>
      <c r="AA181"/>
      <c r="AB181"/>
      <c r="AC181"/>
      <c r="AD181"/>
      <c r="AE181"/>
      <c r="AF181"/>
      <c r="AG181"/>
    </row>
    <row r="182" spans="2:33" s="27" customFormat="1" x14ac:dyDescent="0.25">
      <c r="B182" s="399">
        <v>23</v>
      </c>
      <c r="C182" s="295">
        <v>2</v>
      </c>
      <c r="D182" s="28">
        <f t="shared" si="0"/>
        <v>2</v>
      </c>
      <c r="E182" s="28">
        <v>3</v>
      </c>
      <c r="F182" s="28">
        <f t="shared" si="1"/>
        <v>1</v>
      </c>
      <c r="G182" s="28">
        <v>3</v>
      </c>
      <c r="H182" s="28">
        <v>8</v>
      </c>
      <c r="I182" s="28">
        <f t="shared" si="2"/>
        <v>8</v>
      </c>
      <c r="J182" s="28">
        <v>8</v>
      </c>
      <c r="K182" s="28"/>
      <c r="L182" s="28"/>
      <c r="M182" s="28">
        <f t="shared" si="6"/>
        <v>4</v>
      </c>
      <c r="N182" s="28">
        <v>3</v>
      </c>
      <c r="O182" s="28">
        <v>3</v>
      </c>
      <c r="P182" s="28">
        <v>8</v>
      </c>
      <c r="Y182"/>
      <c r="Z182"/>
      <c r="AA182"/>
      <c r="AB182"/>
      <c r="AC182"/>
      <c r="AD182"/>
      <c r="AE182"/>
      <c r="AF182"/>
      <c r="AG182"/>
    </row>
    <row r="183" spans="2:33" s="27" customFormat="1" x14ac:dyDescent="0.25">
      <c r="B183" s="399">
        <v>24</v>
      </c>
      <c r="C183" s="295">
        <v>2</v>
      </c>
      <c r="D183" s="28"/>
      <c r="E183" s="28">
        <v>3</v>
      </c>
      <c r="F183" s="28">
        <f t="shared" si="1"/>
        <v>1</v>
      </c>
      <c r="G183" s="28">
        <v>3</v>
      </c>
      <c r="H183" s="28">
        <v>8</v>
      </c>
      <c r="I183" s="28">
        <f t="shared" si="2"/>
        <v>8</v>
      </c>
      <c r="J183" s="28">
        <v>8</v>
      </c>
      <c r="K183" s="28"/>
      <c r="L183" s="28"/>
      <c r="M183" s="28">
        <f t="shared" si="6"/>
        <v>4</v>
      </c>
      <c r="N183" s="28">
        <v>3</v>
      </c>
      <c r="O183" s="28">
        <v>3</v>
      </c>
      <c r="P183" s="28">
        <v>8</v>
      </c>
      <c r="Y183"/>
      <c r="Z183"/>
      <c r="AA183"/>
      <c r="AB183"/>
      <c r="AC183"/>
      <c r="AD183"/>
      <c r="AE183"/>
      <c r="AF183"/>
      <c r="AG183"/>
    </row>
    <row r="184" spans="2:33" s="27" customFormat="1" x14ac:dyDescent="0.25">
      <c r="B184" s="399">
        <v>25</v>
      </c>
      <c r="C184" s="295">
        <v>2</v>
      </c>
      <c r="D184" s="28"/>
      <c r="E184" s="28">
        <v>3</v>
      </c>
      <c r="F184" s="28">
        <f t="shared" si="1"/>
        <v>1</v>
      </c>
      <c r="G184" s="28">
        <v>3</v>
      </c>
      <c r="H184" s="28">
        <v>8</v>
      </c>
      <c r="I184" s="28">
        <f t="shared" si="2"/>
        <v>8</v>
      </c>
      <c r="J184" s="28">
        <v>8</v>
      </c>
      <c r="K184" s="28"/>
      <c r="L184" s="28"/>
      <c r="M184" s="28">
        <f t="shared" si="6"/>
        <v>3</v>
      </c>
      <c r="N184" s="28">
        <v>3</v>
      </c>
      <c r="O184" s="28">
        <v>3</v>
      </c>
      <c r="P184" s="28">
        <v>8</v>
      </c>
      <c r="Y184"/>
      <c r="Z184"/>
      <c r="AA184"/>
      <c r="AB184"/>
      <c r="AC184"/>
      <c r="AD184"/>
      <c r="AE184"/>
      <c r="AF184"/>
      <c r="AG184"/>
    </row>
    <row r="185" spans="2:33" s="27" customFormat="1" x14ac:dyDescent="0.25">
      <c r="B185" s="399">
        <v>26</v>
      </c>
      <c r="C185" s="295">
        <v>2</v>
      </c>
      <c r="D185" s="28"/>
      <c r="E185" s="28">
        <v>3</v>
      </c>
      <c r="F185" s="28">
        <f t="shared" si="1"/>
        <v>1</v>
      </c>
      <c r="G185" s="28">
        <v>3</v>
      </c>
      <c r="H185" s="28">
        <v>8</v>
      </c>
      <c r="I185" s="28">
        <f t="shared" si="2"/>
        <v>8</v>
      </c>
      <c r="J185" s="28">
        <v>8</v>
      </c>
      <c r="K185" s="28"/>
      <c r="L185" s="28"/>
      <c r="M185" s="28">
        <f t="shared" si="6"/>
        <v>3</v>
      </c>
      <c r="N185" s="28">
        <v>3</v>
      </c>
      <c r="O185" s="28">
        <v>3</v>
      </c>
      <c r="P185" s="28">
        <v>8</v>
      </c>
      <c r="Y185"/>
      <c r="Z185"/>
      <c r="AA185"/>
      <c r="AB185"/>
      <c r="AC185"/>
      <c r="AD185"/>
      <c r="AE185"/>
      <c r="AF185"/>
      <c r="AG185"/>
    </row>
    <row r="186" spans="2:33" s="27" customFormat="1" x14ac:dyDescent="0.25">
      <c r="B186" s="399">
        <v>27</v>
      </c>
      <c r="C186" s="295">
        <v>2</v>
      </c>
      <c r="D186" s="28"/>
      <c r="E186" s="28">
        <v>3</v>
      </c>
      <c r="F186" s="28">
        <f t="shared" si="1"/>
        <v>1</v>
      </c>
      <c r="G186" s="28">
        <v>3</v>
      </c>
      <c r="H186" s="28">
        <v>8</v>
      </c>
      <c r="I186" s="28">
        <f t="shared" si="2"/>
        <v>8</v>
      </c>
      <c r="J186" s="28">
        <v>8</v>
      </c>
      <c r="K186" s="28"/>
      <c r="L186" s="28"/>
      <c r="M186" s="28">
        <f t="shared" si="6"/>
        <v>2</v>
      </c>
      <c r="N186" s="28">
        <v>3</v>
      </c>
      <c r="O186" s="28">
        <v>3</v>
      </c>
      <c r="P186" s="28">
        <v>8</v>
      </c>
      <c r="Y186"/>
      <c r="Z186"/>
      <c r="AA186"/>
      <c r="AB186"/>
      <c r="AC186"/>
      <c r="AD186"/>
      <c r="AE186"/>
      <c r="AF186"/>
      <c r="AG186"/>
    </row>
    <row r="187" spans="2:33" s="27" customFormat="1" x14ac:dyDescent="0.25">
      <c r="B187" s="399">
        <v>28</v>
      </c>
      <c r="C187" s="295">
        <v>2</v>
      </c>
      <c r="D187" s="28"/>
      <c r="E187" s="28">
        <v>3</v>
      </c>
      <c r="F187" s="28">
        <f t="shared" si="1"/>
        <v>1</v>
      </c>
      <c r="G187" s="28">
        <v>3</v>
      </c>
      <c r="H187" s="28">
        <v>8</v>
      </c>
      <c r="I187" s="28">
        <f t="shared" si="2"/>
        <v>8</v>
      </c>
      <c r="J187" s="28">
        <v>8</v>
      </c>
      <c r="K187" s="28"/>
      <c r="L187" s="28"/>
      <c r="M187" s="28">
        <f t="shared" si="6"/>
        <v>2</v>
      </c>
      <c r="N187" s="28">
        <v>3</v>
      </c>
      <c r="O187" s="28">
        <v>3</v>
      </c>
      <c r="P187" s="28">
        <v>8</v>
      </c>
      <c r="Y187"/>
      <c r="Z187"/>
      <c r="AA187"/>
      <c r="AB187"/>
      <c r="AC187"/>
      <c r="AD187"/>
      <c r="AE187"/>
      <c r="AF187"/>
      <c r="AG187"/>
    </row>
    <row r="188" spans="2:33" s="27" customFormat="1" x14ac:dyDescent="0.25">
      <c r="B188" s="399">
        <v>29</v>
      </c>
      <c r="C188" s="295">
        <v>2</v>
      </c>
      <c r="D188" s="28"/>
      <c r="E188" s="28">
        <v>3</v>
      </c>
      <c r="F188" s="28">
        <f t="shared" si="1"/>
        <v>1</v>
      </c>
      <c r="G188" s="28">
        <v>3</v>
      </c>
      <c r="H188" s="28">
        <v>8</v>
      </c>
      <c r="I188" s="28">
        <f t="shared" si="2"/>
        <v>8</v>
      </c>
      <c r="J188" s="28">
        <v>8</v>
      </c>
      <c r="K188" s="28"/>
      <c r="L188" s="28"/>
      <c r="M188" s="28">
        <f t="shared" si="6"/>
        <v>2</v>
      </c>
      <c r="N188" s="28">
        <v>3</v>
      </c>
      <c r="O188" s="28">
        <v>3</v>
      </c>
      <c r="P188" s="28">
        <v>8</v>
      </c>
      <c r="Y188"/>
      <c r="Z188"/>
      <c r="AA188"/>
      <c r="AB188"/>
      <c r="AC188"/>
      <c r="AD188"/>
      <c r="AE188"/>
      <c r="AF188"/>
      <c r="AG188"/>
    </row>
    <row r="189" spans="2:33" s="27" customFormat="1" x14ac:dyDescent="0.25">
      <c r="B189" s="399">
        <v>30</v>
      </c>
      <c r="C189" s="295">
        <v>2</v>
      </c>
      <c r="D189" s="28"/>
      <c r="E189" s="28">
        <v>3</v>
      </c>
      <c r="F189" s="28">
        <f t="shared" si="1"/>
        <v>1</v>
      </c>
      <c r="G189" s="28">
        <v>3</v>
      </c>
      <c r="H189" s="28">
        <v>8</v>
      </c>
      <c r="I189" s="28">
        <f t="shared" si="2"/>
        <v>8</v>
      </c>
      <c r="J189" s="28">
        <v>8</v>
      </c>
      <c r="K189" s="28"/>
      <c r="L189" s="28"/>
      <c r="M189" s="28">
        <f t="shared" si="6"/>
        <v>2</v>
      </c>
      <c r="N189" s="28">
        <v>3</v>
      </c>
      <c r="O189" s="28">
        <v>3</v>
      </c>
      <c r="P189" s="28">
        <v>8</v>
      </c>
      <c r="Y189"/>
      <c r="Z189"/>
      <c r="AA189"/>
      <c r="AB189"/>
      <c r="AC189"/>
      <c r="AD189"/>
      <c r="AE189"/>
      <c r="AF189"/>
      <c r="AG189"/>
    </row>
    <row r="190" spans="2:33" s="27" customFormat="1" x14ac:dyDescent="0.25">
      <c r="B190" s="399">
        <v>31</v>
      </c>
      <c r="C190" s="295">
        <v>2</v>
      </c>
      <c r="D190" s="28"/>
      <c r="E190" s="28">
        <v>3</v>
      </c>
      <c r="F190" s="28">
        <f t="shared" si="1"/>
        <v>1</v>
      </c>
      <c r="G190" s="28">
        <v>3</v>
      </c>
      <c r="H190" s="28">
        <v>8</v>
      </c>
      <c r="I190" s="28">
        <f t="shared" si="2"/>
        <v>8</v>
      </c>
      <c r="J190" s="28">
        <v>8</v>
      </c>
      <c r="K190" s="28"/>
      <c r="L190" s="28"/>
      <c r="M190" s="28">
        <f t="shared" si="6"/>
        <v>2</v>
      </c>
      <c r="N190" s="28">
        <v>3</v>
      </c>
      <c r="O190" s="28">
        <v>3</v>
      </c>
      <c r="P190" s="28">
        <v>8</v>
      </c>
      <c r="Y190"/>
      <c r="Z190"/>
      <c r="AA190"/>
      <c r="AB190"/>
      <c r="AC190"/>
      <c r="AD190"/>
      <c r="AE190"/>
      <c r="AF190"/>
      <c r="AG190"/>
    </row>
    <row r="191" spans="2:33" s="27" customFormat="1" x14ac:dyDescent="0.25">
      <c r="B191" s="399">
        <v>32</v>
      </c>
      <c r="C191" s="295">
        <v>2</v>
      </c>
      <c r="D191" s="28"/>
      <c r="E191" s="28">
        <v>3</v>
      </c>
      <c r="F191" s="28">
        <f t="shared" si="1"/>
        <v>1</v>
      </c>
      <c r="G191" s="28">
        <v>3</v>
      </c>
      <c r="H191" s="28">
        <v>8</v>
      </c>
      <c r="I191" s="28">
        <f t="shared" si="2"/>
        <v>8</v>
      </c>
      <c r="J191" s="28">
        <v>8</v>
      </c>
      <c r="K191" s="28"/>
      <c r="L191" s="28"/>
      <c r="M191" s="28">
        <f t="shared" si="6"/>
        <v>2</v>
      </c>
      <c r="N191" s="28">
        <v>3</v>
      </c>
      <c r="O191" s="28">
        <v>3</v>
      </c>
      <c r="P191" s="28">
        <v>8</v>
      </c>
      <c r="Y191"/>
      <c r="Z191"/>
      <c r="AA191"/>
      <c r="AB191"/>
      <c r="AC191"/>
      <c r="AD191"/>
      <c r="AE191"/>
      <c r="AF191"/>
      <c r="AG191"/>
    </row>
    <row r="192" spans="2:33" s="27" customFormat="1" x14ac:dyDescent="0.25">
      <c r="B192" s="399">
        <v>33</v>
      </c>
      <c r="C192" s="295">
        <v>2</v>
      </c>
      <c r="D192" s="28"/>
      <c r="E192" s="28">
        <v>3</v>
      </c>
      <c r="F192" s="28">
        <f t="shared" si="1"/>
        <v>1</v>
      </c>
      <c r="G192" s="28">
        <v>3</v>
      </c>
      <c r="H192" s="28">
        <v>8</v>
      </c>
      <c r="I192" s="28">
        <f t="shared" si="2"/>
        <v>8</v>
      </c>
      <c r="J192" s="28">
        <v>8</v>
      </c>
      <c r="K192" s="28"/>
      <c r="L192" s="28"/>
      <c r="M192" s="28">
        <f t="shared" si="6"/>
        <v>2</v>
      </c>
      <c r="N192" s="28">
        <v>3</v>
      </c>
      <c r="O192" s="28">
        <v>3</v>
      </c>
      <c r="P192" s="28">
        <v>8</v>
      </c>
      <c r="Y192"/>
      <c r="Z192"/>
      <c r="AA192"/>
      <c r="AB192"/>
      <c r="AC192"/>
      <c r="AD192"/>
      <c r="AE192"/>
      <c r="AF192"/>
      <c r="AG192"/>
    </row>
    <row r="193" spans="2:34" s="27" customFormat="1" x14ac:dyDescent="0.25">
      <c r="B193" s="399">
        <v>34</v>
      </c>
      <c r="C193" s="295">
        <v>2</v>
      </c>
      <c r="D193" s="28"/>
      <c r="E193" s="28">
        <v>3</v>
      </c>
      <c r="F193" s="28">
        <f t="shared" si="1"/>
        <v>1</v>
      </c>
      <c r="G193" s="28">
        <v>3</v>
      </c>
      <c r="H193" s="28">
        <v>8</v>
      </c>
      <c r="I193" s="28">
        <f t="shared" si="2"/>
        <v>8</v>
      </c>
      <c r="J193" s="28">
        <v>8</v>
      </c>
      <c r="K193" s="28"/>
      <c r="L193" s="28"/>
      <c r="M193" s="28"/>
      <c r="N193" s="28">
        <v>3</v>
      </c>
      <c r="O193" s="28">
        <v>3</v>
      </c>
      <c r="P193" s="28">
        <v>8</v>
      </c>
      <c r="Y193"/>
      <c r="Z193"/>
      <c r="AA193"/>
      <c r="AB193"/>
      <c r="AC193"/>
      <c r="AD193"/>
      <c r="AE193"/>
      <c r="AF193"/>
      <c r="AG193"/>
    </row>
    <row r="194" spans="2:34" s="27" customFormat="1" x14ac:dyDescent="0.25">
      <c r="B194" s="399">
        <v>35</v>
      </c>
      <c r="C194" s="295">
        <v>2</v>
      </c>
      <c r="D194" s="28"/>
      <c r="E194" s="28">
        <v>3</v>
      </c>
      <c r="F194" s="28">
        <f t="shared" si="1"/>
        <v>1</v>
      </c>
      <c r="G194" s="28">
        <v>3</v>
      </c>
      <c r="H194" s="28">
        <v>8</v>
      </c>
      <c r="I194" s="28">
        <f t="shared" si="2"/>
        <v>8</v>
      </c>
      <c r="J194" s="28">
        <v>8</v>
      </c>
      <c r="K194" s="28"/>
      <c r="L194" s="28"/>
      <c r="M194" s="28"/>
      <c r="N194" s="28">
        <v>3</v>
      </c>
      <c r="O194" s="28">
        <v>3</v>
      </c>
      <c r="P194" s="28">
        <v>8</v>
      </c>
      <c r="Y194"/>
      <c r="Z194"/>
      <c r="AA194"/>
      <c r="AB194"/>
      <c r="AC194"/>
      <c r="AD194"/>
      <c r="AE194"/>
      <c r="AF194"/>
      <c r="AG194"/>
    </row>
    <row r="195" spans="2:34" s="27" customFormat="1" ht="15.75" thickBot="1" x14ac:dyDescent="0.3">
      <c r="B195" s="400">
        <v>36</v>
      </c>
      <c r="C195" s="296">
        <v>2</v>
      </c>
      <c r="D195" s="32"/>
      <c r="E195" s="32">
        <v>3</v>
      </c>
      <c r="F195" s="32">
        <f t="shared" si="1"/>
        <v>1</v>
      </c>
      <c r="G195" s="32">
        <v>3</v>
      </c>
      <c r="H195" s="32">
        <v>8</v>
      </c>
      <c r="I195" s="32">
        <f t="shared" si="2"/>
        <v>8</v>
      </c>
      <c r="J195" s="32">
        <v>8</v>
      </c>
      <c r="K195" s="32"/>
      <c r="L195" s="32"/>
      <c r="M195" s="32"/>
      <c r="N195" s="32">
        <v>3</v>
      </c>
      <c r="O195" s="32">
        <v>3</v>
      </c>
      <c r="P195" s="32">
        <v>8</v>
      </c>
      <c r="Y195"/>
      <c r="Z195"/>
      <c r="AA195"/>
      <c r="AB195"/>
      <c r="AC195"/>
      <c r="AD195"/>
      <c r="AE195"/>
      <c r="AF195"/>
      <c r="AG195"/>
    </row>
    <row r="196" spans="2:34" s="27" customFormat="1" x14ac:dyDescent="0.25">
      <c r="B196" s="26"/>
      <c r="C196" s="27">
        <f t="shared" ref="C196:P196" si="7">SUM(C160:C169)</f>
        <v>84</v>
      </c>
      <c r="D196" s="27">
        <f t="shared" si="7"/>
        <v>84</v>
      </c>
      <c r="E196" s="27">
        <f t="shared" si="7"/>
        <v>112</v>
      </c>
      <c r="F196" s="27">
        <f t="shared" si="7"/>
        <v>92</v>
      </c>
      <c r="G196" s="27">
        <f t="shared" si="7"/>
        <v>112</v>
      </c>
      <c r="H196" s="27">
        <f t="shared" si="7"/>
        <v>135</v>
      </c>
      <c r="I196" s="27">
        <f t="shared" si="7"/>
        <v>135</v>
      </c>
      <c r="J196" s="27">
        <f t="shared" si="7"/>
        <v>122</v>
      </c>
      <c r="K196" s="27">
        <f t="shared" si="7"/>
        <v>122</v>
      </c>
      <c r="L196" s="27">
        <f t="shared" si="7"/>
        <v>122</v>
      </c>
      <c r="M196" s="27">
        <f t="shared" si="7"/>
        <v>120</v>
      </c>
      <c r="N196" s="27">
        <f t="shared" si="7"/>
        <v>112</v>
      </c>
      <c r="O196" s="27">
        <f t="shared" si="7"/>
        <v>112</v>
      </c>
      <c r="P196" s="27">
        <f t="shared" si="7"/>
        <v>122</v>
      </c>
      <c r="Y196"/>
      <c r="Z196"/>
      <c r="AA196"/>
      <c r="AB196"/>
      <c r="AC196"/>
      <c r="AD196"/>
      <c r="AE196"/>
      <c r="AF196"/>
      <c r="AG196"/>
    </row>
    <row r="197" spans="2:34" s="27" customFormat="1" ht="15.75" thickBot="1" x14ac:dyDescent="0.3">
      <c r="B197" s="26"/>
      <c r="Z197"/>
      <c r="AA197"/>
      <c r="AB197"/>
      <c r="AC197"/>
      <c r="AD197"/>
      <c r="AE197"/>
      <c r="AF197"/>
      <c r="AG197"/>
      <c r="AH197"/>
    </row>
    <row r="198" spans="2:34" s="27" customFormat="1" ht="15.75" thickBot="1" x14ac:dyDescent="0.3">
      <c r="B198" s="243" t="s">
        <v>367</v>
      </c>
      <c r="C198" s="242" t="s">
        <v>63</v>
      </c>
      <c r="D198" s="138" t="s">
        <v>64</v>
      </c>
      <c r="E198" s="138" t="s">
        <v>65</v>
      </c>
      <c r="F198" s="138" t="s">
        <v>66</v>
      </c>
      <c r="G198" s="138" t="s">
        <v>67</v>
      </c>
      <c r="H198" s="138" t="s">
        <v>68</v>
      </c>
      <c r="I198" s="138" t="s">
        <v>247</v>
      </c>
      <c r="J198" s="138" t="s">
        <v>69</v>
      </c>
      <c r="K198" s="138" t="s">
        <v>70</v>
      </c>
      <c r="L198" s="138" t="s">
        <v>333</v>
      </c>
      <c r="M198" s="138" t="s">
        <v>334</v>
      </c>
      <c r="N198" s="138" t="s">
        <v>1568</v>
      </c>
      <c r="O198" s="138" t="s">
        <v>1625</v>
      </c>
      <c r="P198" s="139" t="s">
        <v>1569</v>
      </c>
      <c r="Y198"/>
      <c r="Z198"/>
      <c r="AA198"/>
      <c r="AB198"/>
      <c r="AC198"/>
      <c r="AD198"/>
      <c r="AE198"/>
      <c r="AF198"/>
      <c r="AG198"/>
    </row>
    <row r="199" spans="2:34" s="27" customFormat="1" x14ac:dyDescent="0.25">
      <c r="B199" s="398">
        <v>1</v>
      </c>
      <c r="C199" s="397">
        <v>13</v>
      </c>
      <c r="D199" s="133">
        <f t="shared" ref="D199:D221" si="8">C199</f>
        <v>13</v>
      </c>
      <c r="E199" s="133">
        <v>15</v>
      </c>
      <c r="F199" s="133">
        <f t="shared" ref="F199:F234" si="9">E199-2</f>
        <v>13</v>
      </c>
      <c r="G199" s="133">
        <v>15</v>
      </c>
      <c r="H199" s="133">
        <v>13</v>
      </c>
      <c r="I199" s="133">
        <f t="shared" ref="I199:I234" si="10">H199</f>
        <v>13</v>
      </c>
      <c r="J199" s="133">
        <v>12</v>
      </c>
      <c r="K199" s="133">
        <f t="shared" ref="K199:K213" si="11">J199</f>
        <v>12</v>
      </c>
      <c r="L199" s="133">
        <f t="shared" ref="L199:L215" si="12">J199</f>
        <v>12</v>
      </c>
      <c r="M199" s="133">
        <f t="shared" ref="M199:M204" si="13">E199</f>
        <v>15</v>
      </c>
      <c r="N199" s="133">
        <v>15</v>
      </c>
      <c r="O199" s="133">
        <v>15</v>
      </c>
      <c r="P199" s="133">
        <v>12</v>
      </c>
      <c r="Y199"/>
      <c r="Z199"/>
      <c r="AA199"/>
      <c r="AB199"/>
      <c r="AC199"/>
      <c r="AD199"/>
      <c r="AE199"/>
      <c r="AF199"/>
      <c r="AG199"/>
    </row>
    <row r="200" spans="2:34" s="27" customFormat="1" x14ac:dyDescent="0.25">
      <c r="B200" s="399">
        <v>2</v>
      </c>
      <c r="C200" s="295">
        <v>13</v>
      </c>
      <c r="D200" s="28">
        <f t="shared" si="8"/>
        <v>13</v>
      </c>
      <c r="E200" s="28">
        <v>15</v>
      </c>
      <c r="F200" s="28">
        <f t="shared" si="9"/>
        <v>13</v>
      </c>
      <c r="G200" s="28">
        <v>15</v>
      </c>
      <c r="H200" s="28">
        <v>13</v>
      </c>
      <c r="I200" s="28">
        <f t="shared" si="10"/>
        <v>13</v>
      </c>
      <c r="J200" s="28">
        <v>12</v>
      </c>
      <c r="K200" s="28">
        <f t="shared" si="11"/>
        <v>12</v>
      </c>
      <c r="L200" s="28">
        <f t="shared" si="12"/>
        <v>12</v>
      </c>
      <c r="M200" s="28">
        <f t="shared" si="13"/>
        <v>15</v>
      </c>
      <c r="N200" s="28">
        <v>15</v>
      </c>
      <c r="O200" s="28">
        <v>15</v>
      </c>
      <c r="P200" s="28">
        <v>12</v>
      </c>
      <c r="Y200"/>
      <c r="Z200"/>
      <c r="AA200"/>
      <c r="AB200"/>
      <c r="AC200"/>
      <c r="AD200"/>
      <c r="AE200"/>
      <c r="AF200"/>
      <c r="AG200"/>
    </row>
    <row r="201" spans="2:34" s="27" customFormat="1" x14ac:dyDescent="0.25">
      <c r="B201" s="399">
        <v>3</v>
      </c>
      <c r="C201" s="295">
        <v>13</v>
      </c>
      <c r="D201" s="28">
        <f t="shared" si="8"/>
        <v>13</v>
      </c>
      <c r="E201" s="28">
        <v>14</v>
      </c>
      <c r="F201" s="28">
        <f t="shared" si="9"/>
        <v>12</v>
      </c>
      <c r="G201" s="28">
        <v>14</v>
      </c>
      <c r="H201" s="28">
        <v>13</v>
      </c>
      <c r="I201" s="28">
        <f t="shared" si="10"/>
        <v>13</v>
      </c>
      <c r="J201" s="28">
        <v>12</v>
      </c>
      <c r="K201" s="28">
        <f t="shared" si="11"/>
        <v>12</v>
      </c>
      <c r="L201" s="28">
        <f t="shared" si="12"/>
        <v>12</v>
      </c>
      <c r="M201" s="28">
        <f t="shared" si="13"/>
        <v>14</v>
      </c>
      <c r="N201" s="28">
        <v>14</v>
      </c>
      <c r="O201" s="28">
        <v>14</v>
      </c>
      <c r="P201" s="28">
        <v>12</v>
      </c>
      <c r="Y201"/>
      <c r="Z201"/>
      <c r="AA201"/>
      <c r="AB201"/>
      <c r="AC201"/>
      <c r="AD201"/>
      <c r="AE201"/>
      <c r="AF201"/>
      <c r="AG201"/>
    </row>
    <row r="202" spans="2:34" s="27" customFormat="1" x14ac:dyDescent="0.25">
      <c r="B202" s="399">
        <v>4</v>
      </c>
      <c r="C202" s="295">
        <v>12</v>
      </c>
      <c r="D202" s="28">
        <f t="shared" si="8"/>
        <v>12</v>
      </c>
      <c r="E202" s="28">
        <v>14</v>
      </c>
      <c r="F202" s="28">
        <f t="shared" si="9"/>
        <v>12</v>
      </c>
      <c r="G202" s="28">
        <v>14</v>
      </c>
      <c r="H202" s="28">
        <v>13</v>
      </c>
      <c r="I202" s="28">
        <f t="shared" si="10"/>
        <v>13</v>
      </c>
      <c r="J202" s="28">
        <v>12</v>
      </c>
      <c r="K202" s="28">
        <f t="shared" si="11"/>
        <v>12</v>
      </c>
      <c r="L202" s="28">
        <f t="shared" si="12"/>
        <v>12</v>
      </c>
      <c r="M202" s="28">
        <f t="shared" si="13"/>
        <v>14</v>
      </c>
      <c r="N202" s="28">
        <v>14</v>
      </c>
      <c r="O202" s="28">
        <v>14</v>
      </c>
      <c r="P202" s="28">
        <v>12</v>
      </c>
      <c r="Y202"/>
      <c r="Z202"/>
      <c r="AA202"/>
      <c r="AB202"/>
      <c r="AC202"/>
      <c r="AD202"/>
      <c r="AE202"/>
      <c r="AF202"/>
      <c r="AG202"/>
    </row>
    <row r="203" spans="2:34" s="27" customFormat="1" x14ac:dyDescent="0.25">
      <c r="B203" s="399">
        <v>5</v>
      </c>
      <c r="C203" s="295">
        <v>12</v>
      </c>
      <c r="D203" s="28">
        <f t="shared" si="8"/>
        <v>12</v>
      </c>
      <c r="E203" s="28">
        <v>12</v>
      </c>
      <c r="F203" s="28">
        <f t="shared" si="9"/>
        <v>10</v>
      </c>
      <c r="G203" s="28">
        <v>12</v>
      </c>
      <c r="H203" s="28">
        <v>13</v>
      </c>
      <c r="I203" s="28">
        <f t="shared" si="10"/>
        <v>13</v>
      </c>
      <c r="J203" s="28">
        <v>11</v>
      </c>
      <c r="K203" s="28">
        <f t="shared" si="11"/>
        <v>11</v>
      </c>
      <c r="L203" s="28">
        <f t="shared" si="12"/>
        <v>11</v>
      </c>
      <c r="M203" s="28">
        <f t="shared" si="13"/>
        <v>12</v>
      </c>
      <c r="N203" s="28">
        <v>12</v>
      </c>
      <c r="O203" s="28">
        <v>12</v>
      </c>
      <c r="P203" s="28">
        <v>11</v>
      </c>
      <c r="Y203"/>
      <c r="Z203"/>
      <c r="AA203"/>
      <c r="AB203"/>
      <c r="AC203"/>
      <c r="AD203"/>
      <c r="AE203"/>
      <c r="AF203"/>
      <c r="AG203"/>
    </row>
    <row r="204" spans="2:34" s="27" customFormat="1" x14ac:dyDescent="0.25">
      <c r="B204" s="399">
        <v>6</v>
      </c>
      <c r="C204" s="295">
        <v>12</v>
      </c>
      <c r="D204" s="28">
        <f t="shared" si="8"/>
        <v>12</v>
      </c>
      <c r="E204" s="28">
        <v>12</v>
      </c>
      <c r="F204" s="28">
        <f t="shared" si="9"/>
        <v>10</v>
      </c>
      <c r="G204" s="28">
        <v>12</v>
      </c>
      <c r="H204" s="28">
        <v>11</v>
      </c>
      <c r="I204" s="28">
        <f t="shared" si="10"/>
        <v>11</v>
      </c>
      <c r="J204" s="28">
        <v>11</v>
      </c>
      <c r="K204" s="28">
        <f t="shared" si="11"/>
        <v>11</v>
      </c>
      <c r="L204" s="28">
        <f t="shared" si="12"/>
        <v>11</v>
      </c>
      <c r="M204" s="28">
        <f t="shared" si="13"/>
        <v>12</v>
      </c>
      <c r="N204" s="28">
        <v>12</v>
      </c>
      <c r="O204" s="28">
        <v>12</v>
      </c>
      <c r="P204" s="28">
        <v>11</v>
      </c>
      <c r="Y204"/>
      <c r="Z204"/>
      <c r="AA204"/>
      <c r="AB204"/>
      <c r="AC204"/>
      <c r="AD204"/>
      <c r="AE204"/>
      <c r="AF204"/>
      <c r="AG204"/>
    </row>
    <row r="205" spans="2:34" s="27" customFormat="1" x14ac:dyDescent="0.25">
      <c r="B205" s="399">
        <v>7</v>
      </c>
      <c r="C205" s="295">
        <v>10</v>
      </c>
      <c r="D205" s="28">
        <f t="shared" si="8"/>
        <v>10</v>
      </c>
      <c r="E205" s="28">
        <v>11</v>
      </c>
      <c r="F205" s="28">
        <f t="shared" si="9"/>
        <v>9</v>
      </c>
      <c r="G205" s="28">
        <v>11</v>
      </c>
      <c r="H205" s="28">
        <v>11</v>
      </c>
      <c r="I205" s="28">
        <f t="shared" si="10"/>
        <v>11</v>
      </c>
      <c r="J205" s="28">
        <v>11</v>
      </c>
      <c r="K205" s="28">
        <f t="shared" si="11"/>
        <v>11</v>
      </c>
      <c r="L205" s="28">
        <f t="shared" si="12"/>
        <v>11</v>
      </c>
      <c r="M205" s="28">
        <f>MIN(J199,M204)</f>
        <v>12</v>
      </c>
      <c r="N205" s="28">
        <v>11</v>
      </c>
      <c r="O205" s="28">
        <v>11</v>
      </c>
      <c r="P205" s="28">
        <v>11</v>
      </c>
      <c r="Y205"/>
      <c r="Z205"/>
      <c r="AA205"/>
      <c r="AB205"/>
      <c r="AC205"/>
      <c r="AD205"/>
      <c r="AE205"/>
      <c r="AF205"/>
      <c r="AG205"/>
    </row>
    <row r="206" spans="2:34" s="27" customFormat="1" x14ac:dyDescent="0.25">
      <c r="B206" s="399">
        <v>8</v>
      </c>
      <c r="C206" s="295">
        <v>10</v>
      </c>
      <c r="D206" s="28">
        <f t="shared" si="8"/>
        <v>10</v>
      </c>
      <c r="E206" s="28">
        <v>11</v>
      </c>
      <c r="F206" s="28">
        <f t="shared" si="9"/>
        <v>9</v>
      </c>
      <c r="G206" s="28">
        <v>11</v>
      </c>
      <c r="H206" s="28">
        <v>11</v>
      </c>
      <c r="I206" s="28">
        <f t="shared" si="10"/>
        <v>11</v>
      </c>
      <c r="J206" s="28">
        <v>11</v>
      </c>
      <c r="K206" s="28">
        <f t="shared" si="11"/>
        <v>11</v>
      </c>
      <c r="L206" s="28">
        <f t="shared" si="12"/>
        <v>11</v>
      </c>
      <c r="M206" s="28">
        <f>MIN(J200,M205)</f>
        <v>12</v>
      </c>
      <c r="N206" s="28">
        <v>11</v>
      </c>
      <c r="O206" s="28">
        <v>11</v>
      </c>
      <c r="P206" s="28">
        <v>11</v>
      </c>
      <c r="Y206"/>
      <c r="Z206"/>
      <c r="AA206"/>
      <c r="AB206"/>
      <c r="AC206"/>
      <c r="AD206"/>
      <c r="AE206"/>
      <c r="AF206"/>
      <c r="AG206"/>
    </row>
    <row r="207" spans="2:34" s="27" customFormat="1" x14ac:dyDescent="0.25">
      <c r="B207" s="399">
        <v>9</v>
      </c>
      <c r="C207" s="295">
        <v>10</v>
      </c>
      <c r="D207" s="28">
        <f t="shared" si="8"/>
        <v>10</v>
      </c>
      <c r="E207" s="28">
        <v>9</v>
      </c>
      <c r="F207" s="28">
        <f t="shared" si="9"/>
        <v>7</v>
      </c>
      <c r="G207" s="28">
        <v>9</v>
      </c>
      <c r="H207" s="28">
        <v>11</v>
      </c>
      <c r="I207" s="28">
        <f t="shared" si="10"/>
        <v>11</v>
      </c>
      <c r="J207" s="28">
        <v>10</v>
      </c>
      <c r="K207" s="28">
        <f t="shared" si="11"/>
        <v>10</v>
      </c>
      <c r="L207" s="28">
        <f t="shared" si="12"/>
        <v>10</v>
      </c>
      <c r="M207" s="28">
        <f>MIN(J201,M206)</f>
        <v>12</v>
      </c>
      <c r="N207" s="28">
        <v>9</v>
      </c>
      <c r="O207" s="28">
        <v>9</v>
      </c>
      <c r="P207" s="28">
        <v>10</v>
      </c>
      <c r="Y207"/>
      <c r="Z207"/>
      <c r="AA207"/>
      <c r="AB207"/>
      <c r="AC207"/>
      <c r="AD207"/>
      <c r="AE207"/>
      <c r="AF207"/>
      <c r="AG207"/>
    </row>
    <row r="208" spans="2:34" s="27" customFormat="1" x14ac:dyDescent="0.25">
      <c r="B208" s="399">
        <v>10</v>
      </c>
      <c r="C208" s="295">
        <v>9</v>
      </c>
      <c r="D208" s="28">
        <f t="shared" si="8"/>
        <v>9</v>
      </c>
      <c r="E208" s="28">
        <v>9</v>
      </c>
      <c r="F208" s="28">
        <f t="shared" si="9"/>
        <v>7</v>
      </c>
      <c r="G208" s="28">
        <v>9</v>
      </c>
      <c r="H208" s="28">
        <v>11</v>
      </c>
      <c r="I208" s="28">
        <f t="shared" si="10"/>
        <v>11</v>
      </c>
      <c r="J208" s="28">
        <v>10</v>
      </c>
      <c r="K208" s="28">
        <f t="shared" si="11"/>
        <v>10</v>
      </c>
      <c r="L208" s="28">
        <f t="shared" si="12"/>
        <v>10</v>
      </c>
      <c r="M208" s="28">
        <f>MIN(J202,M207)</f>
        <v>12</v>
      </c>
      <c r="N208" s="28">
        <v>9</v>
      </c>
      <c r="O208" s="28">
        <v>9</v>
      </c>
      <c r="P208" s="28">
        <v>10</v>
      </c>
      <c r="Y208"/>
      <c r="Z208"/>
      <c r="AA208"/>
      <c r="AB208"/>
      <c r="AC208"/>
      <c r="AD208"/>
      <c r="AE208"/>
      <c r="AF208"/>
      <c r="AG208"/>
    </row>
    <row r="209" spans="2:33" s="27" customFormat="1" x14ac:dyDescent="0.25">
      <c r="B209" s="399">
        <v>11</v>
      </c>
      <c r="C209" s="295">
        <v>9</v>
      </c>
      <c r="D209" s="28">
        <f t="shared" si="8"/>
        <v>9</v>
      </c>
      <c r="E209" s="28">
        <v>8</v>
      </c>
      <c r="F209" s="28">
        <f t="shared" si="9"/>
        <v>6</v>
      </c>
      <c r="G209" s="28">
        <v>8</v>
      </c>
      <c r="H209" s="28">
        <v>9</v>
      </c>
      <c r="I209" s="28">
        <f t="shared" si="10"/>
        <v>9</v>
      </c>
      <c r="J209" s="28">
        <v>10</v>
      </c>
      <c r="K209" s="28">
        <f t="shared" si="11"/>
        <v>10</v>
      </c>
      <c r="L209" s="28">
        <f t="shared" si="12"/>
        <v>10</v>
      </c>
      <c r="M209" s="28">
        <f t="shared" ref="M209:M231" si="14">MIN(M208,D201,E201,J201)</f>
        <v>12</v>
      </c>
      <c r="N209" s="28">
        <v>8</v>
      </c>
      <c r="O209" s="28">
        <v>8</v>
      </c>
      <c r="P209" s="28">
        <v>10</v>
      </c>
      <c r="Y209"/>
      <c r="Z209"/>
      <c r="AA209"/>
      <c r="AB209"/>
      <c r="AC209"/>
      <c r="AD209"/>
      <c r="AE209"/>
      <c r="AF209"/>
      <c r="AG209"/>
    </row>
    <row r="210" spans="2:33" s="27" customFormat="1" x14ac:dyDescent="0.25">
      <c r="B210" s="399">
        <v>12</v>
      </c>
      <c r="C210" s="295">
        <v>9</v>
      </c>
      <c r="D210" s="28">
        <f t="shared" si="8"/>
        <v>9</v>
      </c>
      <c r="E210" s="28">
        <v>8</v>
      </c>
      <c r="F210" s="28">
        <f t="shared" si="9"/>
        <v>6</v>
      </c>
      <c r="G210" s="28">
        <v>8</v>
      </c>
      <c r="H210" s="28">
        <v>9</v>
      </c>
      <c r="I210" s="28">
        <f t="shared" si="10"/>
        <v>9</v>
      </c>
      <c r="J210" s="28">
        <v>10</v>
      </c>
      <c r="K210" s="28">
        <f t="shared" si="11"/>
        <v>10</v>
      </c>
      <c r="L210" s="28">
        <f t="shared" si="12"/>
        <v>10</v>
      </c>
      <c r="M210" s="28">
        <f t="shared" si="14"/>
        <v>12</v>
      </c>
      <c r="N210" s="28">
        <v>8</v>
      </c>
      <c r="O210" s="28">
        <v>8</v>
      </c>
      <c r="P210" s="28">
        <v>10</v>
      </c>
      <c r="Y210"/>
      <c r="Z210"/>
      <c r="AA210"/>
      <c r="AB210"/>
      <c r="AC210"/>
      <c r="AD210"/>
      <c r="AE210"/>
      <c r="AF210"/>
      <c r="AG210"/>
    </row>
    <row r="211" spans="2:33" s="27" customFormat="1" x14ac:dyDescent="0.25">
      <c r="B211" s="399">
        <v>13</v>
      </c>
      <c r="C211" s="295">
        <v>8</v>
      </c>
      <c r="D211" s="28">
        <f t="shared" si="8"/>
        <v>8</v>
      </c>
      <c r="E211" s="28">
        <v>6</v>
      </c>
      <c r="F211" s="28">
        <f t="shared" si="9"/>
        <v>4</v>
      </c>
      <c r="G211" s="28">
        <v>6</v>
      </c>
      <c r="H211" s="28">
        <v>9</v>
      </c>
      <c r="I211" s="28">
        <f t="shared" si="10"/>
        <v>9</v>
      </c>
      <c r="J211" s="28">
        <v>9</v>
      </c>
      <c r="K211" s="28">
        <f t="shared" si="11"/>
        <v>9</v>
      </c>
      <c r="L211" s="28">
        <f t="shared" si="12"/>
        <v>9</v>
      </c>
      <c r="M211" s="28">
        <f t="shared" si="14"/>
        <v>11</v>
      </c>
      <c r="N211" s="28">
        <v>6</v>
      </c>
      <c r="O211" s="28">
        <v>6</v>
      </c>
      <c r="P211" s="28">
        <v>9</v>
      </c>
      <c r="Y211"/>
      <c r="Z211"/>
      <c r="AA211"/>
      <c r="AB211"/>
      <c r="AC211"/>
      <c r="AD211"/>
      <c r="AE211"/>
      <c r="AF211"/>
      <c r="AG211"/>
    </row>
    <row r="212" spans="2:33" s="27" customFormat="1" x14ac:dyDescent="0.25">
      <c r="B212" s="399">
        <v>14</v>
      </c>
      <c r="C212" s="295">
        <v>8</v>
      </c>
      <c r="D212" s="28">
        <f t="shared" si="8"/>
        <v>8</v>
      </c>
      <c r="E212" s="28">
        <v>6</v>
      </c>
      <c r="F212" s="28">
        <f t="shared" si="9"/>
        <v>4</v>
      </c>
      <c r="G212" s="28">
        <v>6</v>
      </c>
      <c r="H212" s="28">
        <v>9</v>
      </c>
      <c r="I212" s="28">
        <f t="shared" si="10"/>
        <v>9</v>
      </c>
      <c r="J212" s="28">
        <v>9</v>
      </c>
      <c r="K212" s="28">
        <f t="shared" si="11"/>
        <v>9</v>
      </c>
      <c r="L212" s="28">
        <f t="shared" si="12"/>
        <v>9</v>
      </c>
      <c r="M212" s="28">
        <f t="shared" si="14"/>
        <v>11</v>
      </c>
      <c r="N212" s="28">
        <v>6</v>
      </c>
      <c r="O212" s="28">
        <v>6</v>
      </c>
      <c r="P212" s="28">
        <v>9</v>
      </c>
      <c r="Y212"/>
      <c r="Z212"/>
      <c r="AA212"/>
      <c r="AB212"/>
      <c r="AC212"/>
      <c r="AD212"/>
      <c r="AE212"/>
      <c r="AF212"/>
      <c r="AG212"/>
    </row>
    <row r="213" spans="2:33" s="27" customFormat="1" x14ac:dyDescent="0.25">
      <c r="B213" s="399">
        <v>15</v>
      </c>
      <c r="C213" s="295">
        <v>8</v>
      </c>
      <c r="D213" s="28">
        <f t="shared" si="8"/>
        <v>8</v>
      </c>
      <c r="E213" s="28">
        <v>5</v>
      </c>
      <c r="F213" s="28">
        <f t="shared" si="9"/>
        <v>3</v>
      </c>
      <c r="G213" s="28">
        <v>5</v>
      </c>
      <c r="H213" s="28">
        <v>9</v>
      </c>
      <c r="I213" s="28">
        <f t="shared" si="10"/>
        <v>9</v>
      </c>
      <c r="J213" s="28">
        <v>9</v>
      </c>
      <c r="K213" s="28">
        <f t="shared" si="11"/>
        <v>9</v>
      </c>
      <c r="L213" s="28">
        <f t="shared" si="12"/>
        <v>9</v>
      </c>
      <c r="M213" s="28">
        <f t="shared" si="14"/>
        <v>10</v>
      </c>
      <c r="N213" s="28">
        <v>5</v>
      </c>
      <c r="O213" s="28">
        <v>5</v>
      </c>
      <c r="P213" s="28">
        <v>9</v>
      </c>
      <c r="Y213"/>
      <c r="Z213"/>
      <c r="AA213"/>
      <c r="AB213"/>
      <c r="AC213"/>
      <c r="AD213"/>
      <c r="AE213"/>
      <c r="AF213"/>
      <c r="AG213"/>
    </row>
    <row r="214" spans="2:33" s="27" customFormat="1" x14ac:dyDescent="0.25">
      <c r="B214" s="399">
        <v>16</v>
      </c>
      <c r="C214" s="295">
        <v>7</v>
      </c>
      <c r="D214" s="28">
        <f t="shared" si="8"/>
        <v>7</v>
      </c>
      <c r="E214" s="28">
        <v>5</v>
      </c>
      <c r="F214" s="28">
        <f t="shared" si="9"/>
        <v>3</v>
      </c>
      <c r="G214" s="28">
        <v>5</v>
      </c>
      <c r="H214" s="28">
        <v>7</v>
      </c>
      <c r="I214" s="28">
        <f t="shared" si="10"/>
        <v>7</v>
      </c>
      <c r="J214" s="28">
        <v>9</v>
      </c>
      <c r="K214" s="28"/>
      <c r="L214" s="28">
        <f t="shared" si="12"/>
        <v>9</v>
      </c>
      <c r="M214" s="28">
        <f t="shared" si="14"/>
        <v>10</v>
      </c>
      <c r="N214" s="28">
        <v>5</v>
      </c>
      <c r="O214" s="28">
        <v>5</v>
      </c>
      <c r="P214" s="28">
        <v>9</v>
      </c>
      <c r="Y214"/>
      <c r="Z214"/>
      <c r="AA214"/>
      <c r="AB214"/>
      <c r="AC214"/>
      <c r="AD214"/>
      <c r="AE214"/>
      <c r="AF214"/>
      <c r="AG214"/>
    </row>
    <row r="215" spans="2:33" s="27" customFormat="1" x14ac:dyDescent="0.25">
      <c r="B215" s="399">
        <v>17</v>
      </c>
      <c r="C215" s="295">
        <v>7</v>
      </c>
      <c r="D215" s="28">
        <f t="shared" si="8"/>
        <v>7</v>
      </c>
      <c r="E215" s="28">
        <v>4</v>
      </c>
      <c r="F215" s="28">
        <f t="shared" si="9"/>
        <v>2</v>
      </c>
      <c r="G215" s="28">
        <v>4</v>
      </c>
      <c r="H215" s="28">
        <v>7</v>
      </c>
      <c r="I215" s="28">
        <f t="shared" si="10"/>
        <v>7</v>
      </c>
      <c r="J215" s="28">
        <v>8</v>
      </c>
      <c r="K215" s="28"/>
      <c r="L215" s="28">
        <f t="shared" si="12"/>
        <v>8</v>
      </c>
      <c r="M215" s="28">
        <f t="shared" si="14"/>
        <v>9</v>
      </c>
      <c r="N215" s="28">
        <v>4</v>
      </c>
      <c r="O215" s="28">
        <v>4</v>
      </c>
      <c r="P215" s="28">
        <v>8</v>
      </c>
      <c r="Y215"/>
      <c r="Z215"/>
      <c r="AA215"/>
      <c r="AB215"/>
      <c r="AC215"/>
      <c r="AD215"/>
      <c r="AE215"/>
      <c r="AF215"/>
      <c r="AG215"/>
    </row>
    <row r="216" spans="2:33" s="27" customFormat="1" x14ac:dyDescent="0.25">
      <c r="B216" s="399">
        <v>18</v>
      </c>
      <c r="C216" s="295">
        <v>7</v>
      </c>
      <c r="D216" s="28">
        <f t="shared" si="8"/>
        <v>7</v>
      </c>
      <c r="E216" s="28">
        <v>4</v>
      </c>
      <c r="F216" s="28">
        <f t="shared" si="9"/>
        <v>2</v>
      </c>
      <c r="G216" s="28">
        <v>4</v>
      </c>
      <c r="H216" s="28">
        <v>7</v>
      </c>
      <c r="I216" s="28">
        <f t="shared" si="10"/>
        <v>7</v>
      </c>
      <c r="J216" s="28">
        <v>8</v>
      </c>
      <c r="K216" s="28"/>
      <c r="L216" s="28"/>
      <c r="M216" s="28">
        <f t="shared" si="14"/>
        <v>9</v>
      </c>
      <c r="N216" s="28">
        <v>4</v>
      </c>
      <c r="O216" s="28">
        <v>4</v>
      </c>
      <c r="P216" s="28">
        <v>8</v>
      </c>
      <c r="Y216"/>
      <c r="Z216"/>
      <c r="AA216"/>
      <c r="AB216"/>
      <c r="AC216"/>
      <c r="AD216"/>
      <c r="AE216"/>
      <c r="AF216"/>
      <c r="AG216"/>
    </row>
    <row r="217" spans="2:33" s="27" customFormat="1" x14ac:dyDescent="0.25">
      <c r="B217" s="399">
        <v>19</v>
      </c>
      <c r="C217" s="295">
        <v>5</v>
      </c>
      <c r="D217" s="28">
        <f t="shared" si="8"/>
        <v>5</v>
      </c>
      <c r="E217" s="28">
        <v>4</v>
      </c>
      <c r="F217" s="28">
        <f t="shared" si="9"/>
        <v>2</v>
      </c>
      <c r="G217" s="28">
        <v>4</v>
      </c>
      <c r="H217" s="28">
        <v>7</v>
      </c>
      <c r="I217" s="28">
        <f t="shared" si="10"/>
        <v>7</v>
      </c>
      <c r="J217" s="28">
        <v>8</v>
      </c>
      <c r="K217" s="28"/>
      <c r="L217" s="28"/>
      <c r="M217" s="28">
        <f t="shared" si="14"/>
        <v>8</v>
      </c>
      <c r="N217" s="28">
        <v>4</v>
      </c>
      <c r="O217" s="28">
        <v>4</v>
      </c>
      <c r="P217" s="28">
        <v>8</v>
      </c>
      <c r="Y217"/>
      <c r="Z217"/>
      <c r="AA217"/>
      <c r="AB217"/>
      <c r="AC217"/>
      <c r="AD217"/>
      <c r="AE217"/>
      <c r="AF217"/>
      <c r="AG217"/>
    </row>
    <row r="218" spans="2:33" s="27" customFormat="1" x14ac:dyDescent="0.25">
      <c r="B218" s="399">
        <v>20</v>
      </c>
      <c r="C218" s="295">
        <v>5</v>
      </c>
      <c r="D218" s="28">
        <f t="shared" si="8"/>
        <v>5</v>
      </c>
      <c r="E218" s="28">
        <v>4</v>
      </c>
      <c r="F218" s="28">
        <f t="shared" si="9"/>
        <v>2</v>
      </c>
      <c r="G218" s="28">
        <v>4</v>
      </c>
      <c r="H218" s="28">
        <v>7</v>
      </c>
      <c r="I218" s="28">
        <f t="shared" si="10"/>
        <v>7</v>
      </c>
      <c r="J218" s="28">
        <v>8</v>
      </c>
      <c r="K218" s="28"/>
      <c r="L218" s="28"/>
      <c r="M218" s="28">
        <f t="shared" si="14"/>
        <v>8</v>
      </c>
      <c r="N218" s="28">
        <v>4</v>
      </c>
      <c r="O218" s="28">
        <v>4</v>
      </c>
      <c r="P218" s="28">
        <v>8</v>
      </c>
      <c r="Y218"/>
      <c r="Z218"/>
      <c r="AA218"/>
      <c r="AB218"/>
      <c r="AC218"/>
      <c r="AD218"/>
      <c r="AE218"/>
      <c r="AF218"/>
      <c r="AG218"/>
    </row>
    <row r="219" spans="2:33" s="27" customFormat="1" x14ac:dyDescent="0.25">
      <c r="B219" s="399">
        <v>21</v>
      </c>
      <c r="C219" s="295">
        <v>5</v>
      </c>
      <c r="D219" s="28">
        <f t="shared" si="8"/>
        <v>5</v>
      </c>
      <c r="E219" s="28">
        <v>4</v>
      </c>
      <c r="F219" s="28">
        <f t="shared" si="9"/>
        <v>2</v>
      </c>
      <c r="G219" s="28">
        <v>4</v>
      </c>
      <c r="H219" s="28">
        <v>5</v>
      </c>
      <c r="I219" s="28">
        <f t="shared" si="10"/>
        <v>5</v>
      </c>
      <c r="J219" s="28">
        <v>7</v>
      </c>
      <c r="K219" s="28"/>
      <c r="L219" s="28"/>
      <c r="M219" s="28">
        <f t="shared" si="14"/>
        <v>6</v>
      </c>
      <c r="N219" s="28">
        <v>4</v>
      </c>
      <c r="O219" s="28">
        <v>4</v>
      </c>
      <c r="P219" s="28">
        <v>7</v>
      </c>
      <c r="Y219"/>
      <c r="Z219"/>
      <c r="AA219"/>
      <c r="AB219"/>
      <c r="AC219"/>
      <c r="AD219"/>
      <c r="AE219"/>
      <c r="AF219"/>
      <c r="AG219"/>
    </row>
    <row r="220" spans="2:33" s="27" customFormat="1" x14ac:dyDescent="0.25">
      <c r="B220" s="399">
        <v>22</v>
      </c>
      <c r="C220" s="295">
        <v>5</v>
      </c>
      <c r="D220" s="28">
        <f t="shared" si="8"/>
        <v>5</v>
      </c>
      <c r="E220" s="28">
        <v>4</v>
      </c>
      <c r="F220" s="28">
        <f t="shared" si="9"/>
        <v>2</v>
      </c>
      <c r="G220" s="28">
        <v>4</v>
      </c>
      <c r="H220" s="28">
        <v>5</v>
      </c>
      <c r="I220" s="28">
        <f t="shared" si="10"/>
        <v>5</v>
      </c>
      <c r="J220" s="28">
        <v>7</v>
      </c>
      <c r="K220" s="28"/>
      <c r="L220" s="28"/>
      <c r="M220" s="28">
        <f t="shared" si="14"/>
        <v>6</v>
      </c>
      <c r="N220" s="28">
        <v>4</v>
      </c>
      <c r="O220" s="28">
        <v>4</v>
      </c>
      <c r="P220" s="28">
        <v>7</v>
      </c>
      <c r="Y220"/>
      <c r="Z220"/>
      <c r="AA220"/>
      <c r="AB220"/>
      <c r="AC220"/>
      <c r="AD220"/>
      <c r="AE220"/>
      <c r="AF220"/>
      <c r="AG220"/>
    </row>
    <row r="221" spans="2:33" s="27" customFormat="1" x14ac:dyDescent="0.25">
      <c r="B221" s="399">
        <v>23</v>
      </c>
      <c r="C221" s="295">
        <v>5</v>
      </c>
      <c r="D221" s="28">
        <f t="shared" si="8"/>
        <v>5</v>
      </c>
      <c r="E221" s="28">
        <v>4</v>
      </c>
      <c r="F221" s="28">
        <f t="shared" si="9"/>
        <v>2</v>
      </c>
      <c r="G221" s="28">
        <v>4</v>
      </c>
      <c r="H221" s="28">
        <v>5</v>
      </c>
      <c r="I221" s="28">
        <f t="shared" si="10"/>
        <v>5</v>
      </c>
      <c r="J221" s="28">
        <v>7</v>
      </c>
      <c r="K221" s="28"/>
      <c r="L221" s="28"/>
      <c r="M221" s="28">
        <f t="shared" si="14"/>
        <v>5</v>
      </c>
      <c r="N221" s="28">
        <v>4</v>
      </c>
      <c r="O221" s="28">
        <v>4</v>
      </c>
      <c r="P221" s="28">
        <v>7</v>
      </c>
      <c r="Y221"/>
      <c r="Z221"/>
      <c r="AA221"/>
      <c r="AB221"/>
      <c r="AC221"/>
      <c r="AD221"/>
      <c r="AE221"/>
      <c r="AF221"/>
      <c r="AG221"/>
    </row>
    <row r="222" spans="2:33" s="27" customFormat="1" x14ac:dyDescent="0.25">
      <c r="B222" s="399">
        <v>24</v>
      </c>
      <c r="C222" s="295">
        <v>5</v>
      </c>
      <c r="D222" s="28"/>
      <c r="E222" s="28">
        <v>4</v>
      </c>
      <c r="F222" s="28">
        <f t="shared" si="9"/>
        <v>2</v>
      </c>
      <c r="G222" s="28">
        <v>4</v>
      </c>
      <c r="H222" s="28">
        <v>5</v>
      </c>
      <c r="I222" s="28">
        <f t="shared" si="10"/>
        <v>5</v>
      </c>
      <c r="J222" s="28">
        <v>7</v>
      </c>
      <c r="K222" s="28"/>
      <c r="L222" s="28"/>
      <c r="M222" s="28">
        <f t="shared" si="14"/>
        <v>5</v>
      </c>
      <c r="N222" s="28">
        <v>4</v>
      </c>
      <c r="O222" s="28">
        <v>4</v>
      </c>
      <c r="P222" s="28">
        <v>7</v>
      </c>
      <c r="Y222"/>
      <c r="Z222"/>
      <c r="AA222"/>
      <c r="AB222"/>
      <c r="AC222"/>
      <c r="AD222"/>
      <c r="AE222"/>
      <c r="AF222"/>
      <c r="AG222"/>
    </row>
    <row r="223" spans="2:33" s="27" customFormat="1" x14ac:dyDescent="0.25">
      <c r="B223" s="399">
        <v>25</v>
      </c>
      <c r="C223" s="295">
        <v>5</v>
      </c>
      <c r="D223" s="28"/>
      <c r="E223" s="28">
        <v>4</v>
      </c>
      <c r="F223" s="28">
        <f t="shared" si="9"/>
        <v>2</v>
      </c>
      <c r="G223" s="28">
        <v>4</v>
      </c>
      <c r="H223" s="28">
        <v>5</v>
      </c>
      <c r="I223" s="28">
        <f t="shared" si="10"/>
        <v>5</v>
      </c>
      <c r="J223" s="28">
        <v>7</v>
      </c>
      <c r="K223" s="28"/>
      <c r="L223" s="28"/>
      <c r="M223" s="28">
        <f t="shared" si="14"/>
        <v>4</v>
      </c>
      <c r="N223" s="28">
        <v>4</v>
      </c>
      <c r="O223" s="28">
        <v>4</v>
      </c>
      <c r="P223" s="28">
        <v>7</v>
      </c>
      <c r="Y223"/>
      <c r="Z223"/>
      <c r="AA223"/>
      <c r="AB223"/>
      <c r="AC223"/>
      <c r="AD223"/>
      <c r="AE223"/>
      <c r="AF223"/>
      <c r="AG223"/>
    </row>
    <row r="224" spans="2:33" s="27" customFormat="1" x14ac:dyDescent="0.25">
      <c r="B224" s="399">
        <v>26</v>
      </c>
      <c r="C224" s="295">
        <v>5</v>
      </c>
      <c r="D224" s="28"/>
      <c r="E224" s="28">
        <v>4</v>
      </c>
      <c r="F224" s="28">
        <f t="shared" si="9"/>
        <v>2</v>
      </c>
      <c r="G224" s="28">
        <v>4</v>
      </c>
      <c r="H224" s="28">
        <v>5</v>
      </c>
      <c r="I224" s="28">
        <f t="shared" si="10"/>
        <v>5</v>
      </c>
      <c r="J224" s="28">
        <v>7</v>
      </c>
      <c r="K224" s="28"/>
      <c r="L224" s="28"/>
      <c r="M224" s="28">
        <f t="shared" si="14"/>
        <v>4</v>
      </c>
      <c r="N224" s="28">
        <v>4</v>
      </c>
      <c r="O224" s="28">
        <v>4</v>
      </c>
      <c r="P224" s="28">
        <v>7</v>
      </c>
      <c r="Y224"/>
      <c r="Z224"/>
      <c r="AA224"/>
      <c r="AB224"/>
      <c r="AC224"/>
      <c r="AD224"/>
      <c r="AE224"/>
      <c r="AF224"/>
      <c r="AG224"/>
    </row>
    <row r="225" spans="2:33" s="27" customFormat="1" x14ac:dyDescent="0.25">
      <c r="B225" s="399">
        <v>27</v>
      </c>
      <c r="C225" s="295">
        <v>5</v>
      </c>
      <c r="D225" s="28"/>
      <c r="E225" s="28">
        <v>4</v>
      </c>
      <c r="F225" s="28">
        <f t="shared" si="9"/>
        <v>2</v>
      </c>
      <c r="G225" s="28">
        <v>4</v>
      </c>
      <c r="H225" s="28">
        <v>5</v>
      </c>
      <c r="I225" s="28">
        <f t="shared" si="10"/>
        <v>5</v>
      </c>
      <c r="J225" s="28">
        <v>7</v>
      </c>
      <c r="K225" s="28"/>
      <c r="L225" s="28"/>
      <c r="M225" s="28">
        <f t="shared" si="14"/>
        <v>4</v>
      </c>
      <c r="N225" s="28">
        <v>4</v>
      </c>
      <c r="O225" s="28">
        <v>4</v>
      </c>
      <c r="P225" s="28">
        <v>7</v>
      </c>
      <c r="Y225"/>
      <c r="Z225"/>
      <c r="AA225"/>
      <c r="AB225"/>
      <c r="AC225"/>
      <c r="AD225"/>
      <c r="AE225"/>
      <c r="AF225"/>
      <c r="AG225"/>
    </row>
    <row r="226" spans="2:33" s="27" customFormat="1" x14ac:dyDescent="0.25">
      <c r="B226" s="399">
        <v>28</v>
      </c>
      <c r="C226" s="295">
        <v>5</v>
      </c>
      <c r="D226" s="28"/>
      <c r="E226" s="28">
        <v>4</v>
      </c>
      <c r="F226" s="28">
        <f t="shared" si="9"/>
        <v>2</v>
      </c>
      <c r="G226" s="28">
        <v>4</v>
      </c>
      <c r="H226" s="28">
        <v>5</v>
      </c>
      <c r="I226" s="28">
        <f t="shared" si="10"/>
        <v>5</v>
      </c>
      <c r="J226" s="28">
        <v>7</v>
      </c>
      <c r="K226" s="28"/>
      <c r="L226" s="28"/>
      <c r="M226" s="28">
        <f t="shared" si="14"/>
        <v>4</v>
      </c>
      <c r="N226" s="28">
        <v>4</v>
      </c>
      <c r="O226" s="28">
        <v>4</v>
      </c>
      <c r="P226" s="28">
        <v>7</v>
      </c>
      <c r="Y226"/>
      <c r="Z226"/>
      <c r="AA226"/>
      <c r="AB226"/>
      <c r="AC226"/>
      <c r="AD226"/>
      <c r="AE226"/>
      <c r="AF226"/>
      <c r="AG226"/>
    </row>
    <row r="227" spans="2:33" s="27" customFormat="1" x14ac:dyDescent="0.25">
      <c r="B227" s="399">
        <v>29</v>
      </c>
      <c r="C227" s="295">
        <v>5</v>
      </c>
      <c r="D227" s="28"/>
      <c r="E227" s="28">
        <v>4</v>
      </c>
      <c r="F227" s="28">
        <f t="shared" si="9"/>
        <v>2</v>
      </c>
      <c r="G227" s="28">
        <v>4</v>
      </c>
      <c r="H227" s="28">
        <v>5</v>
      </c>
      <c r="I227" s="28">
        <f t="shared" si="10"/>
        <v>5</v>
      </c>
      <c r="J227" s="28">
        <v>7</v>
      </c>
      <c r="K227" s="28"/>
      <c r="L227" s="28"/>
      <c r="M227" s="28">
        <f t="shared" si="14"/>
        <v>4</v>
      </c>
      <c r="N227" s="28">
        <v>4</v>
      </c>
      <c r="O227" s="28">
        <v>4</v>
      </c>
      <c r="P227" s="28">
        <v>7</v>
      </c>
      <c r="Y227"/>
      <c r="Z227"/>
      <c r="AA227"/>
      <c r="AB227"/>
      <c r="AC227"/>
      <c r="AD227"/>
      <c r="AE227"/>
      <c r="AF227"/>
      <c r="AG227"/>
    </row>
    <row r="228" spans="2:33" s="27" customFormat="1" x14ac:dyDescent="0.25">
      <c r="B228" s="399">
        <v>30</v>
      </c>
      <c r="C228" s="295">
        <v>5</v>
      </c>
      <c r="D228" s="28"/>
      <c r="E228" s="28">
        <v>4</v>
      </c>
      <c r="F228" s="28">
        <f t="shared" si="9"/>
        <v>2</v>
      </c>
      <c r="G228" s="28">
        <v>4</v>
      </c>
      <c r="H228" s="28">
        <v>5</v>
      </c>
      <c r="I228" s="28">
        <f t="shared" si="10"/>
        <v>5</v>
      </c>
      <c r="J228" s="28">
        <v>7</v>
      </c>
      <c r="K228" s="28"/>
      <c r="L228" s="28"/>
      <c r="M228" s="28">
        <f t="shared" si="14"/>
        <v>4</v>
      </c>
      <c r="N228" s="28">
        <v>4</v>
      </c>
      <c r="O228" s="28">
        <v>4</v>
      </c>
      <c r="P228" s="28">
        <v>7</v>
      </c>
      <c r="Y228"/>
      <c r="Z228"/>
      <c r="AA228"/>
      <c r="AB228"/>
      <c r="AC228"/>
      <c r="AD228"/>
      <c r="AE228"/>
      <c r="AF228"/>
      <c r="AG228"/>
    </row>
    <row r="229" spans="2:33" s="27" customFormat="1" x14ac:dyDescent="0.25">
      <c r="B229" s="399">
        <v>31</v>
      </c>
      <c r="C229" s="295">
        <v>5</v>
      </c>
      <c r="D229" s="28"/>
      <c r="E229" s="28">
        <v>4</v>
      </c>
      <c r="F229" s="28">
        <f t="shared" si="9"/>
        <v>2</v>
      </c>
      <c r="G229" s="28">
        <v>4</v>
      </c>
      <c r="H229" s="28">
        <v>5</v>
      </c>
      <c r="I229" s="28">
        <f t="shared" si="10"/>
        <v>5</v>
      </c>
      <c r="J229" s="28">
        <v>7</v>
      </c>
      <c r="K229" s="28"/>
      <c r="L229" s="28"/>
      <c r="M229" s="28">
        <f t="shared" si="14"/>
        <v>4</v>
      </c>
      <c r="N229" s="28">
        <v>4</v>
      </c>
      <c r="O229" s="28">
        <v>4</v>
      </c>
      <c r="P229" s="28">
        <v>7</v>
      </c>
      <c r="Y229"/>
      <c r="Z229"/>
      <c r="AA229"/>
      <c r="AB229"/>
      <c r="AC229"/>
      <c r="AD229"/>
      <c r="AE229"/>
      <c r="AF229"/>
      <c r="AG229"/>
    </row>
    <row r="230" spans="2:33" s="27" customFormat="1" x14ac:dyDescent="0.25">
      <c r="B230" s="399">
        <v>32</v>
      </c>
      <c r="C230" s="295">
        <v>5</v>
      </c>
      <c r="D230" s="28"/>
      <c r="E230" s="28">
        <v>4</v>
      </c>
      <c r="F230" s="28">
        <f t="shared" si="9"/>
        <v>2</v>
      </c>
      <c r="G230" s="28">
        <v>4</v>
      </c>
      <c r="H230" s="28">
        <v>5</v>
      </c>
      <c r="I230" s="28">
        <f t="shared" si="10"/>
        <v>5</v>
      </c>
      <c r="J230" s="28">
        <v>7</v>
      </c>
      <c r="K230" s="28"/>
      <c r="L230" s="28"/>
      <c r="M230" s="28">
        <f t="shared" si="14"/>
        <v>4</v>
      </c>
      <c r="N230" s="28">
        <v>4</v>
      </c>
      <c r="O230" s="28">
        <v>4</v>
      </c>
      <c r="P230" s="28">
        <v>7</v>
      </c>
      <c r="Y230"/>
      <c r="Z230"/>
      <c r="AA230"/>
      <c r="AB230"/>
      <c r="AC230"/>
      <c r="AD230"/>
      <c r="AE230"/>
      <c r="AF230"/>
      <c r="AG230"/>
    </row>
    <row r="231" spans="2:33" s="27" customFormat="1" x14ac:dyDescent="0.25">
      <c r="B231" s="399">
        <v>33</v>
      </c>
      <c r="C231" s="295">
        <v>5</v>
      </c>
      <c r="D231" s="28"/>
      <c r="E231" s="28">
        <v>4</v>
      </c>
      <c r="F231" s="28">
        <f t="shared" si="9"/>
        <v>2</v>
      </c>
      <c r="G231" s="28">
        <v>4</v>
      </c>
      <c r="H231" s="28">
        <v>5</v>
      </c>
      <c r="I231" s="28">
        <f t="shared" si="10"/>
        <v>5</v>
      </c>
      <c r="J231" s="28">
        <v>7</v>
      </c>
      <c r="K231" s="28"/>
      <c r="L231" s="28"/>
      <c r="M231" s="28">
        <f t="shared" si="14"/>
        <v>4</v>
      </c>
      <c r="N231" s="28">
        <v>4</v>
      </c>
      <c r="O231" s="28">
        <v>4</v>
      </c>
      <c r="P231" s="28">
        <v>7</v>
      </c>
      <c r="Y231"/>
      <c r="Z231"/>
      <c r="AA231"/>
      <c r="AB231"/>
      <c r="AC231"/>
      <c r="AD231"/>
      <c r="AE231"/>
      <c r="AF231"/>
      <c r="AG231"/>
    </row>
    <row r="232" spans="2:33" s="27" customFormat="1" x14ac:dyDescent="0.25">
      <c r="B232" s="399">
        <v>34</v>
      </c>
      <c r="C232" s="295">
        <v>5</v>
      </c>
      <c r="D232" s="28"/>
      <c r="E232" s="28">
        <v>4</v>
      </c>
      <c r="F232" s="28">
        <f t="shared" si="9"/>
        <v>2</v>
      </c>
      <c r="G232" s="28">
        <v>4</v>
      </c>
      <c r="H232" s="28">
        <v>5</v>
      </c>
      <c r="I232" s="28">
        <f t="shared" si="10"/>
        <v>5</v>
      </c>
      <c r="J232" s="28">
        <v>7</v>
      </c>
      <c r="K232" s="28"/>
      <c r="L232" s="28"/>
      <c r="M232" s="28"/>
      <c r="N232" s="28">
        <v>4</v>
      </c>
      <c r="O232" s="28">
        <v>4</v>
      </c>
      <c r="P232" s="28">
        <v>7</v>
      </c>
      <c r="Y232"/>
      <c r="Z232"/>
      <c r="AA232"/>
      <c r="AB232"/>
      <c r="AC232"/>
      <c r="AD232"/>
      <c r="AE232"/>
      <c r="AF232"/>
      <c r="AG232"/>
    </row>
    <row r="233" spans="2:33" s="27" customFormat="1" x14ac:dyDescent="0.25">
      <c r="B233" s="399">
        <v>35</v>
      </c>
      <c r="C233" s="295">
        <v>5</v>
      </c>
      <c r="D233" s="28"/>
      <c r="E233" s="28">
        <v>4</v>
      </c>
      <c r="F233" s="28">
        <f t="shared" si="9"/>
        <v>2</v>
      </c>
      <c r="G233" s="28">
        <v>4</v>
      </c>
      <c r="H233" s="28">
        <v>5</v>
      </c>
      <c r="I233" s="28">
        <f t="shared" si="10"/>
        <v>5</v>
      </c>
      <c r="J233" s="28">
        <v>7</v>
      </c>
      <c r="K233" s="28"/>
      <c r="L233" s="28"/>
      <c r="M233" s="28"/>
      <c r="N233" s="28">
        <v>4</v>
      </c>
      <c r="O233" s="28">
        <v>4</v>
      </c>
      <c r="P233" s="28">
        <v>7</v>
      </c>
      <c r="Y233"/>
      <c r="Z233"/>
      <c r="AA233"/>
      <c r="AB233"/>
      <c r="AC233"/>
      <c r="AD233"/>
      <c r="AE233"/>
      <c r="AF233"/>
      <c r="AG233"/>
    </row>
    <row r="234" spans="2:33" s="27" customFormat="1" ht="15.75" thickBot="1" x14ac:dyDescent="0.3">
      <c r="B234" s="400">
        <v>36</v>
      </c>
      <c r="C234" s="296">
        <v>5</v>
      </c>
      <c r="D234" s="32"/>
      <c r="E234" s="32">
        <v>4</v>
      </c>
      <c r="F234" s="32">
        <f t="shared" si="9"/>
        <v>2</v>
      </c>
      <c r="G234" s="32">
        <v>4</v>
      </c>
      <c r="H234" s="32">
        <v>5</v>
      </c>
      <c r="I234" s="32">
        <f t="shared" si="10"/>
        <v>5</v>
      </c>
      <c r="J234" s="32">
        <v>7</v>
      </c>
      <c r="K234" s="32"/>
      <c r="L234" s="32"/>
      <c r="M234" s="32"/>
      <c r="N234" s="32">
        <v>4</v>
      </c>
      <c r="O234" s="32">
        <v>4</v>
      </c>
      <c r="P234" s="32">
        <v>7</v>
      </c>
      <c r="Y234"/>
      <c r="Z234"/>
      <c r="AA234"/>
      <c r="AB234"/>
      <c r="AC234"/>
      <c r="AD234"/>
      <c r="AE234"/>
      <c r="AF234"/>
      <c r="AG234"/>
    </row>
    <row r="235" spans="2:33" s="27" customFormat="1" x14ac:dyDescent="0.25">
      <c r="B235" s="26"/>
      <c r="C235" s="27">
        <f t="shared" ref="C235:P235" si="15">SUM(C199:C208)</f>
        <v>114</v>
      </c>
      <c r="D235" s="27">
        <f t="shared" si="15"/>
        <v>114</v>
      </c>
      <c r="E235" s="27">
        <f t="shared" si="15"/>
        <v>122</v>
      </c>
      <c r="F235" s="27">
        <f t="shared" si="15"/>
        <v>102</v>
      </c>
      <c r="G235" s="27">
        <f t="shared" si="15"/>
        <v>122</v>
      </c>
      <c r="H235" s="27">
        <f t="shared" si="15"/>
        <v>120</v>
      </c>
      <c r="I235" s="27">
        <f t="shared" si="15"/>
        <v>120</v>
      </c>
      <c r="J235" s="27">
        <f t="shared" si="15"/>
        <v>112</v>
      </c>
      <c r="K235" s="27">
        <f t="shared" si="15"/>
        <v>112</v>
      </c>
      <c r="L235" s="27">
        <f t="shared" si="15"/>
        <v>112</v>
      </c>
      <c r="M235" s="27">
        <f t="shared" si="15"/>
        <v>130</v>
      </c>
      <c r="N235" s="27">
        <f t="shared" si="15"/>
        <v>122</v>
      </c>
      <c r="O235" s="27">
        <f t="shared" si="15"/>
        <v>122</v>
      </c>
      <c r="P235" s="27">
        <f t="shared" si="15"/>
        <v>112</v>
      </c>
      <c r="Y235"/>
      <c r="Z235"/>
      <c r="AA235"/>
      <c r="AB235"/>
      <c r="AC235"/>
      <c r="AD235"/>
      <c r="AE235"/>
      <c r="AF235"/>
      <c r="AG235"/>
    </row>
    <row r="236" spans="2:33" s="27" customFormat="1" ht="15.75" thickBot="1" x14ac:dyDescent="0.3">
      <c r="B236" s="26"/>
      <c r="Y236"/>
      <c r="Z236"/>
      <c r="AA236"/>
      <c r="AB236"/>
      <c r="AC236"/>
      <c r="AD236"/>
      <c r="AE236"/>
      <c r="AF236"/>
      <c r="AG236"/>
    </row>
    <row r="237" spans="2:33" s="27" customFormat="1" ht="15.75" thickBot="1" x14ac:dyDescent="0.3">
      <c r="B237" s="243" t="s">
        <v>368</v>
      </c>
      <c r="C237" s="242" t="s">
        <v>63</v>
      </c>
      <c r="D237" s="138" t="s">
        <v>64</v>
      </c>
      <c r="E237" s="138" t="s">
        <v>65</v>
      </c>
      <c r="F237" s="138" t="s">
        <v>66</v>
      </c>
      <c r="G237" s="138" t="s">
        <v>67</v>
      </c>
      <c r="H237" s="138" t="s">
        <v>68</v>
      </c>
      <c r="I237" s="138" t="s">
        <v>247</v>
      </c>
      <c r="J237" s="138" t="s">
        <v>69</v>
      </c>
      <c r="K237" s="138" t="s">
        <v>70</v>
      </c>
      <c r="L237" s="138" t="s">
        <v>333</v>
      </c>
      <c r="M237" s="138" t="s">
        <v>334</v>
      </c>
      <c r="N237" s="138" t="s">
        <v>1568</v>
      </c>
      <c r="O237" s="138" t="s">
        <v>1625</v>
      </c>
      <c r="P237" s="139" t="s">
        <v>1569</v>
      </c>
      <c r="Y237"/>
      <c r="Z237"/>
      <c r="AA237"/>
      <c r="AB237"/>
      <c r="AC237"/>
      <c r="AD237"/>
      <c r="AE237"/>
      <c r="AF237"/>
      <c r="AG237"/>
    </row>
    <row r="238" spans="2:33" s="27" customFormat="1" x14ac:dyDescent="0.25">
      <c r="B238" s="398">
        <v>1</v>
      </c>
      <c r="C238" s="397">
        <v>14</v>
      </c>
      <c r="D238" s="133">
        <f t="shared" ref="D238:D260" si="16">C238</f>
        <v>14</v>
      </c>
      <c r="E238" s="133">
        <v>16</v>
      </c>
      <c r="F238" s="133">
        <f t="shared" ref="F238:F273" si="17">E238-2</f>
        <v>14</v>
      </c>
      <c r="G238" s="133">
        <v>16</v>
      </c>
      <c r="H238" s="133">
        <v>11</v>
      </c>
      <c r="I238" s="133">
        <f t="shared" ref="I238:I273" si="18">H238</f>
        <v>11</v>
      </c>
      <c r="J238" s="133">
        <v>14</v>
      </c>
      <c r="K238" s="133">
        <f t="shared" ref="K238:K252" si="19">J238</f>
        <v>14</v>
      </c>
      <c r="L238" s="133">
        <f t="shared" ref="L238:L254" si="20">J238</f>
        <v>14</v>
      </c>
      <c r="M238" s="133">
        <f t="shared" ref="M238:M243" si="21">E238</f>
        <v>16</v>
      </c>
      <c r="N238" s="133">
        <v>16</v>
      </c>
      <c r="O238" s="133">
        <v>16</v>
      </c>
      <c r="P238" s="133">
        <v>14</v>
      </c>
      <c r="Y238"/>
      <c r="Z238"/>
      <c r="AA238"/>
      <c r="AB238"/>
      <c r="AC238"/>
      <c r="AD238"/>
      <c r="AE238"/>
      <c r="AF238"/>
      <c r="AG238"/>
    </row>
    <row r="239" spans="2:33" s="27" customFormat="1" x14ac:dyDescent="0.25">
      <c r="B239" s="399">
        <v>2</v>
      </c>
      <c r="C239" s="295">
        <v>14</v>
      </c>
      <c r="D239" s="28">
        <f t="shared" si="16"/>
        <v>14</v>
      </c>
      <c r="E239" s="28">
        <v>16</v>
      </c>
      <c r="F239" s="28">
        <f t="shared" si="17"/>
        <v>14</v>
      </c>
      <c r="G239" s="28">
        <v>16</v>
      </c>
      <c r="H239" s="28">
        <v>11</v>
      </c>
      <c r="I239" s="28">
        <f t="shared" si="18"/>
        <v>11</v>
      </c>
      <c r="J239" s="28">
        <v>14</v>
      </c>
      <c r="K239" s="28">
        <f t="shared" si="19"/>
        <v>14</v>
      </c>
      <c r="L239" s="28">
        <f t="shared" si="20"/>
        <v>14</v>
      </c>
      <c r="M239" s="28">
        <f t="shared" si="21"/>
        <v>16</v>
      </c>
      <c r="N239" s="28">
        <v>16</v>
      </c>
      <c r="O239" s="28">
        <v>16</v>
      </c>
      <c r="P239" s="28">
        <v>14</v>
      </c>
      <c r="Y239"/>
      <c r="Z239"/>
      <c r="AA239"/>
      <c r="AB239"/>
      <c r="AC239"/>
      <c r="AD239"/>
      <c r="AE239"/>
      <c r="AF239"/>
      <c r="AG239"/>
    </row>
    <row r="240" spans="2:33" s="27" customFormat="1" x14ac:dyDescent="0.25">
      <c r="B240" s="399">
        <v>3</v>
      </c>
      <c r="C240" s="295">
        <v>14</v>
      </c>
      <c r="D240" s="28">
        <f t="shared" si="16"/>
        <v>14</v>
      </c>
      <c r="E240" s="28">
        <v>15</v>
      </c>
      <c r="F240" s="28">
        <f t="shared" si="17"/>
        <v>13</v>
      </c>
      <c r="G240" s="28">
        <v>15</v>
      </c>
      <c r="H240" s="28">
        <v>11</v>
      </c>
      <c r="I240" s="28">
        <f t="shared" si="18"/>
        <v>11</v>
      </c>
      <c r="J240" s="28">
        <v>14</v>
      </c>
      <c r="K240" s="28">
        <f t="shared" si="19"/>
        <v>14</v>
      </c>
      <c r="L240" s="28">
        <f t="shared" si="20"/>
        <v>14</v>
      </c>
      <c r="M240" s="28">
        <f t="shared" si="21"/>
        <v>15</v>
      </c>
      <c r="N240" s="28">
        <v>15</v>
      </c>
      <c r="O240" s="28">
        <v>15</v>
      </c>
      <c r="P240" s="28">
        <v>14</v>
      </c>
      <c r="Y240"/>
      <c r="Z240"/>
      <c r="AA240"/>
      <c r="AB240"/>
      <c r="AC240"/>
      <c r="AD240"/>
      <c r="AE240"/>
      <c r="AF240"/>
      <c r="AG240"/>
    </row>
    <row r="241" spans="2:33" s="27" customFormat="1" x14ac:dyDescent="0.25">
      <c r="B241" s="399">
        <v>4</v>
      </c>
      <c r="C241" s="295">
        <v>13</v>
      </c>
      <c r="D241" s="28">
        <f t="shared" si="16"/>
        <v>13</v>
      </c>
      <c r="E241" s="28">
        <v>15</v>
      </c>
      <c r="F241" s="28">
        <f t="shared" si="17"/>
        <v>13</v>
      </c>
      <c r="G241" s="28">
        <v>15</v>
      </c>
      <c r="H241" s="28">
        <v>11</v>
      </c>
      <c r="I241" s="28">
        <f t="shared" si="18"/>
        <v>11</v>
      </c>
      <c r="J241" s="28">
        <v>14</v>
      </c>
      <c r="K241" s="28">
        <f t="shared" si="19"/>
        <v>14</v>
      </c>
      <c r="L241" s="28">
        <f t="shared" si="20"/>
        <v>14</v>
      </c>
      <c r="M241" s="28">
        <f t="shared" si="21"/>
        <v>15</v>
      </c>
      <c r="N241" s="28">
        <v>15</v>
      </c>
      <c r="O241" s="28">
        <v>15</v>
      </c>
      <c r="P241" s="28">
        <v>14</v>
      </c>
      <c r="Y241"/>
      <c r="Z241"/>
      <c r="AA241"/>
      <c r="AB241"/>
      <c r="AC241"/>
      <c r="AD241"/>
      <c r="AE241"/>
      <c r="AF241"/>
      <c r="AG241"/>
    </row>
    <row r="242" spans="2:33" s="27" customFormat="1" x14ac:dyDescent="0.25">
      <c r="B242" s="399">
        <v>5</v>
      </c>
      <c r="C242" s="295">
        <v>13</v>
      </c>
      <c r="D242" s="28">
        <f t="shared" si="16"/>
        <v>13</v>
      </c>
      <c r="E242" s="28">
        <v>13</v>
      </c>
      <c r="F242" s="28">
        <f t="shared" si="17"/>
        <v>11</v>
      </c>
      <c r="G242" s="28">
        <v>13</v>
      </c>
      <c r="H242" s="28">
        <v>11</v>
      </c>
      <c r="I242" s="28">
        <f t="shared" si="18"/>
        <v>11</v>
      </c>
      <c r="J242" s="28">
        <v>12</v>
      </c>
      <c r="K242" s="28">
        <f t="shared" si="19"/>
        <v>12</v>
      </c>
      <c r="L242" s="28">
        <f t="shared" si="20"/>
        <v>12</v>
      </c>
      <c r="M242" s="28">
        <f t="shared" si="21"/>
        <v>13</v>
      </c>
      <c r="N242" s="28">
        <v>13</v>
      </c>
      <c r="O242" s="28">
        <v>13</v>
      </c>
      <c r="P242" s="28">
        <v>12</v>
      </c>
      <c r="Y242"/>
      <c r="Z242"/>
      <c r="AA242"/>
      <c r="AB242"/>
      <c r="AC242"/>
      <c r="AD242"/>
      <c r="AE242"/>
      <c r="AF242"/>
      <c r="AG242"/>
    </row>
    <row r="243" spans="2:33" s="27" customFormat="1" x14ac:dyDescent="0.25">
      <c r="B243" s="399">
        <v>6</v>
      </c>
      <c r="C243" s="295">
        <v>13</v>
      </c>
      <c r="D243" s="28">
        <f t="shared" si="16"/>
        <v>13</v>
      </c>
      <c r="E243" s="28">
        <v>13</v>
      </c>
      <c r="F243" s="28">
        <f t="shared" si="17"/>
        <v>11</v>
      </c>
      <c r="G243" s="28">
        <v>13</v>
      </c>
      <c r="H243" s="28">
        <v>9</v>
      </c>
      <c r="I243" s="28">
        <f t="shared" si="18"/>
        <v>9</v>
      </c>
      <c r="J243" s="28">
        <v>12</v>
      </c>
      <c r="K243" s="28">
        <f t="shared" si="19"/>
        <v>12</v>
      </c>
      <c r="L243" s="28">
        <f t="shared" si="20"/>
        <v>12</v>
      </c>
      <c r="M243" s="28">
        <f t="shared" si="21"/>
        <v>13</v>
      </c>
      <c r="N243" s="28">
        <v>13</v>
      </c>
      <c r="O243" s="28">
        <v>13</v>
      </c>
      <c r="P243" s="28">
        <v>12</v>
      </c>
      <c r="Y243"/>
      <c r="Z243"/>
      <c r="AA243"/>
      <c r="AB243"/>
      <c r="AC243"/>
      <c r="AD243"/>
      <c r="AE243"/>
      <c r="AF243"/>
      <c r="AG243"/>
    </row>
    <row r="244" spans="2:33" s="27" customFormat="1" x14ac:dyDescent="0.25">
      <c r="B244" s="399">
        <v>7</v>
      </c>
      <c r="C244" s="295">
        <v>11</v>
      </c>
      <c r="D244" s="28">
        <f t="shared" si="16"/>
        <v>11</v>
      </c>
      <c r="E244" s="28">
        <v>12</v>
      </c>
      <c r="F244" s="28">
        <f t="shared" si="17"/>
        <v>10</v>
      </c>
      <c r="G244" s="28">
        <v>12</v>
      </c>
      <c r="H244" s="28">
        <v>9</v>
      </c>
      <c r="I244" s="28">
        <f t="shared" si="18"/>
        <v>9</v>
      </c>
      <c r="J244" s="28">
        <v>12</v>
      </c>
      <c r="K244" s="28">
        <f t="shared" si="19"/>
        <v>12</v>
      </c>
      <c r="L244" s="28">
        <f t="shared" si="20"/>
        <v>12</v>
      </c>
      <c r="M244" s="28">
        <f>MIN(J238,M243)</f>
        <v>13</v>
      </c>
      <c r="N244" s="28">
        <v>12</v>
      </c>
      <c r="O244" s="28">
        <v>12</v>
      </c>
      <c r="P244" s="28">
        <v>12</v>
      </c>
      <c r="Y244"/>
      <c r="Z244"/>
      <c r="AA244"/>
      <c r="AB244"/>
      <c r="AC244"/>
      <c r="AD244"/>
      <c r="AE244"/>
      <c r="AF244"/>
      <c r="AG244"/>
    </row>
    <row r="245" spans="2:33" s="27" customFormat="1" x14ac:dyDescent="0.25">
      <c r="B245" s="399">
        <v>8</v>
      </c>
      <c r="C245" s="295">
        <v>11</v>
      </c>
      <c r="D245" s="28">
        <f t="shared" si="16"/>
        <v>11</v>
      </c>
      <c r="E245" s="28">
        <v>12</v>
      </c>
      <c r="F245" s="28">
        <f t="shared" si="17"/>
        <v>10</v>
      </c>
      <c r="G245" s="28">
        <v>12</v>
      </c>
      <c r="H245" s="28">
        <v>9</v>
      </c>
      <c r="I245" s="28">
        <f t="shared" si="18"/>
        <v>9</v>
      </c>
      <c r="J245" s="28">
        <v>12</v>
      </c>
      <c r="K245" s="28">
        <f t="shared" si="19"/>
        <v>12</v>
      </c>
      <c r="L245" s="28">
        <f t="shared" si="20"/>
        <v>12</v>
      </c>
      <c r="M245" s="28">
        <f>MIN(J239,M244)</f>
        <v>13</v>
      </c>
      <c r="N245" s="28">
        <v>12</v>
      </c>
      <c r="O245" s="28">
        <v>12</v>
      </c>
      <c r="P245" s="28">
        <v>12</v>
      </c>
      <c r="Y245"/>
      <c r="Z245"/>
      <c r="AA245"/>
      <c r="AB245"/>
      <c r="AC245"/>
      <c r="AD245"/>
      <c r="AE245"/>
      <c r="AF245"/>
      <c r="AG245"/>
    </row>
    <row r="246" spans="2:33" s="27" customFormat="1" x14ac:dyDescent="0.25">
      <c r="B246" s="399">
        <v>9</v>
      </c>
      <c r="C246" s="295">
        <v>11</v>
      </c>
      <c r="D246" s="28">
        <f t="shared" si="16"/>
        <v>11</v>
      </c>
      <c r="E246" s="28">
        <v>10</v>
      </c>
      <c r="F246" s="28">
        <f t="shared" si="17"/>
        <v>8</v>
      </c>
      <c r="G246" s="28">
        <v>10</v>
      </c>
      <c r="H246" s="28">
        <v>9</v>
      </c>
      <c r="I246" s="28">
        <f t="shared" si="18"/>
        <v>9</v>
      </c>
      <c r="J246" s="28">
        <v>10</v>
      </c>
      <c r="K246" s="28">
        <f t="shared" si="19"/>
        <v>10</v>
      </c>
      <c r="L246" s="28">
        <f t="shared" si="20"/>
        <v>10</v>
      </c>
      <c r="M246" s="28">
        <f>MIN(J240,M245)</f>
        <v>13</v>
      </c>
      <c r="N246" s="28">
        <v>10</v>
      </c>
      <c r="O246" s="28">
        <v>10</v>
      </c>
      <c r="P246" s="28">
        <v>10</v>
      </c>
      <c r="Y246"/>
      <c r="Z246"/>
      <c r="AA246"/>
      <c r="AB246"/>
      <c r="AC246"/>
      <c r="AD246"/>
      <c r="AE246"/>
      <c r="AF246"/>
      <c r="AG246"/>
    </row>
    <row r="247" spans="2:33" s="27" customFormat="1" x14ac:dyDescent="0.25">
      <c r="B247" s="399">
        <v>10</v>
      </c>
      <c r="C247" s="295">
        <v>10</v>
      </c>
      <c r="D247" s="28">
        <f t="shared" si="16"/>
        <v>10</v>
      </c>
      <c r="E247" s="28">
        <v>10</v>
      </c>
      <c r="F247" s="28">
        <f t="shared" si="17"/>
        <v>8</v>
      </c>
      <c r="G247" s="28">
        <v>10</v>
      </c>
      <c r="H247" s="28">
        <v>9</v>
      </c>
      <c r="I247" s="28">
        <f t="shared" si="18"/>
        <v>9</v>
      </c>
      <c r="J247" s="28">
        <v>10</v>
      </c>
      <c r="K247" s="28">
        <f t="shared" si="19"/>
        <v>10</v>
      </c>
      <c r="L247" s="28">
        <f t="shared" si="20"/>
        <v>10</v>
      </c>
      <c r="M247" s="28">
        <f>MIN(J241,M246)</f>
        <v>13</v>
      </c>
      <c r="N247" s="28">
        <v>10</v>
      </c>
      <c r="O247" s="28">
        <v>10</v>
      </c>
      <c r="P247" s="28">
        <v>10</v>
      </c>
      <c r="Y247"/>
      <c r="Z247"/>
      <c r="AA247"/>
      <c r="AB247"/>
      <c r="AC247"/>
      <c r="AD247"/>
      <c r="AE247"/>
      <c r="AF247"/>
      <c r="AG247"/>
    </row>
    <row r="248" spans="2:33" s="27" customFormat="1" x14ac:dyDescent="0.25">
      <c r="B248" s="399">
        <v>11</v>
      </c>
      <c r="C248" s="295">
        <v>10</v>
      </c>
      <c r="D248" s="28">
        <f t="shared" si="16"/>
        <v>10</v>
      </c>
      <c r="E248" s="28">
        <v>9</v>
      </c>
      <c r="F248" s="28">
        <f t="shared" si="17"/>
        <v>7</v>
      </c>
      <c r="G248" s="28">
        <v>9</v>
      </c>
      <c r="H248" s="28">
        <v>7</v>
      </c>
      <c r="I248" s="28">
        <f t="shared" si="18"/>
        <v>7</v>
      </c>
      <c r="J248" s="28">
        <v>10</v>
      </c>
      <c r="K248" s="28">
        <f t="shared" si="19"/>
        <v>10</v>
      </c>
      <c r="L248" s="28">
        <f t="shared" si="20"/>
        <v>10</v>
      </c>
      <c r="M248" s="28">
        <f t="shared" ref="M248:M270" si="22">MIN(M247,D240,E240,J240)</f>
        <v>13</v>
      </c>
      <c r="N248" s="28">
        <v>9</v>
      </c>
      <c r="O248" s="28">
        <v>9</v>
      </c>
      <c r="P248" s="28">
        <v>10</v>
      </c>
      <c r="Y248"/>
      <c r="Z248"/>
      <c r="AA248"/>
      <c r="AB248"/>
      <c r="AC248"/>
      <c r="AD248"/>
      <c r="AE248"/>
      <c r="AF248"/>
      <c r="AG248"/>
    </row>
    <row r="249" spans="2:33" s="27" customFormat="1" x14ac:dyDescent="0.25">
      <c r="B249" s="399">
        <v>12</v>
      </c>
      <c r="C249" s="295">
        <v>10</v>
      </c>
      <c r="D249" s="28">
        <f t="shared" si="16"/>
        <v>10</v>
      </c>
      <c r="E249" s="28">
        <v>9</v>
      </c>
      <c r="F249" s="28">
        <f t="shared" si="17"/>
        <v>7</v>
      </c>
      <c r="G249" s="28">
        <v>9</v>
      </c>
      <c r="H249" s="28">
        <v>7</v>
      </c>
      <c r="I249" s="28">
        <f t="shared" si="18"/>
        <v>7</v>
      </c>
      <c r="J249" s="28">
        <v>10</v>
      </c>
      <c r="K249" s="28">
        <f t="shared" si="19"/>
        <v>10</v>
      </c>
      <c r="L249" s="28">
        <f t="shared" si="20"/>
        <v>10</v>
      </c>
      <c r="M249" s="28">
        <f t="shared" si="22"/>
        <v>13</v>
      </c>
      <c r="N249" s="28">
        <v>9</v>
      </c>
      <c r="O249" s="28">
        <v>9</v>
      </c>
      <c r="P249" s="28">
        <v>10</v>
      </c>
      <c r="Y249"/>
      <c r="Z249"/>
      <c r="AA249"/>
      <c r="AB249"/>
      <c r="AC249"/>
      <c r="AD249"/>
      <c r="AE249"/>
      <c r="AF249"/>
      <c r="AG249"/>
    </row>
    <row r="250" spans="2:33" s="27" customFormat="1" x14ac:dyDescent="0.25">
      <c r="B250" s="399">
        <v>13</v>
      </c>
      <c r="C250" s="295">
        <v>9</v>
      </c>
      <c r="D250" s="28">
        <f t="shared" si="16"/>
        <v>9</v>
      </c>
      <c r="E250" s="28">
        <v>7</v>
      </c>
      <c r="F250" s="28">
        <f t="shared" si="17"/>
        <v>5</v>
      </c>
      <c r="G250" s="28">
        <v>7</v>
      </c>
      <c r="H250" s="28">
        <v>7</v>
      </c>
      <c r="I250" s="28">
        <f t="shared" si="18"/>
        <v>7</v>
      </c>
      <c r="J250" s="28">
        <v>8</v>
      </c>
      <c r="K250" s="28">
        <f t="shared" si="19"/>
        <v>8</v>
      </c>
      <c r="L250" s="28">
        <f t="shared" si="20"/>
        <v>8</v>
      </c>
      <c r="M250" s="28">
        <f t="shared" si="22"/>
        <v>12</v>
      </c>
      <c r="N250" s="28">
        <v>7</v>
      </c>
      <c r="O250" s="28">
        <v>7</v>
      </c>
      <c r="P250" s="28">
        <v>8</v>
      </c>
      <c r="Y250"/>
      <c r="Z250"/>
      <c r="AA250"/>
      <c r="AB250"/>
      <c r="AC250"/>
      <c r="AD250"/>
      <c r="AE250"/>
      <c r="AF250"/>
      <c r="AG250"/>
    </row>
    <row r="251" spans="2:33" s="27" customFormat="1" x14ac:dyDescent="0.25">
      <c r="B251" s="399">
        <v>14</v>
      </c>
      <c r="C251" s="295">
        <v>9</v>
      </c>
      <c r="D251" s="28">
        <f t="shared" si="16"/>
        <v>9</v>
      </c>
      <c r="E251" s="28">
        <v>7</v>
      </c>
      <c r="F251" s="28">
        <f t="shared" si="17"/>
        <v>5</v>
      </c>
      <c r="G251" s="28">
        <v>7</v>
      </c>
      <c r="H251" s="28">
        <v>7</v>
      </c>
      <c r="I251" s="28">
        <f t="shared" si="18"/>
        <v>7</v>
      </c>
      <c r="J251" s="28">
        <v>8</v>
      </c>
      <c r="K251" s="28">
        <f t="shared" si="19"/>
        <v>8</v>
      </c>
      <c r="L251" s="28">
        <f t="shared" si="20"/>
        <v>8</v>
      </c>
      <c r="M251" s="28">
        <f t="shared" si="22"/>
        <v>12</v>
      </c>
      <c r="N251" s="28">
        <v>7</v>
      </c>
      <c r="O251" s="28">
        <v>7</v>
      </c>
      <c r="P251" s="28">
        <v>8</v>
      </c>
      <c r="Y251"/>
      <c r="Z251"/>
      <c r="AA251"/>
      <c r="AB251"/>
      <c r="AC251"/>
      <c r="AD251"/>
      <c r="AE251"/>
      <c r="AF251"/>
      <c r="AG251"/>
    </row>
    <row r="252" spans="2:33" s="27" customFormat="1" x14ac:dyDescent="0.25">
      <c r="B252" s="399">
        <v>15</v>
      </c>
      <c r="C252" s="295">
        <v>9</v>
      </c>
      <c r="D252" s="28">
        <f t="shared" si="16"/>
        <v>9</v>
      </c>
      <c r="E252" s="28">
        <v>6</v>
      </c>
      <c r="F252" s="28">
        <f t="shared" si="17"/>
        <v>4</v>
      </c>
      <c r="G252" s="28">
        <v>6</v>
      </c>
      <c r="H252" s="28">
        <v>7</v>
      </c>
      <c r="I252" s="28">
        <f t="shared" si="18"/>
        <v>7</v>
      </c>
      <c r="J252" s="28">
        <v>8</v>
      </c>
      <c r="K252" s="28">
        <f t="shared" si="19"/>
        <v>8</v>
      </c>
      <c r="L252" s="28">
        <f t="shared" si="20"/>
        <v>8</v>
      </c>
      <c r="M252" s="28">
        <f t="shared" si="22"/>
        <v>11</v>
      </c>
      <c r="N252" s="28">
        <v>6</v>
      </c>
      <c r="O252" s="28">
        <v>6</v>
      </c>
      <c r="P252" s="28">
        <v>8</v>
      </c>
      <c r="Y252"/>
      <c r="Z252"/>
      <c r="AA252"/>
      <c r="AB252"/>
      <c r="AC252"/>
      <c r="AD252"/>
      <c r="AE252"/>
      <c r="AF252"/>
      <c r="AG252"/>
    </row>
    <row r="253" spans="2:33" s="27" customFormat="1" x14ac:dyDescent="0.25">
      <c r="B253" s="399">
        <v>16</v>
      </c>
      <c r="C253" s="295">
        <v>8</v>
      </c>
      <c r="D253" s="28">
        <f t="shared" si="16"/>
        <v>8</v>
      </c>
      <c r="E253" s="28">
        <v>6</v>
      </c>
      <c r="F253" s="28">
        <f t="shared" si="17"/>
        <v>4</v>
      </c>
      <c r="G253" s="28">
        <v>6</v>
      </c>
      <c r="H253" s="28">
        <v>5</v>
      </c>
      <c r="I253" s="28">
        <f t="shared" si="18"/>
        <v>5</v>
      </c>
      <c r="J253" s="28">
        <v>8</v>
      </c>
      <c r="K253" s="28"/>
      <c r="L253" s="28">
        <f t="shared" si="20"/>
        <v>8</v>
      </c>
      <c r="M253" s="28">
        <f t="shared" si="22"/>
        <v>11</v>
      </c>
      <c r="N253" s="28">
        <v>6</v>
      </c>
      <c r="O253" s="28">
        <v>6</v>
      </c>
      <c r="P253" s="28">
        <v>8</v>
      </c>
      <c r="Y253"/>
      <c r="Z253"/>
      <c r="AA253"/>
      <c r="AB253"/>
      <c r="AC253"/>
      <c r="AD253"/>
      <c r="AE253"/>
      <c r="AF253"/>
      <c r="AG253"/>
    </row>
    <row r="254" spans="2:33" s="27" customFormat="1" x14ac:dyDescent="0.25">
      <c r="B254" s="399">
        <v>17</v>
      </c>
      <c r="C254" s="295">
        <v>8</v>
      </c>
      <c r="D254" s="28">
        <f t="shared" si="16"/>
        <v>8</v>
      </c>
      <c r="E254" s="28">
        <v>5</v>
      </c>
      <c r="F254" s="28">
        <f t="shared" si="17"/>
        <v>3</v>
      </c>
      <c r="G254" s="28">
        <v>5</v>
      </c>
      <c r="H254" s="28">
        <v>5</v>
      </c>
      <c r="I254" s="28">
        <f t="shared" si="18"/>
        <v>5</v>
      </c>
      <c r="J254" s="28">
        <v>6</v>
      </c>
      <c r="K254" s="28"/>
      <c r="L254" s="28">
        <f t="shared" si="20"/>
        <v>6</v>
      </c>
      <c r="M254" s="28">
        <f t="shared" si="22"/>
        <v>10</v>
      </c>
      <c r="N254" s="28">
        <v>5</v>
      </c>
      <c r="O254" s="28">
        <v>5</v>
      </c>
      <c r="P254" s="28">
        <v>6</v>
      </c>
      <c r="Y254"/>
      <c r="Z254"/>
      <c r="AA254"/>
      <c r="AB254"/>
      <c r="AC254"/>
      <c r="AD254"/>
      <c r="AE254"/>
      <c r="AF254"/>
      <c r="AG254"/>
    </row>
    <row r="255" spans="2:33" s="27" customFormat="1" x14ac:dyDescent="0.25">
      <c r="B255" s="399">
        <v>18</v>
      </c>
      <c r="C255" s="295">
        <v>8</v>
      </c>
      <c r="D255" s="28">
        <f t="shared" si="16"/>
        <v>8</v>
      </c>
      <c r="E255" s="28">
        <v>5</v>
      </c>
      <c r="F255" s="28">
        <f t="shared" si="17"/>
        <v>3</v>
      </c>
      <c r="G255" s="28">
        <v>5</v>
      </c>
      <c r="H255" s="28">
        <v>5</v>
      </c>
      <c r="I255" s="28">
        <f t="shared" si="18"/>
        <v>5</v>
      </c>
      <c r="J255" s="28">
        <v>6</v>
      </c>
      <c r="K255" s="28"/>
      <c r="L255" s="28"/>
      <c r="M255" s="28">
        <f t="shared" si="22"/>
        <v>10</v>
      </c>
      <c r="N255" s="28">
        <v>5</v>
      </c>
      <c r="O255" s="28">
        <v>5</v>
      </c>
      <c r="P255" s="28">
        <v>6</v>
      </c>
      <c r="Y255"/>
      <c r="Z255"/>
      <c r="AA255"/>
      <c r="AB255"/>
      <c r="AC255"/>
      <c r="AD255"/>
      <c r="AE255"/>
      <c r="AF255"/>
      <c r="AG255"/>
    </row>
    <row r="256" spans="2:33" s="27" customFormat="1" x14ac:dyDescent="0.25">
      <c r="B256" s="399">
        <v>19</v>
      </c>
      <c r="C256" s="295">
        <v>6</v>
      </c>
      <c r="D256" s="28">
        <f t="shared" si="16"/>
        <v>6</v>
      </c>
      <c r="E256" s="28">
        <v>5</v>
      </c>
      <c r="F256" s="28">
        <f t="shared" si="17"/>
        <v>3</v>
      </c>
      <c r="G256" s="28">
        <v>5</v>
      </c>
      <c r="H256" s="28">
        <v>5</v>
      </c>
      <c r="I256" s="28">
        <f t="shared" si="18"/>
        <v>5</v>
      </c>
      <c r="J256" s="28">
        <v>6</v>
      </c>
      <c r="K256" s="28"/>
      <c r="L256" s="28"/>
      <c r="M256" s="28">
        <f t="shared" si="22"/>
        <v>9</v>
      </c>
      <c r="N256" s="28">
        <v>5</v>
      </c>
      <c r="O256" s="28">
        <v>5</v>
      </c>
      <c r="P256" s="28">
        <v>6</v>
      </c>
      <c r="Y256"/>
      <c r="Z256"/>
      <c r="AA256"/>
      <c r="AB256"/>
      <c r="AC256"/>
      <c r="AD256"/>
      <c r="AE256"/>
      <c r="AF256"/>
      <c r="AG256"/>
    </row>
    <row r="257" spans="2:33" s="27" customFormat="1" x14ac:dyDescent="0.25">
      <c r="B257" s="399">
        <v>20</v>
      </c>
      <c r="C257" s="295">
        <v>6</v>
      </c>
      <c r="D257" s="28">
        <f t="shared" si="16"/>
        <v>6</v>
      </c>
      <c r="E257" s="28">
        <v>5</v>
      </c>
      <c r="F257" s="28">
        <f t="shared" si="17"/>
        <v>3</v>
      </c>
      <c r="G257" s="28">
        <v>5</v>
      </c>
      <c r="H257" s="28">
        <v>5</v>
      </c>
      <c r="I257" s="28">
        <f t="shared" si="18"/>
        <v>5</v>
      </c>
      <c r="J257" s="28">
        <v>6</v>
      </c>
      <c r="K257" s="28"/>
      <c r="L257" s="28"/>
      <c r="M257" s="28">
        <f t="shared" si="22"/>
        <v>9</v>
      </c>
      <c r="N257" s="28">
        <v>5</v>
      </c>
      <c r="O257" s="28">
        <v>5</v>
      </c>
      <c r="P257" s="28">
        <v>6</v>
      </c>
      <c r="Y257"/>
      <c r="Z257"/>
      <c r="AA257"/>
      <c r="AB257"/>
      <c r="AC257"/>
      <c r="AD257"/>
      <c r="AE257"/>
      <c r="AF257"/>
      <c r="AG257"/>
    </row>
    <row r="258" spans="2:33" s="27" customFormat="1" x14ac:dyDescent="0.25">
      <c r="B258" s="399">
        <v>21</v>
      </c>
      <c r="C258" s="295">
        <v>6</v>
      </c>
      <c r="D258" s="28">
        <f t="shared" si="16"/>
        <v>6</v>
      </c>
      <c r="E258" s="28">
        <v>5</v>
      </c>
      <c r="F258" s="28">
        <f t="shared" si="17"/>
        <v>3</v>
      </c>
      <c r="G258" s="28">
        <v>5</v>
      </c>
      <c r="H258" s="28">
        <v>3</v>
      </c>
      <c r="I258" s="28">
        <f t="shared" si="18"/>
        <v>3</v>
      </c>
      <c r="J258" s="28">
        <v>4</v>
      </c>
      <c r="K258" s="28"/>
      <c r="L258" s="28"/>
      <c r="M258" s="28">
        <f t="shared" si="22"/>
        <v>7</v>
      </c>
      <c r="N258" s="28">
        <v>5</v>
      </c>
      <c r="O258" s="28">
        <v>5</v>
      </c>
      <c r="P258" s="28">
        <v>4</v>
      </c>
      <c r="Y258"/>
      <c r="Z258"/>
      <c r="AA258"/>
      <c r="AB258"/>
      <c r="AC258"/>
      <c r="AD258"/>
      <c r="AE258"/>
      <c r="AF258"/>
      <c r="AG258"/>
    </row>
    <row r="259" spans="2:33" s="27" customFormat="1" x14ac:dyDescent="0.25">
      <c r="B259" s="399">
        <v>22</v>
      </c>
      <c r="C259" s="295">
        <v>6</v>
      </c>
      <c r="D259" s="28">
        <f t="shared" si="16"/>
        <v>6</v>
      </c>
      <c r="E259" s="28">
        <v>5</v>
      </c>
      <c r="F259" s="28">
        <f t="shared" si="17"/>
        <v>3</v>
      </c>
      <c r="G259" s="28">
        <v>5</v>
      </c>
      <c r="H259" s="28">
        <v>3</v>
      </c>
      <c r="I259" s="28">
        <f t="shared" si="18"/>
        <v>3</v>
      </c>
      <c r="J259" s="28">
        <v>4</v>
      </c>
      <c r="K259" s="28"/>
      <c r="L259" s="28"/>
      <c r="M259" s="28">
        <f t="shared" si="22"/>
        <v>7</v>
      </c>
      <c r="N259" s="28">
        <v>5</v>
      </c>
      <c r="O259" s="28">
        <v>5</v>
      </c>
      <c r="P259" s="28">
        <v>4</v>
      </c>
      <c r="Y259"/>
      <c r="Z259"/>
      <c r="AA259"/>
      <c r="AB259"/>
      <c r="AC259"/>
      <c r="AD259"/>
      <c r="AE259"/>
      <c r="AF259"/>
      <c r="AG259"/>
    </row>
    <row r="260" spans="2:33" s="27" customFormat="1" x14ac:dyDescent="0.25">
      <c r="B260" s="399">
        <v>23</v>
      </c>
      <c r="C260" s="295">
        <v>6</v>
      </c>
      <c r="D260" s="28">
        <f t="shared" si="16"/>
        <v>6</v>
      </c>
      <c r="E260" s="28">
        <v>5</v>
      </c>
      <c r="F260" s="28">
        <f t="shared" si="17"/>
        <v>3</v>
      </c>
      <c r="G260" s="28">
        <v>5</v>
      </c>
      <c r="H260" s="28">
        <v>3</v>
      </c>
      <c r="I260" s="28">
        <f t="shared" si="18"/>
        <v>3</v>
      </c>
      <c r="J260" s="28">
        <v>4</v>
      </c>
      <c r="K260" s="28"/>
      <c r="L260" s="28"/>
      <c r="M260" s="28">
        <f t="shared" si="22"/>
        <v>6</v>
      </c>
      <c r="N260" s="28">
        <v>5</v>
      </c>
      <c r="O260" s="28">
        <v>5</v>
      </c>
      <c r="P260" s="28">
        <v>4</v>
      </c>
      <c r="Y260"/>
      <c r="Z260"/>
      <c r="AA260"/>
      <c r="AB260"/>
      <c r="AC260"/>
      <c r="AD260"/>
      <c r="AE260"/>
      <c r="AF260"/>
      <c r="AG260"/>
    </row>
    <row r="261" spans="2:33" s="27" customFormat="1" x14ac:dyDescent="0.25">
      <c r="B261" s="399">
        <v>24</v>
      </c>
      <c r="C261" s="295">
        <v>6</v>
      </c>
      <c r="D261" s="28"/>
      <c r="E261" s="28">
        <v>5</v>
      </c>
      <c r="F261" s="28">
        <f t="shared" si="17"/>
        <v>3</v>
      </c>
      <c r="G261" s="28">
        <v>5</v>
      </c>
      <c r="H261" s="28">
        <v>3</v>
      </c>
      <c r="I261" s="28">
        <f t="shared" si="18"/>
        <v>3</v>
      </c>
      <c r="J261" s="28">
        <v>4</v>
      </c>
      <c r="K261" s="28"/>
      <c r="L261" s="28"/>
      <c r="M261" s="28">
        <f t="shared" si="22"/>
        <v>6</v>
      </c>
      <c r="N261" s="28">
        <v>5</v>
      </c>
      <c r="O261" s="28">
        <v>5</v>
      </c>
      <c r="P261" s="28">
        <v>4</v>
      </c>
      <c r="Y261"/>
      <c r="Z261"/>
      <c r="AA261"/>
      <c r="AB261"/>
      <c r="AC261"/>
      <c r="AD261"/>
      <c r="AE261"/>
      <c r="AF261"/>
      <c r="AG261"/>
    </row>
    <row r="262" spans="2:33" s="27" customFormat="1" x14ac:dyDescent="0.25">
      <c r="B262" s="399">
        <v>25</v>
      </c>
      <c r="C262" s="295">
        <v>6</v>
      </c>
      <c r="D262" s="28"/>
      <c r="E262" s="28">
        <v>5</v>
      </c>
      <c r="F262" s="28">
        <f t="shared" si="17"/>
        <v>3</v>
      </c>
      <c r="G262" s="28">
        <v>5</v>
      </c>
      <c r="H262" s="28">
        <v>3</v>
      </c>
      <c r="I262" s="28">
        <f t="shared" si="18"/>
        <v>3</v>
      </c>
      <c r="J262" s="28">
        <v>4</v>
      </c>
      <c r="K262" s="28"/>
      <c r="L262" s="28"/>
      <c r="M262" s="28">
        <f t="shared" si="22"/>
        <v>5</v>
      </c>
      <c r="N262" s="28">
        <v>5</v>
      </c>
      <c r="O262" s="28">
        <v>5</v>
      </c>
      <c r="P262" s="28">
        <v>4</v>
      </c>
      <c r="Y262"/>
      <c r="Z262"/>
      <c r="AA262"/>
      <c r="AB262"/>
      <c r="AC262"/>
      <c r="AD262"/>
      <c r="AE262"/>
      <c r="AF262"/>
      <c r="AG262"/>
    </row>
    <row r="263" spans="2:33" s="27" customFormat="1" x14ac:dyDescent="0.25">
      <c r="B263" s="399">
        <v>26</v>
      </c>
      <c r="C263" s="295">
        <v>6</v>
      </c>
      <c r="D263" s="28"/>
      <c r="E263" s="28">
        <v>5</v>
      </c>
      <c r="F263" s="28">
        <f t="shared" si="17"/>
        <v>3</v>
      </c>
      <c r="G263" s="28">
        <v>5</v>
      </c>
      <c r="H263" s="28">
        <v>3</v>
      </c>
      <c r="I263" s="28">
        <f t="shared" si="18"/>
        <v>3</v>
      </c>
      <c r="J263" s="28">
        <v>4</v>
      </c>
      <c r="K263" s="28"/>
      <c r="L263" s="28"/>
      <c r="M263" s="28">
        <f t="shared" si="22"/>
        <v>5</v>
      </c>
      <c r="N263" s="28">
        <v>5</v>
      </c>
      <c r="O263" s="28">
        <v>5</v>
      </c>
      <c r="P263" s="28">
        <v>4</v>
      </c>
      <c r="Y263"/>
      <c r="Z263"/>
      <c r="AA263"/>
      <c r="AB263"/>
      <c r="AC263"/>
      <c r="AD263"/>
      <c r="AE263"/>
      <c r="AF263"/>
      <c r="AG263"/>
    </row>
    <row r="264" spans="2:33" s="27" customFormat="1" x14ac:dyDescent="0.25">
      <c r="B264" s="399">
        <v>27</v>
      </c>
      <c r="C264" s="295">
        <v>6</v>
      </c>
      <c r="D264" s="28"/>
      <c r="E264" s="28">
        <v>5</v>
      </c>
      <c r="F264" s="28">
        <f t="shared" si="17"/>
        <v>3</v>
      </c>
      <c r="G264" s="28">
        <v>5</v>
      </c>
      <c r="H264" s="28">
        <v>3</v>
      </c>
      <c r="I264" s="28">
        <f t="shared" si="18"/>
        <v>3</v>
      </c>
      <c r="J264" s="28">
        <v>4</v>
      </c>
      <c r="K264" s="28"/>
      <c r="L264" s="28"/>
      <c r="M264" s="28">
        <f t="shared" si="22"/>
        <v>5</v>
      </c>
      <c r="N264" s="28">
        <v>5</v>
      </c>
      <c r="O264" s="28">
        <v>5</v>
      </c>
      <c r="P264" s="28">
        <v>4</v>
      </c>
      <c r="Y264"/>
      <c r="Z264"/>
      <c r="AA264"/>
      <c r="AB264"/>
      <c r="AC264"/>
      <c r="AD264"/>
      <c r="AE264"/>
      <c r="AF264"/>
      <c r="AG264"/>
    </row>
    <row r="265" spans="2:33" s="27" customFormat="1" x14ac:dyDescent="0.25">
      <c r="B265" s="399">
        <v>28</v>
      </c>
      <c r="C265" s="295">
        <v>6</v>
      </c>
      <c r="D265" s="28"/>
      <c r="E265" s="28">
        <v>5</v>
      </c>
      <c r="F265" s="28">
        <f t="shared" si="17"/>
        <v>3</v>
      </c>
      <c r="G265" s="28">
        <v>5</v>
      </c>
      <c r="H265" s="28">
        <v>3</v>
      </c>
      <c r="I265" s="28">
        <f t="shared" si="18"/>
        <v>3</v>
      </c>
      <c r="J265" s="28">
        <v>4</v>
      </c>
      <c r="K265" s="28"/>
      <c r="L265" s="28"/>
      <c r="M265" s="28">
        <f t="shared" si="22"/>
        <v>5</v>
      </c>
      <c r="N265" s="28">
        <v>5</v>
      </c>
      <c r="O265" s="28">
        <v>5</v>
      </c>
      <c r="P265" s="28">
        <v>4</v>
      </c>
      <c r="Y265"/>
      <c r="Z265"/>
      <c r="AA265"/>
      <c r="AB265"/>
      <c r="AC265"/>
      <c r="AD265"/>
      <c r="AE265"/>
      <c r="AF265"/>
      <c r="AG265"/>
    </row>
    <row r="266" spans="2:33" s="27" customFormat="1" x14ac:dyDescent="0.25">
      <c r="B266" s="399">
        <v>29</v>
      </c>
      <c r="C266" s="295">
        <v>6</v>
      </c>
      <c r="D266" s="28"/>
      <c r="E266" s="28">
        <v>5</v>
      </c>
      <c r="F266" s="28">
        <f t="shared" si="17"/>
        <v>3</v>
      </c>
      <c r="G266" s="28">
        <v>5</v>
      </c>
      <c r="H266" s="28">
        <v>3</v>
      </c>
      <c r="I266" s="28">
        <f t="shared" si="18"/>
        <v>3</v>
      </c>
      <c r="J266" s="28">
        <v>4</v>
      </c>
      <c r="K266" s="28"/>
      <c r="L266" s="28"/>
      <c r="M266" s="28">
        <f t="shared" si="22"/>
        <v>4</v>
      </c>
      <c r="N266" s="28">
        <v>5</v>
      </c>
      <c r="O266" s="28">
        <v>5</v>
      </c>
      <c r="P266" s="28">
        <v>4</v>
      </c>
      <c r="Y266"/>
      <c r="Z266"/>
      <c r="AA266"/>
      <c r="AB266"/>
      <c r="AC266"/>
      <c r="AD266"/>
      <c r="AE266"/>
      <c r="AF266"/>
      <c r="AG266"/>
    </row>
    <row r="267" spans="2:33" s="27" customFormat="1" x14ac:dyDescent="0.25">
      <c r="B267" s="399">
        <v>30</v>
      </c>
      <c r="C267" s="295">
        <v>6</v>
      </c>
      <c r="D267" s="28"/>
      <c r="E267" s="28">
        <v>5</v>
      </c>
      <c r="F267" s="28">
        <f t="shared" si="17"/>
        <v>3</v>
      </c>
      <c r="G267" s="28">
        <v>5</v>
      </c>
      <c r="H267" s="28">
        <v>3</v>
      </c>
      <c r="I267" s="28">
        <f t="shared" si="18"/>
        <v>3</v>
      </c>
      <c r="J267" s="28">
        <v>4</v>
      </c>
      <c r="K267" s="28"/>
      <c r="L267" s="28"/>
      <c r="M267" s="28">
        <f t="shared" si="22"/>
        <v>4</v>
      </c>
      <c r="N267" s="28">
        <v>5</v>
      </c>
      <c r="O267" s="28">
        <v>5</v>
      </c>
      <c r="P267" s="28">
        <v>4</v>
      </c>
      <c r="Y267"/>
      <c r="Z267"/>
      <c r="AA267"/>
      <c r="AB267"/>
      <c r="AC267"/>
      <c r="AD267"/>
      <c r="AE267"/>
      <c r="AF267"/>
      <c r="AG267"/>
    </row>
    <row r="268" spans="2:33" s="27" customFormat="1" x14ac:dyDescent="0.25">
      <c r="B268" s="399">
        <v>31</v>
      </c>
      <c r="C268" s="295">
        <v>6</v>
      </c>
      <c r="D268" s="28"/>
      <c r="E268" s="28">
        <v>5</v>
      </c>
      <c r="F268" s="28">
        <f t="shared" si="17"/>
        <v>3</v>
      </c>
      <c r="G268" s="28">
        <v>5</v>
      </c>
      <c r="H268" s="28">
        <v>3</v>
      </c>
      <c r="I268" s="28">
        <f t="shared" si="18"/>
        <v>3</v>
      </c>
      <c r="J268" s="28">
        <v>4</v>
      </c>
      <c r="K268" s="28"/>
      <c r="L268" s="28"/>
      <c r="M268" s="28">
        <f t="shared" si="22"/>
        <v>4</v>
      </c>
      <c r="N268" s="28">
        <v>5</v>
      </c>
      <c r="O268" s="28">
        <v>5</v>
      </c>
      <c r="P268" s="28">
        <v>4</v>
      </c>
      <c r="Y268"/>
      <c r="Z268"/>
      <c r="AA268"/>
      <c r="AB268"/>
      <c r="AC268"/>
      <c r="AD268"/>
      <c r="AE268"/>
      <c r="AF268"/>
      <c r="AG268"/>
    </row>
    <row r="269" spans="2:33" s="27" customFormat="1" x14ac:dyDescent="0.25">
      <c r="B269" s="399">
        <v>32</v>
      </c>
      <c r="C269" s="295">
        <v>6</v>
      </c>
      <c r="D269" s="28"/>
      <c r="E269" s="28">
        <v>5</v>
      </c>
      <c r="F269" s="28">
        <f t="shared" si="17"/>
        <v>3</v>
      </c>
      <c r="G269" s="28">
        <v>5</v>
      </c>
      <c r="H269" s="28">
        <v>3</v>
      </c>
      <c r="I269" s="28">
        <f t="shared" si="18"/>
        <v>3</v>
      </c>
      <c r="J269" s="28">
        <v>4</v>
      </c>
      <c r="K269" s="28"/>
      <c r="L269" s="28"/>
      <c r="M269" s="28">
        <f t="shared" si="22"/>
        <v>4</v>
      </c>
      <c r="N269" s="28">
        <v>5</v>
      </c>
      <c r="O269" s="28">
        <v>5</v>
      </c>
      <c r="P269" s="28">
        <v>4</v>
      </c>
      <c r="Y269"/>
      <c r="Z269"/>
      <c r="AA269"/>
      <c r="AB269"/>
      <c r="AC269"/>
      <c r="AD269"/>
      <c r="AE269"/>
      <c r="AF269"/>
      <c r="AG269"/>
    </row>
    <row r="270" spans="2:33" s="27" customFormat="1" x14ac:dyDescent="0.25">
      <c r="B270" s="399">
        <v>33</v>
      </c>
      <c r="C270" s="295">
        <v>6</v>
      </c>
      <c r="D270" s="28"/>
      <c r="E270" s="28">
        <v>5</v>
      </c>
      <c r="F270" s="28">
        <f t="shared" si="17"/>
        <v>3</v>
      </c>
      <c r="G270" s="28">
        <v>5</v>
      </c>
      <c r="H270" s="28">
        <v>3</v>
      </c>
      <c r="I270" s="28">
        <f t="shared" si="18"/>
        <v>3</v>
      </c>
      <c r="J270" s="28">
        <v>4</v>
      </c>
      <c r="K270" s="28"/>
      <c r="L270" s="28"/>
      <c r="M270" s="28">
        <f t="shared" si="22"/>
        <v>4</v>
      </c>
      <c r="N270" s="28">
        <v>5</v>
      </c>
      <c r="O270" s="28">
        <v>5</v>
      </c>
      <c r="P270" s="28">
        <v>4</v>
      </c>
      <c r="Y270"/>
      <c r="Z270"/>
      <c r="AA270"/>
      <c r="AB270"/>
      <c r="AC270"/>
      <c r="AD270"/>
      <c r="AE270"/>
      <c r="AF270"/>
      <c r="AG270"/>
    </row>
    <row r="271" spans="2:33" s="27" customFormat="1" x14ac:dyDescent="0.25">
      <c r="B271" s="399">
        <v>34</v>
      </c>
      <c r="C271" s="295">
        <v>6</v>
      </c>
      <c r="D271" s="28"/>
      <c r="E271" s="28">
        <v>5</v>
      </c>
      <c r="F271" s="28">
        <f t="shared" si="17"/>
        <v>3</v>
      </c>
      <c r="G271" s="28">
        <v>5</v>
      </c>
      <c r="H271" s="28">
        <v>3</v>
      </c>
      <c r="I271" s="28">
        <f t="shared" si="18"/>
        <v>3</v>
      </c>
      <c r="J271" s="28">
        <v>4</v>
      </c>
      <c r="K271" s="28"/>
      <c r="L271" s="28"/>
      <c r="M271" s="28"/>
      <c r="N271" s="28">
        <v>5</v>
      </c>
      <c r="O271" s="28">
        <v>5</v>
      </c>
      <c r="P271" s="28">
        <v>4</v>
      </c>
      <c r="Y271"/>
      <c r="Z271"/>
      <c r="AA271"/>
      <c r="AB271"/>
      <c r="AC271"/>
      <c r="AD271"/>
      <c r="AE271"/>
      <c r="AF271"/>
      <c r="AG271"/>
    </row>
    <row r="272" spans="2:33" s="27" customFormat="1" ht="15.75" thickBot="1" x14ac:dyDescent="0.3">
      <c r="B272" s="400">
        <v>35</v>
      </c>
      <c r="C272" s="295">
        <v>6</v>
      </c>
      <c r="D272" s="28"/>
      <c r="E272" s="28">
        <v>5</v>
      </c>
      <c r="F272" s="28">
        <f t="shared" si="17"/>
        <v>3</v>
      </c>
      <c r="G272" s="28">
        <v>5</v>
      </c>
      <c r="H272" s="28">
        <v>3</v>
      </c>
      <c r="I272" s="28">
        <f t="shared" si="18"/>
        <v>3</v>
      </c>
      <c r="J272" s="28">
        <v>4</v>
      </c>
      <c r="K272" s="28"/>
      <c r="L272" s="28"/>
      <c r="M272" s="28"/>
      <c r="N272" s="28">
        <v>5</v>
      </c>
      <c r="O272" s="28">
        <v>5</v>
      </c>
      <c r="P272" s="28">
        <v>4</v>
      </c>
      <c r="Y272"/>
      <c r="Z272"/>
      <c r="AA272"/>
      <c r="AB272"/>
      <c r="AC272"/>
      <c r="AD272"/>
      <c r="AE272"/>
      <c r="AF272"/>
      <c r="AG272"/>
    </row>
    <row r="273" spans="2:33" s="27" customFormat="1" ht="15.75" thickBot="1" x14ac:dyDescent="0.3">
      <c r="B273" s="404">
        <v>36</v>
      </c>
      <c r="C273" s="32">
        <v>6</v>
      </c>
      <c r="D273" s="32"/>
      <c r="E273" s="32">
        <v>5</v>
      </c>
      <c r="F273" s="32">
        <f t="shared" si="17"/>
        <v>3</v>
      </c>
      <c r="G273" s="32">
        <v>5</v>
      </c>
      <c r="H273" s="32">
        <v>3</v>
      </c>
      <c r="I273" s="32">
        <f t="shared" si="18"/>
        <v>3</v>
      </c>
      <c r="J273" s="32">
        <v>4</v>
      </c>
      <c r="K273" s="32"/>
      <c r="L273" s="32"/>
      <c r="M273" s="32"/>
      <c r="N273" s="32">
        <v>5</v>
      </c>
      <c r="O273" s="32">
        <v>5</v>
      </c>
      <c r="P273" s="32">
        <v>4</v>
      </c>
      <c r="Y273"/>
      <c r="Z273"/>
      <c r="AA273"/>
      <c r="AB273"/>
      <c r="AC273"/>
      <c r="AD273"/>
      <c r="AE273"/>
      <c r="AF273"/>
      <c r="AG273"/>
    </row>
    <row r="274" spans="2:33" s="27" customFormat="1" x14ac:dyDescent="0.25">
      <c r="B274" s="26"/>
      <c r="C274" s="27">
        <f t="shared" ref="C274:P274" si="23">SUM(C238:C247)</f>
        <v>124</v>
      </c>
      <c r="D274" s="27">
        <f t="shared" si="23"/>
        <v>124</v>
      </c>
      <c r="E274" s="27">
        <f t="shared" si="23"/>
        <v>132</v>
      </c>
      <c r="F274" s="27">
        <f t="shared" si="23"/>
        <v>112</v>
      </c>
      <c r="G274" s="27">
        <f t="shared" si="23"/>
        <v>132</v>
      </c>
      <c r="H274" s="27">
        <f t="shared" si="23"/>
        <v>100</v>
      </c>
      <c r="I274" s="27">
        <f t="shared" si="23"/>
        <v>100</v>
      </c>
      <c r="J274" s="27">
        <f t="shared" si="23"/>
        <v>124</v>
      </c>
      <c r="K274" s="27">
        <f t="shared" si="23"/>
        <v>124</v>
      </c>
      <c r="L274" s="27">
        <f t="shared" si="23"/>
        <v>124</v>
      </c>
      <c r="M274" s="27">
        <f t="shared" si="23"/>
        <v>140</v>
      </c>
      <c r="N274" s="27">
        <f t="shared" si="23"/>
        <v>132</v>
      </c>
      <c r="O274" s="27">
        <f t="shared" si="23"/>
        <v>132</v>
      </c>
      <c r="P274" s="27">
        <f t="shared" si="23"/>
        <v>124</v>
      </c>
      <c r="Y274"/>
      <c r="Z274"/>
      <c r="AA274"/>
      <c r="AB274"/>
      <c r="AC274"/>
      <c r="AD274"/>
      <c r="AE274"/>
      <c r="AF274"/>
      <c r="AG274"/>
    </row>
    <row r="275" spans="2:33" s="27" customFormat="1" ht="15.75" thickBot="1" x14ac:dyDescent="0.3">
      <c r="B275" s="26"/>
      <c r="Y275"/>
      <c r="Z275"/>
      <c r="AA275"/>
      <c r="AB275"/>
      <c r="AC275"/>
      <c r="AD275"/>
      <c r="AE275"/>
      <c r="AF275"/>
      <c r="AG275"/>
    </row>
    <row r="276" spans="2:33" s="27" customFormat="1" ht="15.75" thickBot="1" x14ac:dyDescent="0.3">
      <c r="B276" s="243" t="s">
        <v>36</v>
      </c>
      <c r="C276" s="242" t="s">
        <v>63</v>
      </c>
      <c r="D276" s="138" t="s">
        <v>64</v>
      </c>
      <c r="E276" s="138" t="s">
        <v>65</v>
      </c>
      <c r="F276" s="138" t="s">
        <v>66</v>
      </c>
      <c r="G276" s="138" t="s">
        <v>67</v>
      </c>
      <c r="H276" s="138" t="s">
        <v>68</v>
      </c>
      <c r="I276" s="138" t="s">
        <v>247</v>
      </c>
      <c r="J276" s="138" t="s">
        <v>69</v>
      </c>
      <c r="K276" s="138" t="s">
        <v>70</v>
      </c>
      <c r="L276" s="138" t="s">
        <v>333</v>
      </c>
      <c r="M276" s="138" t="s">
        <v>334</v>
      </c>
      <c r="N276" s="138" t="s">
        <v>1568</v>
      </c>
      <c r="O276" s="138" t="s">
        <v>1625</v>
      </c>
      <c r="P276" s="139" t="s">
        <v>1569</v>
      </c>
      <c r="Y276"/>
      <c r="Z276"/>
      <c r="AA276"/>
      <c r="AB276"/>
      <c r="AC276"/>
      <c r="AD276"/>
      <c r="AE276"/>
      <c r="AF276"/>
      <c r="AG276"/>
    </row>
    <row r="277" spans="2:33" s="27" customFormat="1" x14ac:dyDescent="0.25">
      <c r="B277" s="398">
        <v>1</v>
      </c>
      <c r="C277" s="397">
        <v>16</v>
      </c>
      <c r="D277" s="133">
        <f t="shared" ref="D277:D299" si="24">C277</f>
        <v>16</v>
      </c>
      <c r="E277" s="133">
        <v>17</v>
      </c>
      <c r="F277" s="133">
        <f t="shared" ref="F277:F312" si="25">E277-2</f>
        <v>15</v>
      </c>
      <c r="G277" s="133">
        <f t="shared" ref="G277:G312" si="26">E277</f>
        <v>17</v>
      </c>
      <c r="H277" s="133">
        <v>15</v>
      </c>
      <c r="I277" s="133">
        <f t="shared" ref="I277:I312" si="27">H277</f>
        <v>15</v>
      </c>
      <c r="J277" s="133">
        <v>16</v>
      </c>
      <c r="K277" s="133">
        <f t="shared" ref="K277:K291" si="28">J277</f>
        <v>16</v>
      </c>
      <c r="L277" s="133">
        <f t="shared" ref="L277:L293" si="29">J277</f>
        <v>16</v>
      </c>
      <c r="M277" s="133">
        <f t="shared" ref="M277:M282" si="30">E277</f>
        <v>17</v>
      </c>
      <c r="N277" s="133">
        <v>17</v>
      </c>
      <c r="O277" s="133">
        <v>17</v>
      </c>
      <c r="P277" s="133">
        <v>16</v>
      </c>
      <c r="Y277"/>
      <c r="Z277"/>
      <c r="AA277"/>
      <c r="AB277"/>
      <c r="AC277"/>
      <c r="AD277"/>
      <c r="AE277"/>
      <c r="AF277"/>
      <c r="AG277"/>
    </row>
    <row r="278" spans="2:33" s="27" customFormat="1" x14ac:dyDescent="0.25">
      <c r="B278" s="399">
        <v>2</v>
      </c>
      <c r="C278" s="295">
        <v>16</v>
      </c>
      <c r="D278" s="28">
        <f t="shared" si="24"/>
        <v>16</v>
      </c>
      <c r="E278" s="28">
        <v>17</v>
      </c>
      <c r="F278" s="28">
        <f t="shared" si="25"/>
        <v>15</v>
      </c>
      <c r="G278" s="28">
        <f t="shared" si="26"/>
        <v>17</v>
      </c>
      <c r="H278" s="28">
        <v>15</v>
      </c>
      <c r="I278" s="28">
        <f t="shared" si="27"/>
        <v>15</v>
      </c>
      <c r="J278" s="28">
        <v>16</v>
      </c>
      <c r="K278" s="28">
        <f t="shared" si="28"/>
        <v>16</v>
      </c>
      <c r="L278" s="28">
        <f t="shared" si="29"/>
        <v>16</v>
      </c>
      <c r="M278" s="28">
        <f t="shared" si="30"/>
        <v>17</v>
      </c>
      <c r="N278" s="28">
        <v>17</v>
      </c>
      <c r="O278" s="28">
        <v>17</v>
      </c>
      <c r="P278" s="28">
        <v>16</v>
      </c>
      <c r="Y278"/>
      <c r="Z278"/>
      <c r="AA278"/>
      <c r="AB278"/>
      <c r="AC278"/>
      <c r="AD278"/>
      <c r="AE278"/>
      <c r="AF278"/>
      <c r="AG278"/>
    </row>
    <row r="279" spans="2:33" s="27" customFormat="1" x14ac:dyDescent="0.25">
      <c r="B279" s="399">
        <v>3</v>
      </c>
      <c r="C279" s="295">
        <v>16</v>
      </c>
      <c r="D279" s="28">
        <f t="shared" si="24"/>
        <v>16</v>
      </c>
      <c r="E279" s="28">
        <v>16</v>
      </c>
      <c r="F279" s="28">
        <f t="shared" si="25"/>
        <v>14</v>
      </c>
      <c r="G279" s="28">
        <f t="shared" si="26"/>
        <v>16</v>
      </c>
      <c r="H279" s="28">
        <v>15</v>
      </c>
      <c r="I279" s="28">
        <f t="shared" si="27"/>
        <v>15</v>
      </c>
      <c r="J279" s="28">
        <v>16</v>
      </c>
      <c r="K279" s="28">
        <f t="shared" si="28"/>
        <v>16</v>
      </c>
      <c r="L279" s="28">
        <f t="shared" si="29"/>
        <v>16</v>
      </c>
      <c r="M279" s="28">
        <f t="shared" si="30"/>
        <v>16</v>
      </c>
      <c r="N279" s="28">
        <v>16</v>
      </c>
      <c r="O279" s="28">
        <v>16</v>
      </c>
      <c r="P279" s="28">
        <v>16</v>
      </c>
      <c r="Y279"/>
      <c r="Z279"/>
      <c r="AA279"/>
      <c r="AB279"/>
      <c r="AC279"/>
      <c r="AD279"/>
      <c r="AE279"/>
      <c r="AF279"/>
      <c r="AG279"/>
    </row>
    <row r="280" spans="2:33" s="27" customFormat="1" x14ac:dyDescent="0.25">
      <c r="B280" s="399">
        <v>4</v>
      </c>
      <c r="C280" s="295">
        <v>15</v>
      </c>
      <c r="D280" s="28">
        <f t="shared" si="24"/>
        <v>15</v>
      </c>
      <c r="E280" s="28">
        <v>16</v>
      </c>
      <c r="F280" s="28">
        <f t="shared" si="25"/>
        <v>14</v>
      </c>
      <c r="G280" s="28">
        <f t="shared" si="26"/>
        <v>16</v>
      </c>
      <c r="H280" s="28">
        <v>15</v>
      </c>
      <c r="I280" s="28">
        <f t="shared" si="27"/>
        <v>15</v>
      </c>
      <c r="J280" s="28">
        <v>16</v>
      </c>
      <c r="K280" s="28">
        <f t="shared" si="28"/>
        <v>16</v>
      </c>
      <c r="L280" s="28">
        <f t="shared" si="29"/>
        <v>16</v>
      </c>
      <c r="M280" s="28">
        <f t="shared" si="30"/>
        <v>16</v>
      </c>
      <c r="N280" s="28">
        <v>16</v>
      </c>
      <c r="O280" s="28">
        <v>16</v>
      </c>
      <c r="P280" s="28">
        <v>16</v>
      </c>
      <c r="Y280"/>
      <c r="Z280"/>
      <c r="AA280"/>
      <c r="AB280"/>
      <c r="AC280"/>
      <c r="AD280"/>
      <c r="AE280"/>
      <c r="AF280"/>
      <c r="AG280"/>
    </row>
    <row r="281" spans="2:33" s="27" customFormat="1" x14ac:dyDescent="0.25">
      <c r="B281" s="399">
        <v>5</v>
      </c>
      <c r="C281" s="295">
        <v>15</v>
      </c>
      <c r="D281" s="28">
        <f t="shared" si="24"/>
        <v>15</v>
      </c>
      <c r="E281" s="28">
        <v>13</v>
      </c>
      <c r="F281" s="28">
        <f t="shared" si="25"/>
        <v>11</v>
      </c>
      <c r="G281" s="28">
        <f t="shared" si="26"/>
        <v>13</v>
      </c>
      <c r="H281" s="28">
        <v>15</v>
      </c>
      <c r="I281" s="28">
        <f t="shared" si="27"/>
        <v>15</v>
      </c>
      <c r="J281" s="28">
        <v>15</v>
      </c>
      <c r="K281" s="28">
        <f t="shared" si="28"/>
        <v>15</v>
      </c>
      <c r="L281" s="28">
        <f t="shared" si="29"/>
        <v>15</v>
      </c>
      <c r="M281" s="28">
        <f t="shared" si="30"/>
        <v>13</v>
      </c>
      <c r="N281" s="28">
        <v>13</v>
      </c>
      <c r="O281" s="28">
        <v>13</v>
      </c>
      <c r="P281" s="28">
        <v>15</v>
      </c>
      <c r="Y281"/>
      <c r="Z281"/>
      <c r="AA281"/>
      <c r="AB281"/>
      <c r="AC281"/>
      <c r="AD281"/>
      <c r="AE281"/>
      <c r="AF281"/>
      <c r="AG281"/>
    </row>
    <row r="282" spans="2:33" s="27" customFormat="1" x14ac:dyDescent="0.25">
      <c r="B282" s="399">
        <v>6</v>
      </c>
      <c r="C282" s="295">
        <v>15</v>
      </c>
      <c r="D282" s="28">
        <f t="shared" si="24"/>
        <v>15</v>
      </c>
      <c r="E282" s="28">
        <v>13</v>
      </c>
      <c r="F282" s="28">
        <f t="shared" si="25"/>
        <v>11</v>
      </c>
      <c r="G282" s="28">
        <f t="shared" si="26"/>
        <v>13</v>
      </c>
      <c r="H282" s="28">
        <v>13</v>
      </c>
      <c r="I282" s="28">
        <f t="shared" si="27"/>
        <v>13</v>
      </c>
      <c r="J282" s="28">
        <v>15</v>
      </c>
      <c r="K282" s="28">
        <f t="shared" si="28"/>
        <v>15</v>
      </c>
      <c r="L282" s="28">
        <f t="shared" si="29"/>
        <v>15</v>
      </c>
      <c r="M282" s="28">
        <f t="shared" si="30"/>
        <v>13</v>
      </c>
      <c r="N282" s="28">
        <v>13</v>
      </c>
      <c r="O282" s="28">
        <v>13</v>
      </c>
      <c r="P282" s="28">
        <v>15</v>
      </c>
      <c r="Y282"/>
      <c r="Z282"/>
      <c r="AA282"/>
      <c r="AB282"/>
      <c r="AC282"/>
      <c r="AD282"/>
      <c r="AE282"/>
      <c r="AF282"/>
      <c r="AG282"/>
    </row>
    <row r="283" spans="2:33" s="27" customFormat="1" x14ac:dyDescent="0.25">
      <c r="B283" s="399">
        <v>7</v>
      </c>
      <c r="C283" s="295">
        <v>13</v>
      </c>
      <c r="D283" s="28">
        <f t="shared" si="24"/>
        <v>13</v>
      </c>
      <c r="E283" s="28">
        <v>12</v>
      </c>
      <c r="F283" s="28">
        <f t="shared" si="25"/>
        <v>10</v>
      </c>
      <c r="G283" s="28">
        <f t="shared" si="26"/>
        <v>12</v>
      </c>
      <c r="H283" s="28">
        <v>13</v>
      </c>
      <c r="I283" s="28">
        <f t="shared" si="27"/>
        <v>13</v>
      </c>
      <c r="J283" s="28">
        <v>15</v>
      </c>
      <c r="K283" s="28">
        <f t="shared" si="28"/>
        <v>15</v>
      </c>
      <c r="L283" s="28">
        <f t="shared" si="29"/>
        <v>15</v>
      </c>
      <c r="M283" s="28">
        <f>MIN(J277,M282)</f>
        <v>13</v>
      </c>
      <c r="N283" s="28">
        <v>12</v>
      </c>
      <c r="O283" s="28">
        <v>12</v>
      </c>
      <c r="P283" s="28">
        <v>15</v>
      </c>
      <c r="Y283"/>
      <c r="Z283"/>
      <c r="AA283"/>
      <c r="AB283"/>
      <c r="AC283"/>
      <c r="AD283"/>
      <c r="AE283"/>
      <c r="AF283"/>
      <c r="AG283"/>
    </row>
    <row r="284" spans="2:33" s="27" customFormat="1" x14ac:dyDescent="0.25">
      <c r="B284" s="399">
        <v>8</v>
      </c>
      <c r="C284" s="295">
        <v>13</v>
      </c>
      <c r="D284" s="28">
        <f t="shared" si="24"/>
        <v>13</v>
      </c>
      <c r="E284" s="28">
        <v>12</v>
      </c>
      <c r="F284" s="28">
        <f t="shared" si="25"/>
        <v>10</v>
      </c>
      <c r="G284" s="28">
        <f t="shared" si="26"/>
        <v>12</v>
      </c>
      <c r="H284" s="28">
        <v>13</v>
      </c>
      <c r="I284" s="28">
        <f t="shared" si="27"/>
        <v>13</v>
      </c>
      <c r="J284" s="28">
        <v>15</v>
      </c>
      <c r="K284" s="28">
        <f t="shared" si="28"/>
        <v>15</v>
      </c>
      <c r="L284" s="28">
        <f t="shared" si="29"/>
        <v>15</v>
      </c>
      <c r="M284" s="28">
        <f>MIN(J278,M283)</f>
        <v>13</v>
      </c>
      <c r="N284" s="28">
        <v>12</v>
      </c>
      <c r="O284" s="28">
        <v>12</v>
      </c>
      <c r="P284" s="28">
        <v>15</v>
      </c>
      <c r="Y284"/>
      <c r="Z284"/>
      <c r="AA284"/>
      <c r="AB284"/>
      <c r="AC284"/>
      <c r="AD284"/>
      <c r="AE284"/>
      <c r="AF284"/>
      <c r="AG284"/>
    </row>
    <row r="285" spans="2:33" s="27" customFormat="1" x14ac:dyDescent="0.25">
      <c r="B285" s="399">
        <v>9</v>
      </c>
      <c r="C285" s="295">
        <v>13</v>
      </c>
      <c r="D285" s="28">
        <f t="shared" si="24"/>
        <v>13</v>
      </c>
      <c r="E285" s="28">
        <v>9</v>
      </c>
      <c r="F285" s="28">
        <f t="shared" si="25"/>
        <v>7</v>
      </c>
      <c r="G285" s="28">
        <f t="shared" si="26"/>
        <v>9</v>
      </c>
      <c r="H285" s="28">
        <v>13</v>
      </c>
      <c r="I285" s="28">
        <f t="shared" si="27"/>
        <v>13</v>
      </c>
      <c r="J285" s="28">
        <v>14</v>
      </c>
      <c r="K285" s="28">
        <f t="shared" si="28"/>
        <v>14</v>
      </c>
      <c r="L285" s="28">
        <f t="shared" si="29"/>
        <v>14</v>
      </c>
      <c r="M285" s="28">
        <f>MIN(J279,M284)</f>
        <v>13</v>
      </c>
      <c r="N285" s="28">
        <v>9</v>
      </c>
      <c r="O285" s="28">
        <v>9</v>
      </c>
      <c r="P285" s="28">
        <v>14</v>
      </c>
      <c r="Y285"/>
      <c r="Z285"/>
      <c r="AA285"/>
      <c r="AB285"/>
      <c r="AC285"/>
      <c r="AD285"/>
      <c r="AE285"/>
      <c r="AF285"/>
      <c r="AG285"/>
    </row>
    <row r="286" spans="2:33" s="27" customFormat="1" x14ac:dyDescent="0.25">
      <c r="B286" s="399">
        <v>10</v>
      </c>
      <c r="C286" s="295">
        <v>12</v>
      </c>
      <c r="D286" s="28">
        <f t="shared" si="24"/>
        <v>12</v>
      </c>
      <c r="E286" s="28">
        <v>9</v>
      </c>
      <c r="F286" s="28">
        <f t="shared" si="25"/>
        <v>7</v>
      </c>
      <c r="G286" s="28">
        <f t="shared" si="26"/>
        <v>9</v>
      </c>
      <c r="H286" s="28">
        <v>13</v>
      </c>
      <c r="I286" s="28">
        <f t="shared" si="27"/>
        <v>13</v>
      </c>
      <c r="J286" s="28">
        <v>14</v>
      </c>
      <c r="K286" s="28">
        <f t="shared" si="28"/>
        <v>14</v>
      </c>
      <c r="L286" s="28">
        <f t="shared" si="29"/>
        <v>14</v>
      </c>
      <c r="M286" s="28">
        <f>MIN(J280,M285)</f>
        <v>13</v>
      </c>
      <c r="N286" s="28">
        <v>9</v>
      </c>
      <c r="O286" s="28">
        <v>9</v>
      </c>
      <c r="P286" s="28">
        <v>14</v>
      </c>
      <c r="Y286"/>
      <c r="Z286"/>
      <c r="AA286"/>
      <c r="AB286"/>
      <c r="AC286"/>
      <c r="AD286"/>
      <c r="AE286"/>
      <c r="AF286"/>
      <c r="AG286"/>
    </row>
    <row r="287" spans="2:33" s="27" customFormat="1" x14ac:dyDescent="0.25">
      <c r="B287" s="399">
        <v>11</v>
      </c>
      <c r="C287" s="295">
        <v>12</v>
      </c>
      <c r="D287" s="28">
        <f t="shared" si="24"/>
        <v>12</v>
      </c>
      <c r="E287" s="28">
        <v>8</v>
      </c>
      <c r="F287" s="28">
        <f t="shared" si="25"/>
        <v>6</v>
      </c>
      <c r="G287" s="28">
        <f t="shared" si="26"/>
        <v>8</v>
      </c>
      <c r="H287" s="28">
        <v>11</v>
      </c>
      <c r="I287" s="28">
        <f t="shared" si="27"/>
        <v>11</v>
      </c>
      <c r="J287" s="28">
        <v>14</v>
      </c>
      <c r="K287" s="28">
        <f t="shared" si="28"/>
        <v>14</v>
      </c>
      <c r="L287" s="28">
        <f t="shared" si="29"/>
        <v>14</v>
      </c>
      <c r="M287" s="28">
        <f t="shared" ref="M287:M309" si="31">MIN(M286,D279,E279,J279)</f>
        <v>13</v>
      </c>
      <c r="N287" s="28">
        <v>8</v>
      </c>
      <c r="O287" s="28">
        <v>8</v>
      </c>
      <c r="P287" s="28">
        <v>14</v>
      </c>
      <c r="Y287"/>
      <c r="Z287"/>
      <c r="AA287"/>
      <c r="AB287"/>
      <c r="AC287"/>
      <c r="AD287"/>
      <c r="AE287"/>
      <c r="AF287"/>
      <c r="AG287"/>
    </row>
    <row r="288" spans="2:33" s="27" customFormat="1" x14ac:dyDescent="0.25">
      <c r="B288" s="399">
        <v>12</v>
      </c>
      <c r="C288" s="295">
        <v>12</v>
      </c>
      <c r="D288" s="28">
        <f t="shared" si="24"/>
        <v>12</v>
      </c>
      <c r="E288" s="28">
        <v>8</v>
      </c>
      <c r="F288" s="28">
        <f t="shared" si="25"/>
        <v>6</v>
      </c>
      <c r="G288" s="28">
        <f t="shared" si="26"/>
        <v>8</v>
      </c>
      <c r="H288" s="28">
        <v>11</v>
      </c>
      <c r="I288" s="28">
        <f t="shared" si="27"/>
        <v>11</v>
      </c>
      <c r="J288" s="28">
        <v>14</v>
      </c>
      <c r="K288" s="28">
        <f t="shared" si="28"/>
        <v>14</v>
      </c>
      <c r="L288" s="28">
        <f t="shared" si="29"/>
        <v>14</v>
      </c>
      <c r="M288" s="28">
        <f t="shared" si="31"/>
        <v>13</v>
      </c>
      <c r="N288" s="28">
        <v>8</v>
      </c>
      <c r="O288" s="28">
        <v>8</v>
      </c>
      <c r="P288" s="28">
        <v>14</v>
      </c>
      <c r="Y288"/>
      <c r="Z288"/>
      <c r="AA288"/>
      <c r="AB288"/>
      <c r="AC288"/>
      <c r="AD288"/>
      <c r="AE288"/>
      <c r="AF288"/>
      <c r="AG288"/>
    </row>
    <row r="289" spans="2:33" s="27" customFormat="1" x14ac:dyDescent="0.25">
      <c r="B289" s="399">
        <v>13</v>
      </c>
      <c r="C289" s="295">
        <v>11</v>
      </c>
      <c r="D289" s="28">
        <f t="shared" si="24"/>
        <v>11</v>
      </c>
      <c r="E289" s="28">
        <v>5</v>
      </c>
      <c r="F289" s="28">
        <f t="shared" si="25"/>
        <v>3</v>
      </c>
      <c r="G289" s="28">
        <f t="shared" si="26"/>
        <v>5</v>
      </c>
      <c r="H289" s="28">
        <v>11</v>
      </c>
      <c r="I289" s="28">
        <f t="shared" si="27"/>
        <v>11</v>
      </c>
      <c r="J289" s="28">
        <v>13</v>
      </c>
      <c r="K289" s="28">
        <f t="shared" si="28"/>
        <v>13</v>
      </c>
      <c r="L289" s="28">
        <f t="shared" si="29"/>
        <v>13</v>
      </c>
      <c r="M289" s="28">
        <f t="shared" si="31"/>
        <v>13</v>
      </c>
      <c r="N289" s="28">
        <v>5</v>
      </c>
      <c r="O289" s="28">
        <v>5</v>
      </c>
      <c r="P289" s="28">
        <v>13</v>
      </c>
      <c r="Y289"/>
      <c r="Z289"/>
      <c r="AA289"/>
      <c r="AB289"/>
      <c r="AC289"/>
      <c r="AD289"/>
      <c r="AE289"/>
      <c r="AF289"/>
      <c r="AG289"/>
    </row>
    <row r="290" spans="2:33" s="27" customFormat="1" x14ac:dyDescent="0.25">
      <c r="B290" s="399">
        <v>14</v>
      </c>
      <c r="C290" s="295">
        <v>11</v>
      </c>
      <c r="D290" s="28">
        <f t="shared" si="24"/>
        <v>11</v>
      </c>
      <c r="E290" s="28">
        <v>5</v>
      </c>
      <c r="F290" s="28">
        <f t="shared" si="25"/>
        <v>3</v>
      </c>
      <c r="G290" s="28">
        <f t="shared" si="26"/>
        <v>5</v>
      </c>
      <c r="H290" s="28">
        <v>11</v>
      </c>
      <c r="I290" s="28">
        <f t="shared" si="27"/>
        <v>11</v>
      </c>
      <c r="J290" s="28">
        <v>13</v>
      </c>
      <c r="K290" s="28">
        <f t="shared" si="28"/>
        <v>13</v>
      </c>
      <c r="L290" s="28">
        <f t="shared" si="29"/>
        <v>13</v>
      </c>
      <c r="M290" s="28">
        <f t="shared" si="31"/>
        <v>13</v>
      </c>
      <c r="N290" s="28">
        <v>5</v>
      </c>
      <c r="O290" s="28">
        <v>5</v>
      </c>
      <c r="P290" s="28">
        <v>13</v>
      </c>
      <c r="Y290"/>
      <c r="Z290"/>
      <c r="AA290"/>
      <c r="AB290"/>
      <c r="AC290"/>
      <c r="AD290"/>
      <c r="AE290"/>
      <c r="AF290"/>
      <c r="AG290"/>
    </row>
    <row r="291" spans="2:33" s="27" customFormat="1" x14ac:dyDescent="0.25">
      <c r="B291" s="399">
        <v>15</v>
      </c>
      <c r="C291" s="295">
        <v>11</v>
      </c>
      <c r="D291" s="28">
        <f t="shared" si="24"/>
        <v>11</v>
      </c>
      <c r="E291" s="28">
        <v>4</v>
      </c>
      <c r="F291" s="28">
        <f t="shared" si="25"/>
        <v>2</v>
      </c>
      <c r="G291" s="28">
        <f t="shared" si="26"/>
        <v>4</v>
      </c>
      <c r="H291" s="28">
        <v>11</v>
      </c>
      <c r="I291" s="28">
        <f t="shared" si="27"/>
        <v>11</v>
      </c>
      <c r="J291" s="28">
        <v>13</v>
      </c>
      <c r="K291" s="28">
        <f t="shared" si="28"/>
        <v>13</v>
      </c>
      <c r="L291" s="28">
        <f t="shared" si="29"/>
        <v>13</v>
      </c>
      <c r="M291" s="28">
        <f t="shared" si="31"/>
        <v>12</v>
      </c>
      <c r="N291" s="28">
        <v>4</v>
      </c>
      <c r="O291" s="28">
        <v>4</v>
      </c>
      <c r="P291" s="28">
        <v>13</v>
      </c>
      <c r="Y291"/>
      <c r="Z291"/>
      <c r="AA291"/>
      <c r="AB291"/>
      <c r="AC291"/>
      <c r="AD291"/>
      <c r="AE291"/>
      <c r="AF291"/>
      <c r="AG291"/>
    </row>
    <row r="292" spans="2:33" s="27" customFormat="1" x14ac:dyDescent="0.25">
      <c r="B292" s="399">
        <v>16</v>
      </c>
      <c r="C292" s="295">
        <v>10</v>
      </c>
      <c r="D292" s="28">
        <f t="shared" si="24"/>
        <v>10</v>
      </c>
      <c r="E292" s="28">
        <v>4</v>
      </c>
      <c r="F292" s="28">
        <f t="shared" si="25"/>
        <v>2</v>
      </c>
      <c r="G292" s="28">
        <f t="shared" si="26"/>
        <v>4</v>
      </c>
      <c r="H292" s="28">
        <v>9</v>
      </c>
      <c r="I292" s="28">
        <f t="shared" si="27"/>
        <v>9</v>
      </c>
      <c r="J292" s="28">
        <v>13</v>
      </c>
      <c r="K292" s="28"/>
      <c r="L292" s="28">
        <f t="shared" si="29"/>
        <v>13</v>
      </c>
      <c r="M292" s="28">
        <f t="shared" si="31"/>
        <v>12</v>
      </c>
      <c r="N292" s="28">
        <v>4</v>
      </c>
      <c r="O292" s="28">
        <v>4</v>
      </c>
      <c r="P292" s="28">
        <v>13</v>
      </c>
      <c r="Y292"/>
      <c r="Z292"/>
      <c r="AA292"/>
      <c r="AB292"/>
      <c r="AC292"/>
      <c r="AD292"/>
      <c r="AE292"/>
      <c r="AF292"/>
      <c r="AG292"/>
    </row>
    <row r="293" spans="2:33" s="27" customFormat="1" x14ac:dyDescent="0.25">
      <c r="B293" s="399">
        <v>17</v>
      </c>
      <c r="C293" s="295">
        <v>10</v>
      </c>
      <c r="D293" s="28">
        <f t="shared" si="24"/>
        <v>10</v>
      </c>
      <c r="E293" s="28">
        <v>4</v>
      </c>
      <c r="F293" s="28">
        <f t="shared" si="25"/>
        <v>2</v>
      </c>
      <c r="G293" s="28">
        <f t="shared" si="26"/>
        <v>4</v>
      </c>
      <c r="H293" s="28">
        <v>9</v>
      </c>
      <c r="I293" s="28">
        <f t="shared" si="27"/>
        <v>9</v>
      </c>
      <c r="J293" s="28">
        <v>12</v>
      </c>
      <c r="K293" s="28"/>
      <c r="L293" s="28">
        <f t="shared" si="29"/>
        <v>12</v>
      </c>
      <c r="M293" s="28">
        <f t="shared" si="31"/>
        <v>9</v>
      </c>
      <c r="N293" s="28">
        <v>4</v>
      </c>
      <c r="O293" s="28">
        <v>4</v>
      </c>
      <c r="P293" s="28">
        <v>12</v>
      </c>
      <c r="Y293"/>
      <c r="Z293"/>
      <c r="AA293"/>
      <c r="AB293"/>
      <c r="AC293"/>
      <c r="AD293"/>
      <c r="AE293"/>
      <c r="AF293"/>
      <c r="AG293"/>
    </row>
    <row r="294" spans="2:33" s="27" customFormat="1" x14ac:dyDescent="0.25">
      <c r="B294" s="399">
        <v>18</v>
      </c>
      <c r="C294" s="295">
        <v>10</v>
      </c>
      <c r="D294" s="28">
        <f t="shared" si="24"/>
        <v>10</v>
      </c>
      <c r="E294" s="28">
        <v>4</v>
      </c>
      <c r="F294" s="28">
        <f t="shared" si="25"/>
        <v>2</v>
      </c>
      <c r="G294" s="28">
        <f t="shared" si="26"/>
        <v>4</v>
      </c>
      <c r="H294" s="28">
        <v>9</v>
      </c>
      <c r="I294" s="28">
        <f t="shared" si="27"/>
        <v>9</v>
      </c>
      <c r="J294" s="28">
        <v>12</v>
      </c>
      <c r="K294" s="28"/>
      <c r="L294" s="28"/>
      <c r="M294" s="28">
        <f t="shared" si="31"/>
        <v>9</v>
      </c>
      <c r="N294" s="28">
        <v>4</v>
      </c>
      <c r="O294" s="28">
        <v>4</v>
      </c>
      <c r="P294" s="28">
        <v>12</v>
      </c>
      <c r="Y294"/>
      <c r="Z294"/>
      <c r="AA294"/>
      <c r="AB294"/>
      <c r="AC294"/>
      <c r="AD294"/>
      <c r="AE294"/>
      <c r="AF294"/>
      <c r="AG294"/>
    </row>
    <row r="295" spans="2:33" s="27" customFormat="1" x14ac:dyDescent="0.25">
      <c r="B295" s="399">
        <v>19</v>
      </c>
      <c r="C295" s="295">
        <v>8</v>
      </c>
      <c r="D295" s="28">
        <f t="shared" si="24"/>
        <v>8</v>
      </c>
      <c r="E295" s="28">
        <v>4</v>
      </c>
      <c r="F295" s="28">
        <f t="shared" si="25"/>
        <v>2</v>
      </c>
      <c r="G295" s="28">
        <f t="shared" si="26"/>
        <v>4</v>
      </c>
      <c r="H295" s="28">
        <v>9</v>
      </c>
      <c r="I295" s="28">
        <f t="shared" si="27"/>
        <v>9</v>
      </c>
      <c r="J295" s="28">
        <v>12</v>
      </c>
      <c r="K295" s="28"/>
      <c r="L295" s="28"/>
      <c r="M295" s="28">
        <f t="shared" si="31"/>
        <v>8</v>
      </c>
      <c r="N295" s="28">
        <v>4</v>
      </c>
      <c r="O295" s="28">
        <v>4</v>
      </c>
      <c r="P295" s="28">
        <v>12</v>
      </c>
      <c r="Y295"/>
      <c r="Z295"/>
      <c r="AA295"/>
      <c r="AB295"/>
      <c r="AC295"/>
      <c r="AD295"/>
      <c r="AE295"/>
      <c r="AF295"/>
      <c r="AG295"/>
    </row>
    <row r="296" spans="2:33" s="27" customFormat="1" x14ac:dyDescent="0.25">
      <c r="B296" s="399">
        <v>20</v>
      </c>
      <c r="C296" s="295">
        <v>8</v>
      </c>
      <c r="D296" s="28">
        <f t="shared" si="24"/>
        <v>8</v>
      </c>
      <c r="E296" s="28">
        <v>4</v>
      </c>
      <c r="F296" s="28">
        <f t="shared" si="25"/>
        <v>2</v>
      </c>
      <c r="G296" s="28">
        <f t="shared" si="26"/>
        <v>4</v>
      </c>
      <c r="H296" s="28">
        <v>9</v>
      </c>
      <c r="I296" s="28">
        <f t="shared" si="27"/>
        <v>9</v>
      </c>
      <c r="J296" s="28">
        <v>12</v>
      </c>
      <c r="K296" s="28"/>
      <c r="L296" s="28"/>
      <c r="M296" s="28">
        <f t="shared" si="31"/>
        <v>8</v>
      </c>
      <c r="N296" s="28">
        <v>4</v>
      </c>
      <c r="O296" s="28">
        <v>4</v>
      </c>
      <c r="P296" s="28">
        <v>12</v>
      </c>
      <c r="Y296"/>
      <c r="Z296"/>
      <c r="AA296"/>
      <c r="AB296"/>
      <c r="AC296"/>
      <c r="AD296"/>
      <c r="AE296"/>
      <c r="AF296"/>
      <c r="AG296"/>
    </row>
    <row r="297" spans="2:33" s="27" customFormat="1" x14ac:dyDescent="0.25">
      <c r="B297" s="399">
        <v>21</v>
      </c>
      <c r="C297" s="295">
        <v>8</v>
      </c>
      <c r="D297" s="28">
        <f t="shared" si="24"/>
        <v>8</v>
      </c>
      <c r="E297" s="28">
        <v>4</v>
      </c>
      <c r="F297" s="28">
        <f t="shared" si="25"/>
        <v>2</v>
      </c>
      <c r="G297" s="28">
        <f t="shared" si="26"/>
        <v>4</v>
      </c>
      <c r="H297" s="28">
        <v>7</v>
      </c>
      <c r="I297" s="28">
        <f t="shared" si="27"/>
        <v>7</v>
      </c>
      <c r="J297" s="28">
        <v>11</v>
      </c>
      <c r="K297" s="28"/>
      <c r="L297" s="28"/>
      <c r="M297" s="28">
        <f t="shared" si="31"/>
        <v>5</v>
      </c>
      <c r="N297" s="28">
        <v>4</v>
      </c>
      <c r="O297" s="28">
        <v>4</v>
      </c>
      <c r="P297" s="28">
        <v>11</v>
      </c>
      <c r="Y297"/>
      <c r="Z297"/>
      <c r="AA297"/>
      <c r="AB297"/>
      <c r="AC297"/>
      <c r="AD297"/>
      <c r="AE297"/>
      <c r="AF297"/>
      <c r="AG297"/>
    </row>
    <row r="298" spans="2:33" s="27" customFormat="1" x14ac:dyDescent="0.25">
      <c r="B298" s="399">
        <v>22</v>
      </c>
      <c r="C298" s="295">
        <v>8</v>
      </c>
      <c r="D298" s="28">
        <f t="shared" si="24"/>
        <v>8</v>
      </c>
      <c r="E298" s="28">
        <v>4</v>
      </c>
      <c r="F298" s="28">
        <f t="shared" si="25"/>
        <v>2</v>
      </c>
      <c r="G298" s="28">
        <f t="shared" si="26"/>
        <v>4</v>
      </c>
      <c r="H298" s="28">
        <v>7</v>
      </c>
      <c r="I298" s="28">
        <f t="shared" si="27"/>
        <v>7</v>
      </c>
      <c r="J298" s="28">
        <v>11</v>
      </c>
      <c r="K298" s="28"/>
      <c r="L298" s="28"/>
      <c r="M298" s="28">
        <f t="shared" si="31"/>
        <v>5</v>
      </c>
      <c r="N298" s="28">
        <v>4</v>
      </c>
      <c r="O298" s="28">
        <v>4</v>
      </c>
      <c r="P298" s="28">
        <v>11</v>
      </c>
      <c r="Y298"/>
      <c r="Z298"/>
      <c r="AA298"/>
      <c r="AB298"/>
      <c r="AC298"/>
      <c r="AD298"/>
      <c r="AE298"/>
      <c r="AF298"/>
      <c r="AG298"/>
    </row>
    <row r="299" spans="2:33" s="27" customFormat="1" x14ac:dyDescent="0.25">
      <c r="B299" s="399">
        <v>23</v>
      </c>
      <c r="C299" s="295">
        <v>8</v>
      </c>
      <c r="D299" s="28">
        <f t="shared" si="24"/>
        <v>8</v>
      </c>
      <c r="E299" s="28">
        <v>4</v>
      </c>
      <c r="F299" s="28">
        <f t="shared" si="25"/>
        <v>2</v>
      </c>
      <c r="G299" s="28">
        <f t="shared" si="26"/>
        <v>4</v>
      </c>
      <c r="H299" s="28">
        <v>7</v>
      </c>
      <c r="I299" s="28">
        <f t="shared" si="27"/>
        <v>7</v>
      </c>
      <c r="J299" s="28">
        <v>11</v>
      </c>
      <c r="K299" s="28"/>
      <c r="L299" s="28"/>
      <c r="M299" s="28">
        <f t="shared" si="31"/>
        <v>4</v>
      </c>
      <c r="N299" s="28">
        <v>4</v>
      </c>
      <c r="O299" s="28">
        <v>4</v>
      </c>
      <c r="P299" s="28">
        <v>11</v>
      </c>
      <c r="Y299"/>
      <c r="Z299"/>
      <c r="AA299"/>
      <c r="AB299"/>
      <c r="AC299"/>
      <c r="AD299"/>
      <c r="AE299"/>
      <c r="AF299"/>
      <c r="AG299"/>
    </row>
    <row r="300" spans="2:33" s="27" customFormat="1" x14ac:dyDescent="0.25">
      <c r="B300" s="399">
        <v>24</v>
      </c>
      <c r="C300" s="295">
        <v>8</v>
      </c>
      <c r="D300" s="28"/>
      <c r="E300" s="28">
        <v>4</v>
      </c>
      <c r="F300" s="28">
        <f t="shared" si="25"/>
        <v>2</v>
      </c>
      <c r="G300" s="28">
        <f t="shared" si="26"/>
        <v>4</v>
      </c>
      <c r="H300" s="28">
        <v>7</v>
      </c>
      <c r="I300" s="28">
        <f t="shared" si="27"/>
        <v>7</v>
      </c>
      <c r="J300" s="28">
        <v>11</v>
      </c>
      <c r="K300" s="28"/>
      <c r="L300" s="28"/>
      <c r="M300" s="28">
        <f t="shared" si="31"/>
        <v>4</v>
      </c>
      <c r="N300" s="28">
        <v>4</v>
      </c>
      <c r="O300" s="28">
        <v>4</v>
      </c>
      <c r="P300" s="28">
        <v>11</v>
      </c>
      <c r="Y300"/>
      <c r="Z300"/>
      <c r="AA300"/>
      <c r="AB300"/>
      <c r="AC300"/>
      <c r="AD300"/>
      <c r="AE300"/>
      <c r="AF300"/>
      <c r="AG300"/>
    </row>
    <row r="301" spans="2:33" s="27" customFormat="1" x14ac:dyDescent="0.25">
      <c r="B301" s="399">
        <v>25</v>
      </c>
      <c r="C301" s="295">
        <v>8</v>
      </c>
      <c r="D301" s="28"/>
      <c r="E301" s="28">
        <v>4</v>
      </c>
      <c r="F301" s="28">
        <f t="shared" si="25"/>
        <v>2</v>
      </c>
      <c r="G301" s="28">
        <f t="shared" si="26"/>
        <v>4</v>
      </c>
      <c r="H301" s="28">
        <v>7</v>
      </c>
      <c r="I301" s="28">
        <f t="shared" si="27"/>
        <v>7</v>
      </c>
      <c r="J301" s="28">
        <v>11</v>
      </c>
      <c r="K301" s="28"/>
      <c r="L301" s="28"/>
      <c r="M301" s="28">
        <f t="shared" si="31"/>
        <v>4</v>
      </c>
      <c r="N301" s="28">
        <v>4</v>
      </c>
      <c r="O301" s="28">
        <v>4</v>
      </c>
      <c r="P301" s="28">
        <v>11</v>
      </c>
      <c r="Y301"/>
      <c r="Z301"/>
      <c r="AA301"/>
      <c r="AB301"/>
      <c r="AC301"/>
      <c r="AD301"/>
      <c r="AE301"/>
      <c r="AF301"/>
      <c r="AG301"/>
    </row>
    <row r="302" spans="2:33" s="27" customFormat="1" x14ac:dyDescent="0.25">
      <c r="B302" s="399">
        <v>26</v>
      </c>
      <c r="C302" s="295">
        <v>8</v>
      </c>
      <c r="D302" s="28"/>
      <c r="E302" s="28">
        <v>4</v>
      </c>
      <c r="F302" s="28">
        <f t="shared" si="25"/>
        <v>2</v>
      </c>
      <c r="G302" s="28">
        <f t="shared" si="26"/>
        <v>4</v>
      </c>
      <c r="H302" s="28">
        <v>7</v>
      </c>
      <c r="I302" s="28">
        <f t="shared" si="27"/>
        <v>7</v>
      </c>
      <c r="J302" s="28">
        <v>11</v>
      </c>
      <c r="K302" s="28"/>
      <c r="L302" s="28"/>
      <c r="M302" s="28">
        <f t="shared" si="31"/>
        <v>4</v>
      </c>
      <c r="N302" s="28">
        <v>4</v>
      </c>
      <c r="O302" s="28">
        <v>4</v>
      </c>
      <c r="P302" s="28">
        <v>11</v>
      </c>
      <c r="Y302"/>
      <c r="Z302"/>
      <c r="AA302"/>
      <c r="AB302"/>
      <c r="AC302"/>
      <c r="AD302"/>
      <c r="AE302"/>
      <c r="AF302"/>
      <c r="AG302"/>
    </row>
    <row r="303" spans="2:33" s="27" customFormat="1" x14ac:dyDescent="0.25">
      <c r="B303" s="399">
        <v>27</v>
      </c>
      <c r="C303" s="295">
        <v>8</v>
      </c>
      <c r="D303" s="28"/>
      <c r="E303" s="28">
        <v>4</v>
      </c>
      <c r="F303" s="28">
        <f t="shared" si="25"/>
        <v>2</v>
      </c>
      <c r="G303" s="28">
        <f t="shared" si="26"/>
        <v>4</v>
      </c>
      <c r="H303" s="28">
        <v>7</v>
      </c>
      <c r="I303" s="28">
        <f t="shared" si="27"/>
        <v>7</v>
      </c>
      <c r="J303" s="28">
        <v>11</v>
      </c>
      <c r="K303" s="28"/>
      <c r="L303" s="28"/>
      <c r="M303" s="28">
        <f t="shared" si="31"/>
        <v>4</v>
      </c>
      <c r="N303" s="28">
        <v>4</v>
      </c>
      <c r="O303" s="28">
        <v>4</v>
      </c>
      <c r="P303" s="28">
        <v>11</v>
      </c>
      <c r="Y303"/>
      <c r="Z303"/>
      <c r="AA303"/>
      <c r="AB303"/>
      <c r="AC303"/>
      <c r="AD303"/>
      <c r="AE303"/>
      <c r="AF303"/>
      <c r="AG303"/>
    </row>
    <row r="304" spans="2:33" s="27" customFormat="1" x14ac:dyDescent="0.25">
      <c r="B304" s="399">
        <v>28</v>
      </c>
      <c r="C304" s="295">
        <v>8</v>
      </c>
      <c r="D304" s="28"/>
      <c r="E304" s="28">
        <v>4</v>
      </c>
      <c r="F304" s="28">
        <f t="shared" si="25"/>
        <v>2</v>
      </c>
      <c r="G304" s="28">
        <f t="shared" si="26"/>
        <v>4</v>
      </c>
      <c r="H304" s="28">
        <v>7</v>
      </c>
      <c r="I304" s="28">
        <f t="shared" si="27"/>
        <v>7</v>
      </c>
      <c r="J304" s="28">
        <v>11</v>
      </c>
      <c r="K304" s="28"/>
      <c r="L304" s="28"/>
      <c r="M304" s="28">
        <f t="shared" si="31"/>
        <v>4</v>
      </c>
      <c r="N304" s="28">
        <v>4</v>
      </c>
      <c r="O304" s="28">
        <v>4</v>
      </c>
      <c r="P304" s="28">
        <v>11</v>
      </c>
      <c r="Y304"/>
      <c r="Z304"/>
      <c r="AA304"/>
      <c r="AB304"/>
      <c r="AC304"/>
      <c r="AD304"/>
      <c r="AE304"/>
      <c r="AF304"/>
      <c r="AG304"/>
    </row>
    <row r="305" spans="2:33" s="27" customFormat="1" x14ac:dyDescent="0.25">
      <c r="B305" s="399">
        <v>29</v>
      </c>
      <c r="C305" s="295">
        <v>8</v>
      </c>
      <c r="D305" s="28"/>
      <c r="E305" s="28">
        <v>4</v>
      </c>
      <c r="F305" s="28">
        <f t="shared" si="25"/>
        <v>2</v>
      </c>
      <c r="G305" s="28">
        <f t="shared" si="26"/>
        <v>4</v>
      </c>
      <c r="H305" s="28">
        <v>7</v>
      </c>
      <c r="I305" s="28">
        <f t="shared" si="27"/>
        <v>7</v>
      </c>
      <c r="J305" s="28">
        <v>11</v>
      </c>
      <c r="K305" s="28"/>
      <c r="L305" s="28"/>
      <c r="M305" s="28">
        <f t="shared" si="31"/>
        <v>4</v>
      </c>
      <c r="N305" s="28">
        <v>4</v>
      </c>
      <c r="O305" s="28">
        <v>4</v>
      </c>
      <c r="P305" s="28">
        <v>11</v>
      </c>
      <c r="Y305"/>
      <c r="Z305"/>
      <c r="AA305"/>
      <c r="AB305"/>
      <c r="AC305"/>
      <c r="AD305"/>
      <c r="AE305"/>
      <c r="AF305"/>
      <c r="AG305"/>
    </row>
    <row r="306" spans="2:33" s="27" customFormat="1" x14ac:dyDescent="0.25">
      <c r="B306" s="399">
        <v>30</v>
      </c>
      <c r="C306" s="295">
        <v>8</v>
      </c>
      <c r="D306" s="28"/>
      <c r="E306" s="28">
        <v>4</v>
      </c>
      <c r="F306" s="28">
        <f t="shared" si="25"/>
        <v>2</v>
      </c>
      <c r="G306" s="28">
        <f t="shared" si="26"/>
        <v>4</v>
      </c>
      <c r="H306" s="28">
        <v>7</v>
      </c>
      <c r="I306" s="28">
        <f t="shared" si="27"/>
        <v>7</v>
      </c>
      <c r="J306" s="28">
        <v>11</v>
      </c>
      <c r="K306" s="28"/>
      <c r="L306" s="28"/>
      <c r="M306" s="28">
        <f t="shared" si="31"/>
        <v>4</v>
      </c>
      <c r="N306" s="28">
        <v>4</v>
      </c>
      <c r="O306" s="28">
        <v>4</v>
      </c>
      <c r="P306" s="28">
        <v>11</v>
      </c>
      <c r="Y306"/>
      <c r="Z306"/>
      <c r="AA306"/>
      <c r="AB306"/>
      <c r="AC306"/>
      <c r="AD306"/>
      <c r="AE306"/>
      <c r="AF306"/>
      <c r="AG306"/>
    </row>
    <row r="307" spans="2:33" s="27" customFormat="1" x14ac:dyDescent="0.25">
      <c r="B307" s="399">
        <v>31</v>
      </c>
      <c r="C307" s="295">
        <v>8</v>
      </c>
      <c r="D307" s="28"/>
      <c r="E307" s="28">
        <v>4</v>
      </c>
      <c r="F307" s="28">
        <f t="shared" si="25"/>
        <v>2</v>
      </c>
      <c r="G307" s="28">
        <f t="shared" si="26"/>
        <v>4</v>
      </c>
      <c r="H307" s="28">
        <v>7</v>
      </c>
      <c r="I307" s="28">
        <f t="shared" si="27"/>
        <v>7</v>
      </c>
      <c r="J307" s="28">
        <v>11</v>
      </c>
      <c r="K307" s="28"/>
      <c r="L307" s="28"/>
      <c r="M307" s="28">
        <f t="shared" si="31"/>
        <v>4</v>
      </c>
      <c r="N307" s="28">
        <v>4</v>
      </c>
      <c r="O307" s="28">
        <v>4</v>
      </c>
      <c r="P307" s="28">
        <v>11</v>
      </c>
      <c r="Y307"/>
      <c r="Z307"/>
      <c r="AA307"/>
      <c r="AB307"/>
      <c r="AC307"/>
      <c r="AD307"/>
      <c r="AE307"/>
      <c r="AF307"/>
      <c r="AG307"/>
    </row>
    <row r="308" spans="2:33" s="27" customFormat="1" x14ac:dyDescent="0.25">
      <c r="B308" s="399">
        <v>32</v>
      </c>
      <c r="C308" s="295">
        <v>8</v>
      </c>
      <c r="D308" s="28"/>
      <c r="E308" s="28">
        <v>4</v>
      </c>
      <c r="F308" s="28">
        <f t="shared" si="25"/>
        <v>2</v>
      </c>
      <c r="G308" s="28">
        <f t="shared" si="26"/>
        <v>4</v>
      </c>
      <c r="H308" s="28">
        <v>7</v>
      </c>
      <c r="I308" s="28">
        <f t="shared" si="27"/>
        <v>7</v>
      </c>
      <c r="J308" s="28">
        <v>11</v>
      </c>
      <c r="K308" s="28"/>
      <c r="L308" s="28"/>
      <c r="M308" s="28">
        <f t="shared" si="31"/>
        <v>4</v>
      </c>
      <c r="N308" s="28">
        <v>4</v>
      </c>
      <c r="O308" s="28">
        <v>4</v>
      </c>
      <c r="P308" s="28">
        <v>11</v>
      </c>
      <c r="Y308"/>
      <c r="Z308"/>
      <c r="AA308"/>
      <c r="AB308"/>
      <c r="AC308"/>
      <c r="AD308"/>
      <c r="AE308"/>
      <c r="AF308"/>
      <c r="AG308"/>
    </row>
    <row r="309" spans="2:33" s="27" customFormat="1" x14ac:dyDescent="0.25">
      <c r="B309" s="399">
        <v>33</v>
      </c>
      <c r="C309" s="295">
        <v>8</v>
      </c>
      <c r="D309" s="28"/>
      <c r="E309" s="28">
        <v>4</v>
      </c>
      <c r="F309" s="28">
        <f t="shared" si="25"/>
        <v>2</v>
      </c>
      <c r="G309" s="28">
        <f t="shared" si="26"/>
        <v>4</v>
      </c>
      <c r="H309" s="28">
        <v>7</v>
      </c>
      <c r="I309" s="28">
        <f t="shared" si="27"/>
        <v>7</v>
      </c>
      <c r="J309" s="28">
        <v>11</v>
      </c>
      <c r="K309" s="28"/>
      <c r="L309" s="28"/>
      <c r="M309" s="28">
        <f t="shared" si="31"/>
        <v>4</v>
      </c>
      <c r="N309" s="28">
        <v>4</v>
      </c>
      <c r="O309" s="28">
        <v>4</v>
      </c>
      <c r="P309" s="28">
        <v>11</v>
      </c>
      <c r="Y309"/>
      <c r="Z309"/>
      <c r="AA309"/>
      <c r="AB309"/>
      <c r="AC309"/>
      <c r="AD309"/>
      <c r="AE309"/>
      <c r="AF309"/>
      <c r="AG309"/>
    </row>
    <row r="310" spans="2:33" s="27" customFormat="1" x14ac:dyDescent="0.25">
      <c r="B310" s="399">
        <v>34</v>
      </c>
      <c r="C310" s="295">
        <v>8</v>
      </c>
      <c r="D310" s="28"/>
      <c r="E310" s="28">
        <v>4</v>
      </c>
      <c r="F310" s="28">
        <f t="shared" si="25"/>
        <v>2</v>
      </c>
      <c r="G310" s="28">
        <f t="shared" si="26"/>
        <v>4</v>
      </c>
      <c r="H310" s="28">
        <v>7</v>
      </c>
      <c r="I310" s="28">
        <f t="shared" si="27"/>
        <v>7</v>
      </c>
      <c r="J310" s="28">
        <v>11</v>
      </c>
      <c r="K310" s="28"/>
      <c r="L310" s="28"/>
      <c r="M310" s="28"/>
      <c r="N310" s="28">
        <v>4</v>
      </c>
      <c r="O310" s="28">
        <v>4</v>
      </c>
      <c r="P310" s="28">
        <v>11</v>
      </c>
      <c r="Y310"/>
      <c r="Z310"/>
      <c r="AA310"/>
      <c r="AB310"/>
      <c r="AC310"/>
      <c r="AD310"/>
      <c r="AE310"/>
      <c r="AF310"/>
      <c r="AG310"/>
    </row>
    <row r="311" spans="2:33" s="27" customFormat="1" x14ac:dyDescent="0.25">
      <c r="B311" s="399">
        <v>35</v>
      </c>
      <c r="C311" s="295">
        <v>8</v>
      </c>
      <c r="D311" s="28"/>
      <c r="E311" s="28">
        <v>4</v>
      </c>
      <c r="F311" s="28">
        <f t="shared" si="25"/>
        <v>2</v>
      </c>
      <c r="G311" s="28">
        <f t="shared" si="26"/>
        <v>4</v>
      </c>
      <c r="H311" s="28">
        <v>7</v>
      </c>
      <c r="I311" s="28">
        <f t="shared" si="27"/>
        <v>7</v>
      </c>
      <c r="J311" s="28">
        <v>11</v>
      </c>
      <c r="K311" s="28"/>
      <c r="L311" s="28"/>
      <c r="M311" s="28"/>
      <c r="N311" s="28">
        <v>4</v>
      </c>
      <c r="O311" s="28">
        <v>4</v>
      </c>
      <c r="P311" s="28">
        <v>11</v>
      </c>
      <c r="Y311"/>
      <c r="Z311"/>
      <c r="AA311"/>
      <c r="AB311"/>
      <c r="AC311"/>
      <c r="AD311"/>
      <c r="AE311"/>
      <c r="AF311"/>
      <c r="AG311"/>
    </row>
    <row r="312" spans="2:33" s="27" customFormat="1" ht="15.75" thickBot="1" x14ac:dyDescent="0.3">
      <c r="B312" s="400">
        <v>36</v>
      </c>
      <c r="C312" s="296">
        <v>8</v>
      </c>
      <c r="D312" s="32"/>
      <c r="E312" s="32">
        <v>4</v>
      </c>
      <c r="F312" s="32">
        <f t="shared" si="25"/>
        <v>2</v>
      </c>
      <c r="G312" s="32">
        <f t="shared" si="26"/>
        <v>4</v>
      </c>
      <c r="H312" s="32">
        <v>7</v>
      </c>
      <c r="I312" s="32">
        <f t="shared" si="27"/>
        <v>7</v>
      </c>
      <c r="J312" s="32">
        <v>11</v>
      </c>
      <c r="K312" s="32"/>
      <c r="L312" s="32"/>
      <c r="M312" s="32"/>
      <c r="N312" s="32">
        <v>4</v>
      </c>
      <c r="O312" s="32">
        <v>4</v>
      </c>
      <c r="P312" s="32">
        <v>11</v>
      </c>
      <c r="Y312"/>
      <c r="Z312"/>
      <c r="AA312"/>
      <c r="AB312"/>
      <c r="AC312"/>
      <c r="AD312"/>
      <c r="AE312"/>
      <c r="AF312"/>
      <c r="AG312"/>
    </row>
    <row r="313" spans="2:33" s="27" customFormat="1" x14ac:dyDescent="0.25">
      <c r="B313" s="26"/>
      <c r="C313" s="27">
        <f t="shared" ref="C313:P313" si="32">SUM(C277:C286)</f>
        <v>144</v>
      </c>
      <c r="D313" s="27">
        <f t="shared" si="32"/>
        <v>144</v>
      </c>
      <c r="E313" s="27">
        <f t="shared" si="32"/>
        <v>134</v>
      </c>
      <c r="F313" s="27">
        <f t="shared" si="32"/>
        <v>114</v>
      </c>
      <c r="G313" s="27">
        <f t="shared" si="32"/>
        <v>134</v>
      </c>
      <c r="H313" s="27">
        <f t="shared" si="32"/>
        <v>140</v>
      </c>
      <c r="I313" s="27">
        <f t="shared" si="32"/>
        <v>140</v>
      </c>
      <c r="J313" s="27">
        <f t="shared" si="32"/>
        <v>152</v>
      </c>
      <c r="K313" s="27">
        <f t="shared" si="32"/>
        <v>152</v>
      </c>
      <c r="L313" s="27">
        <f t="shared" si="32"/>
        <v>152</v>
      </c>
      <c r="M313" s="27">
        <f t="shared" si="32"/>
        <v>144</v>
      </c>
      <c r="N313" s="27">
        <f t="shared" si="32"/>
        <v>134</v>
      </c>
      <c r="O313" s="27">
        <f t="shared" si="32"/>
        <v>134</v>
      </c>
      <c r="P313" s="27">
        <f t="shared" si="32"/>
        <v>152</v>
      </c>
      <c r="Y313"/>
      <c r="Z313"/>
      <c r="AA313"/>
      <c r="AB313"/>
      <c r="AC313"/>
      <c r="AD313"/>
      <c r="AE313"/>
      <c r="AF313"/>
      <c r="AG313"/>
    </row>
    <row r="314" spans="2:33" s="27" customFormat="1" ht="15.75" thickBot="1" x14ac:dyDescent="0.3">
      <c r="B314" s="26"/>
      <c r="Y314"/>
      <c r="Z314"/>
      <c r="AA314"/>
      <c r="AB314"/>
      <c r="AC314"/>
      <c r="AD314"/>
      <c r="AE314"/>
      <c r="AF314"/>
      <c r="AG314"/>
    </row>
    <row r="315" spans="2:33" s="27" customFormat="1" ht="15.75" thickBot="1" x14ac:dyDescent="0.3">
      <c r="B315" s="243" t="s">
        <v>369</v>
      </c>
      <c r="C315" s="242" t="s">
        <v>63</v>
      </c>
      <c r="D315" s="138" t="s">
        <v>64</v>
      </c>
      <c r="E315" s="138" t="s">
        <v>65</v>
      </c>
      <c r="F315" s="138" t="s">
        <v>66</v>
      </c>
      <c r="G315" s="138" t="s">
        <v>67</v>
      </c>
      <c r="H315" s="138" t="s">
        <v>68</v>
      </c>
      <c r="I315" s="138" t="s">
        <v>247</v>
      </c>
      <c r="J315" s="138" t="s">
        <v>69</v>
      </c>
      <c r="K315" s="138" t="s">
        <v>70</v>
      </c>
      <c r="L315" s="138" t="s">
        <v>333</v>
      </c>
      <c r="M315" s="138" t="s">
        <v>334</v>
      </c>
      <c r="N315" s="138" t="s">
        <v>1568</v>
      </c>
      <c r="O315" s="138" t="s">
        <v>1625</v>
      </c>
      <c r="P315" s="139" t="s">
        <v>1569</v>
      </c>
      <c r="Y315"/>
      <c r="Z315"/>
      <c r="AA315"/>
      <c r="AB315"/>
      <c r="AC315"/>
      <c r="AD315"/>
      <c r="AE315"/>
      <c r="AF315"/>
      <c r="AG315"/>
    </row>
    <row r="316" spans="2:33" s="27" customFormat="1" x14ac:dyDescent="0.25">
      <c r="B316" s="398">
        <v>1</v>
      </c>
      <c r="C316" s="397">
        <v>15</v>
      </c>
      <c r="D316" s="133">
        <f t="shared" ref="D316:D338" si="33">C316</f>
        <v>15</v>
      </c>
      <c r="E316" s="133">
        <v>17</v>
      </c>
      <c r="F316" s="133">
        <f t="shared" ref="F316:F351" si="34">E316-2</f>
        <v>15</v>
      </c>
      <c r="G316" s="133">
        <f t="shared" ref="G316:G351" si="35">E316</f>
        <v>17</v>
      </c>
      <c r="H316" s="133">
        <v>12</v>
      </c>
      <c r="I316" s="133">
        <f t="shared" ref="I316:I351" si="36">H316</f>
        <v>12</v>
      </c>
      <c r="J316" s="133">
        <v>15</v>
      </c>
      <c r="K316" s="133">
        <f t="shared" ref="K316:K330" si="37">J316</f>
        <v>15</v>
      </c>
      <c r="L316" s="133">
        <f t="shared" ref="L316:L332" si="38">J316</f>
        <v>15</v>
      </c>
      <c r="M316" s="133">
        <f t="shared" ref="M316:M321" si="39">E316</f>
        <v>17</v>
      </c>
      <c r="N316" s="133">
        <v>17</v>
      </c>
      <c r="O316" s="133">
        <v>17</v>
      </c>
      <c r="P316" s="133">
        <v>15</v>
      </c>
      <c r="Y316"/>
      <c r="Z316"/>
      <c r="AA316"/>
      <c r="AB316"/>
      <c r="AC316"/>
      <c r="AD316"/>
      <c r="AE316"/>
      <c r="AF316"/>
      <c r="AG316"/>
    </row>
    <row r="317" spans="2:33" s="27" customFormat="1" x14ac:dyDescent="0.25">
      <c r="B317" s="399">
        <v>2</v>
      </c>
      <c r="C317" s="295">
        <v>15</v>
      </c>
      <c r="D317" s="28">
        <f t="shared" si="33"/>
        <v>15</v>
      </c>
      <c r="E317" s="28">
        <v>17</v>
      </c>
      <c r="F317" s="28">
        <f t="shared" si="34"/>
        <v>15</v>
      </c>
      <c r="G317" s="28">
        <f t="shared" si="35"/>
        <v>17</v>
      </c>
      <c r="H317" s="28">
        <v>12</v>
      </c>
      <c r="I317" s="28">
        <f t="shared" si="36"/>
        <v>12</v>
      </c>
      <c r="J317" s="28">
        <v>15</v>
      </c>
      <c r="K317" s="28">
        <f t="shared" si="37"/>
        <v>15</v>
      </c>
      <c r="L317" s="28">
        <f t="shared" si="38"/>
        <v>15</v>
      </c>
      <c r="M317" s="28">
        <f t="shared" si="39"/>
        <v>17</v>
      </c>
      <c r="N317" s="28">
        <v>17</v>
      </c>
      <c r="O317" s="28">
        <v>17</v>
      </c>
      <c r="P317" s="28">
        <v>15</v>
      </c>
      <c r="Y317"/>
      <c r="Z317"/>
      <c r="AA317"/>
      <c r="AB317"/>
      <c r="AC317"/>
      <c r="AD317"/>
      <c r="AE317"/>
      <c r="AF317"/>
      <c r="AG317"/>
    </row>
    <row r="318" spans="2:33" s="27" customFormat="1" x14ac:dyDescent="0.25">
      <c r="B318" s="399">
        <v>3</v>
      </c>
      <c r="C318" s="295">
        <v>15</v>
      </c>
      <c r="D318" s="28">
        <f t="shared" si="33"/>
        <v>15</v>
      </c>
      <c r="E318" s="28">
        <v>16</v>
      </c>
      <c r="F318" s="28">
        <f t="shared" si="34"/>
        <v>14</v>
      </c>
      <c r="G318" s="28">
        <f t="shared" si="35"/>
        <v>16</v>
      </c>
      <c r="H318" s="28">
        <v>12</v>
      </c>
      <c r="I318" s="28">
        <f t="shared" si="36"/>
        <v>12</v>
      </c>
      <c r="J318" s="28">
        <v>15</v>
      </c>
      <c r="K318" s="28">
        <f t="shared" si="37"/>
        <v>15</v>
      </c>
      <c r="L318" s="28">
        <f t="shared" si="38"/>
        <v>15</v>
      </c>
      <c r="M318" s="28">
        <f t="shared" si="39"/>
        <v>16</v>
      </c>
      <c r="N318" s="28">
        <v>16</v>
      </c>
      <c r="O318" s="28">
        <v>16</v>
      </c>
      <c r="P318" s="28">
        <v>15</v>
      </c>
      <c r="Y318"/>
      <c r="Z318"/>
      <c r="AA318"/>
      <c r="AB318"/>
      <c r="AC318"/>
      <c r="AD318"/>
      <c r="AE318"/>
      <c r="AF318"/>
      <c r="AG318"/>
    </row>
    <row r="319" spans="2:33" s="27" customFormat="1" x14ac:dyDescent="0.25">
      <c r="B319" s="399">
        <v>4</v>
      </c>
      <c r="C319" s="295">
        <v>14</v>
      </c>
      <c r="D319" s="28">
        <f t="shared" si="33"/>
        <v>14</v>
      </c>
      <c r="E319" s="28">
        <v>16</v>
      </c>
      <c r="F319" s="28">
        <f t="shared" si="34"/>
        <v>14</v>
      </c>
      <c r="G319" s="28">
        <f t="shared" si="35"/>
        <v>16</v>
      </c>
      <c r="H319" s="28">
        <v>12</v>
      </c>
      <c r="I319" s="28">
        <f t="shared" si="36"/>
        <v>12</v>
      </c>
      <c r="J319" s="28">
        <v>15</v>
      </c>
      <c r="K319" s="28">
        <f t="shared" si="37"/>
        <v>15</v>
      </c>
      <c r="L319" s="28">
        <f t="shared" si="38"/>
        <v>15</v>
      </c>
      <c r="M319" s="28">
        <f t="shared" si="39"/>
        <v>16</v>
      </c>
      <c r="N319" s="28">
        <v>16</v>
      </c>
      <c r="O319" s="28">
        <v>16</v>
      </c>
      <c r="P319" s="28">
        <v>15</v>
      </c>
      <c r="Y319"/>
      <c r="Z319"/>
      <c r="AA319"/>
      <c r="AB319"/>
      <c r="AC319"/>
      <c r="AD319"/>
      <c r="AE319"/>
      <c r="AF319"/>
      <c r="AG319"/>
    </row>
    <row r="320" spans="2:33" s="27" customFormat="1" x14ac:dyDescent="0.25">
      <c r="B320" s="399">
        <v>5</v>
      </c>
      <c r="C320" s="295">
        <v>14</v>
      </c>
      <c r="D320" s="28">
        <f t="shared" si="33"/>
        <v>14</v>
      </c>
      <c r="E320" s="28">
        <v>14</v>
      </c>
      <c r="F320" s="28">
        <f t="shared" si="34"/>
        <v>12</v>
      </c>
      <c r="G320" s="28">
        <f t="shared" si="35"/>
        <v>14</v>
      </c>
      <c r="H320" s="28">
        <v>12</v>
      </c>
      <c r="I320" s="28">
        <f t="shared" si="36"/>
        <v>12</v>
      </c>
      <c r="J320" s="28">
        <v>13</v>
      </c>
      <c r="K320" s="28">
        <f t="shared" si="37"/>
        <v>13</v>
      </c>
      <c r="L320" s="28">
        <f t="shared" si="38"/>
        <v>13</v>
      </c>
      <c r="M320" s="28">
        <f t="shared" si="39"/>
        <v>14</v>
      </c>
      <c r="N320" s="28">
        <v>14</v>
      </c>
      <c r="O320" s="28">
        <v>14</v>
      </c>
      <c r="P320" s="28">
        <v>13</v>
      </c>
      <c r="Y320"/>
      <c r="Z320"/>
      <c r="AA320"/>
      <c r="AB320"/>
      <c r="AC320"/>
      <c r="AD320"/>
      <c r="AE320"/>
      <c r="AF320"/>
      <c r="AG320"/>
    </row>
    <row r="321" spans="2:33" s="27" customFormat="1" x14ac:dyDescent="0.25">
      <c r="B321" s="399">
        <v>6</v>
      </c>
      <c r="C321" s="295">
        <v>14</v>
      </c>
      <c r="D321" s="28">
        <f t="shared" si="33"/>
        <v>14</v>
      </c>
      <c r="E321" s="28">
        <v>14</v>
      </c>
      <c r="F321" s="28">
        <f t="shared" si="34"/>
        <v>12</v>
      </c>
      <c r="G321" s="28">
        <f t="shared" si="35"/>
        <v>14</v>
      </c>
      <c r="H321" s="28">
        <v>10</v>
      </c>
      <c r="I321" s="28">
        <f t="shared" si="36"/>
        <v>10</v>
      </c>
      <c r="J321" s="28">
        <v>13</v>
      </c>
      <c r="K321" s="28">
        <f t="shared" si="37"/>
        <v>13</v>
      </c>
      <c r="L321" s="28">
        <f t="shared" si="38"/>
        <v>13</v>
      </c>
      <c r="M321" s="28">
        <f t="shared" si="39"/>
        <v>14</v>
      </c>
      <c r="N321" s="28">
        <v>14</v>
      </c>
      <c r="O321" s="28">
        <v>14</v>
      </c>
      <c r="P321" s="28">
        <v>13</v>
      </c>
      <c r="Y321"/>
      <c r="Z321"/>
      <c r="AA321"/>
      <c r="AB321"/>
      <c r="AC321"/>
      <c r="AD321"/>
      <c r="AE321"/>
      <c r="AF321"/>
      <c r="AG321"/>
    </row>
    <row r="322" spans="2:33" s="27" customFormat="1" x14ac:dyDescent="0.25">
      <c r="B322" s="399">
        <v>7</v>
      </c>
      <c r="C322" s="295">
        <v>12</v>
      </c>
      <c r="D322" s="28">
        <f t="shared" si="33"/>
        <v>12</v>
      </c>
      <c r="E322" s="28">
        <v>13</v>
      </c>
      <c r="F322" s="28">
        <f t="shared" si="34"/>
        <v>11</v>
      </c>
      <c r="G322" s="28">
        <f t="shared" si="35"/>
        <v>13</v>
      </c>
      <c r="H322" s="28">
        <v>10</v>
      </c>
      <c r="I322" s="28">
        <f t="shared" si="36"/>
        <v>10</v>
      </c>
      <c r="J322" s="28">
        <v>13</v>
      </c>
      <c r="K322" s="28">
        <f t="shared" si="37"/>
        <v>13</v>
      </c>
      <c r="L322" s="28">
        <f t="shared" si="38"/>
        <v>13</v>
      </c>
      <c r="M322" s="28">
        <f>MIN(J316,M321)</f>
        <v>14</v>
      </c>
      <c r="N322" s="28">
        <v>13</v>
      </c>
      <c r="O322" s="28">
        <v>13</v>
      </c>
      <c r="P322" s="28">
        <v>13</v>
      </c>
      <c r="Y322"/>
      <c r="Z322"/>
      <c r="AA322"/>
      <c r="AB322"/>
      <c r="AC322"/>
      <c r="AD322"/>
      <c r="AE322"/>
      <c r="AF322"/>
      <c r="AG322"/>
    </row>
    <row r="323" spans="2:33" s="27" customFormat="1" x14ac:dyDescent="0.25">
      <c r="B323" s="399">
        <v>8</v>
      </c>
      <c r="C323" s="295">
        <v>12</v>
      </c>
      <c r="D323" s="28">
        <f t="shared" si="33"/>
        <v>12</v>
      </c>
      <c r="E323" s="28">
        <v>13</v>
      </c>
      <c r="F323" s="28">
        <f t="shared" si="34"/>
        <v>11</v>
      </c>
      <c r="G323" s="28">
        <f t="shared" si="35"/>
        <v>13</v>
      </c>
      <c r="H323" s="28">
        <v>10</v>
      </c>
      <c r="I323" s="28">
        <f t="shared" si="36"/>
        <v>10</v>
      </c>
      <c r="J323" s="28">
        <v>13</v>
      </c>
      <c r="K323" s="28">
        <f t="shared" si="37"/>
        <v>13</v>
      </c>
      <c r="L323" s="28">
        <f t="shared" si="38"/>
        <v>13</v>
      </c>
      <c r="M323" s="28">
        <f>MIN(J317,M322)</f>
        <v>14</v>
      </c>
      <c r="N323" s="28">
        <v>13</v>
      </c>
      <c r="O323" s="28">
        <v>13</v>
      </c>
      <c r="P323" s="28">
        <v>13</v>
      </c>
      <c r="Y323"/>
      <c r="Z323"/>
      <c r="AA323"/>
      <c r="AB323"/>
      <c r="AC323"/>
      <c r="AD323"/>
      <c r="AE323"/>
      <c r="AF323"/>
      <c r="AG323"/>
    </row>
    <row r="324" spans="2:33" s="27" customFormat="1" x14ac:dyDescent="0.25">
      <c r="B324" s="399">
        <v>9</v>
      </c>
      <c r="C324" s="295">
        <v>12</v>
      </c>
      <c r="D324" s="28">
        <f t="shared" si="33"/>
        <v>12</v>
      </c>
      <c r="E324" s="28">
        <v>11</v>
      </c>
      <c r="F324" s="28">
        <f t="shared" si="34"/>
        <v>9</v>
      </c>
      <c r="G324" s="28">
        <f t="shared" si="35"/>
        <v>11</v>
      </c>
      <c r="H324" s="28">
        <v>10</v>
      </c>
      <c r="I324" s="28">
        <f t="shared" si="36"/>
        <v>10</v>
      </c>
      <c r="J324" s="28">
        <v>11</v>
      </c>
      <c r="K324" s="28">
        <f t="shared" si="37"/>
        <v>11</v>
      </c>
      <c r="L324" s="28">
        <f t="shared" si="38"/>
        <v>11</v>
      </c>
      <c r="M324" s="28">
        <f>MIN(J318,M323)</f>
        <v>14</v>
      </c>
      <c r="N324" s="28">
        <v>11</v>
      </c>
      <c r="O324" s="28">
        <v>11</v>
      </c>
      <c r="P324" s="28">
        <v>11</v>
      </c>
      <c r="Y324"/>
      <c r="Z324"/>
      <c r="AA324"/>
      <c r="AB324"/>
      <c r="AC324"/>
      <c r="AD324"/>
      <c r="AE324"/>
      <c r="AF324"/>
      <c r="AG324"/>
    </row>
    <row r="325" spans="2:33" s="27" customFormat="1" x14ac:dyDescent="0.25">
      <c r="B325" s="399">
        <v>10</v>
      </c>
      <c r="C325" s="295">
        <v>11</v>
      </c>
      <c r="D325" s="28">
        <f t="shared" si="33"/>
        <v>11</v>
      </c>
      <c r="E325" s="28">
        <v>11</v>
      </c>
      <c r="F325" s="28">
        <f t="shared" si="34"/>
        <v>9</v>
      </c>
      <c r="G325" s="28">
        <f t="shared" si="35"/>
        <v>11</v>
      </c>
      <c r="H325" s="28">
        <v>10</v>
      </c>
      <c r="I325" s="28">
        <f t="shared" si="36"/>
        <v>10</v>
      </c>
      <c r="J325" s="28">
        <v>11</v>
      </c>
      <c r="K325" s="28">
        <f t="shared" si="37"/>
        <v>11</v>
      </c>
      <c r="L325" s="28">
        <f t="shared" si="38"/>
        <v>11</v>
      </c>
      <c r="M325" s="28">
        <f>MIN(J319,M324)</f>
        <v>14</v>
      </c>
      <c r="N325" s="28">
        <v>11</v>
      </c>
      <c r="O325" s="28">
        <v>11</v>
      </c>
      <c r="P325" s="28">
        <v>11</v>
      </c>
      <c r="Y325"/>
      <c r="Z325"/>
      <c r="AA325"/>
      <c r="AB325"/>
      <c r="AC325"/>
      <c r="AD325"/>
      <c r="AE325"/>
      <c r="AF325"/>
      <c r="AG325"/>
    </row>
    <row r="326" spans="2:33" s="27" customFormat="1" x14ac:dyDescent="0.25">
      <c r="B326" s="399">
        <v>11</v>
      </c>
      <c r="C326" s="295">
        <v>11</v>
      </c>
      <c r="D326" s="28">
        <f t="shared" si="33"/>
        <v>11</v>
      </c>
      <c r="E326" s="28">
        <v>10</v>
      </c>
      <c r="F326" s="28">
        <f t="shared" si="34"/>
        <v>8</v>
      </c>
      <c r="G326" s="28">
        <f t="shared" si="35"/>
        <v>10</v>
      </c>
      <c r="H326" s="28">
        <v>8</v>
      </c>
      <c r="I326" s="28">
        <f t="shared" si="36"/>
        <v>8</v>
      </c>
      <c r="J326" s="28">
        <v>11</v>
      </c>
      <c r="K326" s="28">
        <f t="shared" si="37"/>
        <v>11</v>
      </c>
      <c r="L326" s="28">
        <f t="shared" si="38"/>
        <v>11</v>
      </c>
      <c r="M326" s="28">
        <f t="shared" ref="M326:M348" si="40">MIN(M325,D318,E318,J318)</f>
        <v>14</v>
      </c>
      <c r="N326" s="28">
        <v>10</v>
      </c>
      <c r="O326" s="28">
        <v>10</v>
      </c>
      <c r="P326" s="28">
        <v>11</v>
      </c>
      <c r="Y326"/>
      <c r="Z326"/>
      <c r="AA326"/>
      <c r="AB326"/>
      <c r="AC326"/>
      <c r="AD326"/>
      <c r="AE326"/>
      <c r="AF326"/>
      <c r="AG326"/>
    </row>
    <row r="327" spans="2:33" s="27" customFormat="1" x14ac:dyDescent="0.25">
      <c r="B327" s="399">
        <v>12</v>
      </c>
      <c r="C327" s="295">
        <v>11</v>
      </c>
      <c r="D327" s="28">
        <f t="shared" si="33"/>
        <v>11</v>
      </c>
      <c r="E327" s="28">
        <v>10</v>
      </c>
      <c r="F327" s="28">
        <f t="shared" si="34"/>
        <v>8</v>
      </c>
      <c r="G327" s="28">
        <f t="shared" si="35"/>
        <v>10</v>
      </c>
      <c r="H327" s="28">
        <v>8</v>
      </c>
      <c r="I327" s="28">
        <f t="shared" si="36"/>
        <v>8</v>
      </c>
      <c r="J327" s="28">
        <v>11</v>
      </c>
      <c r="K327" s="28">
        <f t="shared" si="37"/>
        <v>11</v>
      </c>
      <c r="L327" s="28">
        <f t="shared" si="38"/>
        <v>11</v>
      </c>
      <c r="M327" s="28">
        <f t="shared" si="40"/>
        <v>14</v>
      </c>
      <c r="N327" s="28">
        <v>10</v>
      </c>
      <c r="O327" s="28">
        <v>10</v>
      </c>
      <c r="P327" s="28">
        <v>11</v>
      </c>
      <c r="Y327"/>
      <c r="Z327"/>
      <c r="AA327"/>
      <c r="AB327"/>
      <c r="AC327"/>
      <c r="AD327"/>
      <c r="AE327"/>
      <c r="AF327"/>
      <c r="AG327"/>
    </row>
    <row r="328" spans="2:33" s="27" customFormat="1" x14ac:dyDescent="0.25">
      <c r="B328" s="399">
        <v>13</v>
      </c>
      <c r="C328" s="295">
        <v>10</v>
      </c>
      <c r="D328" s="28">
        <f t="shared" si="33"/>
        <v>10</v>
      </c>
      <c r="E328" s="28">
        <v>8</v>
      </c>
      <c r="F328" s="28">
        <f t="shared" si="34"/>
        <v>6</v>
      </c>
      <c r="G328" s="28">
        <f t="shared" si="35"/>
        <v>8</v>
      </c>
      <c r="H328" s="28">
        <v>8</v>
      </c>
      <c r="I328" s="28">
        <f t="shared" si="36"/>
        <v>8</v>
      </c>
      <c r="J328" s="28">
        <v>9</v>
      </c>
      <c r="K328" s="28">
        <f t="shared" si="37"/>
        <v>9</v>
      </c>
      <c r="L328" s="28">
        <f t="shared" si="38"/>
        <v>9</v>
      </c>
      <c r="M328" s="28">
        <f t="shared" si="40"/>
        <v>13</v>
      </c>
      <c r="N328" s="28">
        <v>8</v>
      </c>
      <c r="O328" s="28">
        <v>8</v>
      </c>
      <c r="P328" s="28">
        <v>9</v>
      </c>
      <c r="Y328"/>
      <c r="Z328"/>
      <c r="AA328"/>
      <c r="AB328"/>
      <c r="AC328"/>
      <c r="AD328"/>
      <c r="AE328"/>
      <c r="AF328"/>
      <c r="AG328"/>
    </row>
    <row r="329" spans="2:33" s="27" customFormat="1" x14ac:dyDescent="0.25">
      <c r="B329" s="399">
        <v>14</v>
      </c>
      <c r="C329" s="295">
        <v>10</v>
      </c>
      <c r="D329" s="28">
        <f t="shared" si="33"/>
        <v>10</v>
      </c>
      <c r="E329" s="28">
        <v>8</v>
      </c>
      <c r="F329" s="28">
        <f t="shared" si="34"/>
        <v>6</v>
      </c>
      <c r="G329" s="28">
        <f t="shared" si="35"/>
        <v>8</v>
      </c>
      <c r="H329" s="28">
        <v>8</v>
      </c>
      <c r="I329" s="28">
        <f t="shared" si="36"/>
        <v>8</v>
      </c>
      <c r="J329" s="28">
        <v>9</v>
      </c>
      <c r="K329" s="28">
        <f t="shared" si="37"/>
        <v>9</v>
      </c>
      <c r="L329" s="28">
        <f t="shared" si="38"/>
        <v>9</v>
      </c>
      <c r="M329" s="28">
        <f t="shared" si="40"/>
        <v>13</v>
      </c>
      <c r="N329" s="28">
        <v>8</v>
      </c>
      <c r="O329" s="28">
        <v>8</v>
      </c>
      <c r="P329" s="28">
        <v>9</v>
      </c>
      <c r="Y329"/>
      <c r="Z329"/>
      <c r="AA329"/>
      <c r="AB329"/>
      <c r="AC329"/>
      <c r="AD329"/>
      <c r="AE329"/>
      <c r="AF329"/>
      <c r="AG329"/>
    </row>
    <row r="330" spans="2:33" s="27" customFormat="1" x14ac:dyDescent="0.25">
      <c r="B330" s="399">
        <v>15</v>
      </c>
      <c r="C330" s="295">
        <v>10</v>
      </c>
      <c r="D330" s="28">
        <f t="shared" si="33"/>
        <v>10</v>
      </c>
      <c r="E330" s="28">
        <v>7</v>
      </c>
      <c r="F330" s="28">
        <f t="shared" si="34"/>
        <v>5</v>
      </c>
      <c r="G330" s="28">
        <f t="shared" si="35"/>
        <v>7</v>
      </c>
      <c r="H330" s="28">
        <v>8</v>
      </c>
      <c r="I330" s="28">
        <f t="shared" si="36"/>
        <v>8</v>
      </c>
      <c r="J330" s="28">
        <v>9</v>
      </c>
      <c r="K330" s="28">
        <f t="shared" si="37"/>
        <v>9</v>
      </c>
      <c r="L330" s="28">
        <f t="shared" si="38"/>
        <v>9</v>
      </c>
      <c r="M330" s="28">
        <f t="shared" si="40"/>
        <v>12</v>
      </c>
      <c r="N330" s="28">
        <v>7</v>
      </c>
      <c r="O330" s="28">
        <v>7</v>
      </c>
      <c r="P330" s="28">
        <v>9</v>
      </c>
      <c r="Y330"/>
      <c r="Z330"/>
      <c r="AA330"/>
      <c r="AB330"/>
      <c r="AC330"/>
      <c r="AD330"/>
      <c r="AE330"/>
      <c r="AF330"/>
      <c r="AG330"/>
    </row>
    <row r="331" spans="2:33" s="27" customFormat="1" x14ac:dyDescent="0.25">
      <c r="B331" s="399">
        <v>16</v>
      </c>
      <c r="C331" s="295">
        <v>9</v>
      </c>
      <c r="D331" s="28">
        <f t="shared" si="33"/>
        <v>9</v>
      </c>
      <c r="E331" s="28">
        <v>7</v>
      </c>
      <c r="F331" s="28">
        <f t="shared" si="34"/>
        <v>5</v>
      </c>
      <c r="G331" s="28">
        <f t="shared" si="35"/>
        <v>7</v>
      </c>
      <c r="H331" s="28">
        <v>6</v>
      </c>
      <c r="I331" s="28">
        <f t="shared" si="36"/>
        <v>6</v>
      </c>
      <c r="J331" s="28">
        <v>9</v>
      </c>
      <c r="K331" s="28"/>
      <c r="L331" s="28">
        <f t="shared" si="38"/>
        <v>9</v>
      </c>
      <c r="M331" s="28">
        <f t="shared" si="40"/>
        <v>12</v>
      </c>
      <c r="N331" s="28">
        <v>7</v>
      </c>
      <c r="O331" s="28">
        <v>7</v>
      </c>
      <c r="P331" s="28">
        <v>9</v>
      </c>
      <c r="Y331"/>
      <c r="Z331"/>
      <c r="AA331"/>
      <c r="AB331"/>
      <c r="AC331"/>
      <c r="AD331"/>
      <c r="AE331"/>
      <c r="AF331"/>
      <c r="AG331"/>
    </row>
    <row r="332" spans="2:33" s="27" customFormat="1" x14ac:dyDescent="0.25">
      <c r="B332" s="399">
        <v>17</v>
      </c>
      <c r="C332" s="295">
        <v>9</v>
      </c>
      <c r="D332" s="28">
        <f t="shared" si="33"/>
        <v>9</v>
      </c>
      <c r="E332" s="28">
        <v>6</v>
      </c>
      <c r="F332" s="28">
        <f t="shared" si="34"/>
        <v>4</v>
      </c>
      <c r="G332" s="28">
        <f t="shared" si="35"/>
        <v>6</v>
      </c>
      <c r="H332" s="28">
        <v>6</v>
      </c>
      <c r="I332" s="28">
        <f t="shared" si="36"/>
        <v>6</v>
      </c>
      <c r="J332" s="28">
        <v>7</v>
      </c>
      <c r="K332" s="28"/>
      <c r="L332" s="28">
        <f t="shared" si="38"/>
        <v>7</v>
      </c>
      <c r="M332" s="28">
        <f t="shared" si="40"/>
        <v>11</v>
      </c>
      <c r="N332" s="28">
        <v>6</v>
      </c>
      <c r="O332" s="28">
        <v>6</v>
      </c>
      <c r="P332" s="28">
        <v>7</v>
      </c>
      <c r="Y332"/>
      <c r="Z332"/>
      <c r="AA332"/>
      <c r="AB332"/>
      <c r="AC332"/>
      <c r="AD332"/>
      <c r="AE332"/>
      <c r="AF332"/>
      <c r="AG332"/>
    </row>
    <row r="333" spans="2:33" s="27" customFormat="1" x14ac:dyDescent="0.25">
      <c r="B333" s="399">
        <v>18</v>
      </c>
      <c r="C333" s="295">
        <v>9</v>
      </c>
      <c r="D333" s="28">
        <f t="shared" si="33"/>
        <v>9</v>
      </c>
      <c r="E333" s="28">
        <v>6</v>
      </c>
      <c r="F333" s="28">
        <f t="shared" si="34"/>
        <v>4</v>
      </c>
      <c r="G333" s="28">
        <f t="shared" si="35"/>
        <v>6</v>
      </c>
      <c r="H333" s="28">
        <v>6</v>
      </c>
      <c r="I333" s="28">
        <f t="shared" si="36"/>
        <v>6</v>
      </c>
      <c r="J333" s="28">
        <v>7</v>
      </c>
      <c r="K333" s="28"/>
      <c r="L333" s="28"/>
      <c r="M333" s="28">
        <f t="shared" si="40"/>
        <v>11</v>
      </c>
      <c r="N333" s="28">
        <v>6</v>
      </c>
      <c r="O333" s="28">
        <v>6</v>
      </c>
      <c r="P333" s="28">
        <v>7</v>
      </c>
      <c r="Y333"/>
      <c r="Z333"/>
      <c r="AA333"/>
      <c r="AB333"/>
      <c r="AC333"/>
      <c r="AD333"/>
      <c r="AE333"/>
      <c r="AF333"/>
      <c r="AG333"/>
    </row>
    <row r="334" spans="2:33" s="27" customFormat="1" x14ac:dyDescent="0.25">
      <c r="B334" s="399">
        <v>19</v>
      </c>
      <c r="C334" s="295">
        <v>7</v>
      </c>
      <c r="D334" s="28">
        <f t="shared" si="33"/>
        <v>7</v>
      </c>
      <c r="E334" s="28">
        <v>6</v>
      </c>
      <c r="F334" s="28">
        <f t="shared" si="34"/>
        <v>4</v>
      </c>
      <c r="G334" s="28">
        <f t="shared" si="35"/>
        <v>6</v>
      </c>
      <c r="H334" s="28">
        <v>6</v>
      </c>
      <c r="I334" s="28">
        <f t="shared" si="36"/>
        <v>6</v>
      </c>
      <c r="J334" s="28">
        <v>7</v>
      </c>
      <c r="K334" s="28"/>
      <c r="L334" s="28"/>
      <c r="M334" s="28">
        <f t="shared" si="40"/>
        <v>10</v>
      </c>
      <c r="N334" s="28">
        <v>6</v>
      </c>
      <c r="O334" s="28">
        <v>6</v>
      </c>
      <c r="P334" s="28">
        <v>7</v>
      </c>
      <c r="Y334"/>
      <c r="Z334"/>
      <c r="AA334"/>
      <c r="AB334"/>
      <c r="AC334"/>
      <c r="AD334"/>
      <c r="AE334"/>
      <c r="AF334"/>
      <c r="AG334"/>
    </row>
    <row r="335" spans="2:33" s="27" customFormat="1" x14ac:dyDescent="0.25">
      <c r="B335" s="399">
        <v>20</v>
      </c>
      <c r="C335" s="295">
        <v>7</v>
      </c>
      <c r="D335" s="28">
        <f t="shared" si="33"/>
        <v>7</v>
      </c>
      <c r="E335" s="28">
        <v>6</v>
      </c>
      <c r="F335" s="28">
        <f t="shared" si="34"/>
        <v>4</v>
      </c>
      <c r="G335" s="28">
        <f t="shared" si="35"/>
        <v>6</v>
      </c>
      <c r="H335" s="28">
        <v>6</v>
      </c>
      <c r="I335" s="28">
        <f t="shared" si="36"/>
        <v>6</v>
      </c>
      <c r="J335" s="28">
        <v>7</v>
      </c>
      <c r="K335" s="28"/>
      <c r="L335" s="28"/>
      <c r="M335" s="28">
        <f t="shared" si="40"/>
        <v>10</v>
      </c>
      <c r="N335" s="28">
        <v>6</v>
      </c>
      <c r="O335" s="28">
        <v>6</v>
      </c>
      <c r="P335" s="28">
        <v>7</v>
      </c>
      <c r="Y335"/>
      <c r="Z335"/>
      <c r="AA335"/>
      <c r="AB335"/>
      <c r="AC335"/>
      <c r="AD335"/>
      <c r="AE335"/>
      <c r="AF335"/>
      <c r="AG335"/>
    </row>
    <row r="336" spans="2:33" s="27" customFormat="1" x14ac:dyDescent="0.25">
      <c r="B336" s="399">
        <v>21</v>
      </c>
      <c r="C336" s="295">
        <v>7</v>
      </c>
      <c r="D336" s="28">
        <f t="shared" si="33"/>
        <v>7</v>
      </c>
      <c r="E336" s="28">
        <v>6</v>
      </c>
      <c r="F336" s="28">
        <f t="shared" si="34"/>
        <v>4</v>
      </c>
      <c r="G336" s="28">
        <f t="shared" si="35"/>
        <v>6</v>
      </c>
      <c r="H336" s="28">
        <v>4</v>
      </c>
      <c r="I336" s="28">
        <f t="shared" si="36"/>
        <v>4</v>
      </c>
      <c r="J336" s="28">
        <v>5</v>
      </c>
      <c r="K336" s="28"/>
      <c r="L336" s="28"/>
      <c r="M336" s="28">
        <f t="shared" si="40"/>
        <v>8</v>
      </c>
      <c r="N336" s="28">
        <v>6</v>
      </c>
      <c r="O336" s="28">
        <v>6</v>
      </c>
      <c r="P336" s="28">
        <v>5</v>
      </c>
      <c r="Y336"/>
      <c r="Z336"/>
      <c r="AA336"/>
      <c r="AB336"/>
      <c r="AC336"/>
      <c r="AD336"/>
      <c r="AE336"/>
      <c r="AF336"/>
      <c r="AG336"/>
    </row>
    <row r="337" spans="2:33" s="27" customFormat="1" x14ac:dyDescent="0.25">
      <c r="B337" s="399">
        <v>22</v>
      </c>
      <c r="C337" s="295">
        <v>7</v>
      </c>
      <c r="D337" s="28">
        <f t="shared" si="33"/>
        <v>7</v>
      </c>
      <c r="E337" s="28">
        <v>6</v>
      </c>
      <c r="F337" s="28">
        <f t="shared" si="34"/>
        <v>4</v>
      </c>
      <c r="G337" s="28">
        <f t="shared" si="35"/>
        <v>6</v>
      </c>
      <c r="H337" s="28">
        <v>4</v>
      </c>
      <c r="I337" s="28">
        <f t="shared" si="36"/>
        <v>4</v>
      </c>
      <c r="J337" s="28">
        <v>5</v>
      </c>
      <c r="K337" s="28"/>
      <c r="L337" s="28"/>
      <c r="M337" s="28">
        <f t="shared" si="40"/>
        <v>8</v>
      </c>
      <c r="N337" s="28">
        <v>6</v>
      </c>
      <c r="O337" s="28">
        <v>6</v>
      </c>
      <c r="P337" s="28">
        <v>5</v>
      </c>
      <c r="Y337"/>
      <c r="Z337"/>
      <c r="AA337"/>
      <c r="AB337"/>
      <c r="AC337"/>
      <c r="AD337"/>
      <c r="AE337"/>
      <c r="AF337"/>
      <c r="AG337"/>
    </row>
    <row r="338" spans="2:33" s="27" customFormat="1" x14ac:dyDescent="0.25">
      <c r="B338" s="399">
        <v>23</v>
      </c>
      <c r="C338" s="295">
        <v>7</v>
      </c>
      <c r="D338" s="28">
        <f t="shared" si="33"/>
        <v>7</v>
      </c>
      <c r="E338" s="28">
        <v>6</v>
      </c>
      <c r="F338" s="28">
        <f t="shared" si="34"/>
        <v>4</v>
      </c>
      <c r="G338" s="28">
        <f t="shared" si="35"/>
        <v>6</v>
      </c>
      <c r="H338" s="28">
        <v>4</v>
      </c>
      <c r="I338" s="28">
        <f t="shared" si="36"/>
        <v>4</v>
      </c>
      <c r="J338" s="28">
        <v>5</v>
      </c>
      <c r="K338" s="28"/>
      <c r="L338" s="28"/>
      <c r="M338" s="28">
        <f t="shared" si="40"/>
        <v>7</v>
      </c>
      <c r="N338" s="28">
        <v>6</v>
      </c>
      <c r="O338" s="28">
        <v>6</v>
      </c>
      <c r="P338" s="28">
        <v>5</v>
      </c>
      <c r="Y338"/>
      <c r="Z338"/>
      <c r="AA338"/>
      <c r="AB338"/>
      <c r="AC338"/>
      <c r="AD338"/>
      <c r="AE338"/>
      <c r="AF338"/>
      <c r="AG338"/>
    </row>
    <row r="339" spans="2:33" s="27" customFormat="1" x14ac:dyDescent="0.25">
      <c r="B339" s="399">
        <v>24</v>
      </c>
      <c r="C339" s="295">
        <v>7</v>
      </c>
      <c r="D339" s="28"/>
      <c r="E339" s="28">
        <v>6</v>
      </c>
      <c r="F339" s="28">
        <f t="shared" si="34"/>
        <v>4</v>
      </c>
      <c r="G339" s="28">
        <f t="shared" si="35"/>
        <v>6</v>
      </c>
      <c r="H339" s="28">
        <v>4</v>
      </c>
      <c r="I339" s="28">
        <f t="shared" si="36"/>
        <v>4</v>
      </c>
      <c r="J339" s="28">
        <v>5</v>
      </c>
      <c r="K339" s="28"/>
      <c r="L339" s="28"/>
      <c r="M339" s="28">
        <f t="shared" si="40"/>
        <v>7</v>
      </c>
      <c r="N339" s="28">
        <v>6</v>
      </c>
      <c r="O339" s="28">
        <v>6</v>
      </c>
      <c r="P339" s="28">
        <v>5</v>
      </c>
      <c r="Y339"/>
      <c r="Z339"/>
      <c r="AA339"/>
      <c r="AB339"/>
      <c r="AC339"/>
      <c r="AD339"/>
      <c r="AE339"/>
      <c r="AF339"/>
      <c r="AG339"/>
    </row>
    <row r="340" spans="2:33" s="27" customFormat="1" x14ac:dyDescent="0.25">
      <c r="B340" s="399">
        <v>25</v>
      </c>
      <c r="C340" s="295">
        <v>7</v>
      </c>
      <c r="D340" s="28"/>
      <c r="E340" s="28">
        <v>6</v>
      </c>
      <c r="F340" s="28">
        <f t="shared" si="34"/>
        <v>4</v>
      </c>
      <c r="G340" s="28">
        <f t="shared" si="35"/>
        <v>6</v>
      </c>
      <c r="H340" s="28">
        <v>4</v>
      </c>
      <c r="I340" s="28">
        <f t="shared" si="36"/>
        <v>4</v>
      </c>
      <c r="J340" s="28">
        <v>5</v>
      </c>
      <c r="K340" s="28"/>
      <c r="L340" s="28"/>
      <c r="M340" s="28">
        <f t="shared" si="40"/>
        <v>6</v>
      </c>
      <c r="N340" s="28">
        <v>6</v>
      </c>
      <c r="O340" s="28">
        <v>6</v>
      </c>
      <c r="P340" s="28">
        <v>5</v>
      </c>
      <c r="Y340"/>
      <c r="Z340"/>
      <c r="AA340"/>
      <c r="AB340"/>
      <c r="AC340"/>
      <c r="AD340"/>
      <c r="AE340"/>
      <c r="AF340"/>
      <c r="AG340"/>
    </row>
    <row r="341" spans="2:33" s="27" customFormat="1" x14ac:dyDescent="0.25">
      <c r="B341" s="399">
        <v>26</v>
      </c>
      <c r="C341" s="295">
        <v>7</v>
      </c>
      <c r="D341" s="28"/>
      <c r="E341" s="28">
        <v>6</v>
      </c>
      <c r="F341" s="28">
        <f t="shared" si="34"/>
        <v>4</v>
      </c>
      <c r="G341" s="28">
        <f t="shared" si="35"/>
        <v>6</v>
      </c>
      <c r="H341" s="28">
        <v>4</v>
      </c>
      <c r="I341" s="28">
        <f t="shared" si="36"/>
        <v>4</v>
      </c>
      <c r="J341" s="28">
        <v>5</v>
      </c>
      <c r="K341" s="28"/>
      <c r="L341" s="28"/>
      <c r="M341" s="28">
        <f t="shared" si="40"/>
        <v>6</v>
      </c>
      <c r="N341" s="28">
        <v>6</v>
      </c>
      <c r="O341" s="28">
        <v>6</v>
      </c>
      <c r="P341" s="28">
        <v>5</v>
      </c>
      <c r="Y341"/>
      <c r="Z341"/>
      <c r="AA341"/>
      <c r="AB341"/>
      <c r="AC341"/>
      <c r="AD341"/>
      <c r="AE341"/>
      <c r="AF341"/>
      <c r="AG341"/>
    </row>
    <row r="342" spans="2:33" s="27" customFormat="1" x14ac:dyDescent="0.25">
      <c r="B342" s="399">
        <v>27</v>
      </c>
      <c r="C342" s="295">
        <v>7</v>
      </c>
      <c r="D342" s="28"/>
      <c r="E342" s="28">
        <v>6</v>
      </c>
      <c r="F342" s="28">
        <f t="shared" si="34"/>
        <v>4</v>
      </c>
      <c r="G342" s="28">
        <f t="shared" si="35"/>
        <v>6</v>
      </c>
      <c r="H342" s="28">
        <v>4</v>
      </c>
      <c r="I342" s="28">
        <f t="shared" si="36"/>
        <v>4</v>
      </c>
      <c r="J342" s="28">
        <v>5</v>
      </c>
      <c r="K342" s="28"/>
      <c r="L342" s="28"/>
      <c r="M342" s="28">
        <f t="shared" si="40"/>
        <v>6</v>
      </c>
      <c r="N342" s="28">
        <v>6</v>
      </c>
      <c r="O342" s="28">
        <v>6</v>
      </c>
      <c r="P342" s="28">
        <v>5</v>
      </c>
      <c r="Y342"/>
      <c r="Z342"/>
      <c r="AA342"/>
      <c r="AB342"/>
      <c r="AC342"/>
      <c r="AD342"/>
      <c r="AE342"/>
      <c r="AF342"/>
      <c r="AG342"/>
    </row>
    <row r="343" spans="2:33" s="27" customFormat="1" x14ac:dyDescent="0.25">
      <c r="B343" s="399">
        <v>28</v>
      </c>
      <c r="C343" s="295">
        <v>7</v>
      </c>
      <c r="D343" s="28"/>
      <c r="E343" s="28">
        <v>6</v>
      </c>
      <c r="F343" s="28">
        <f t="shared" si="34"/>
        <v>4</v>
      </c>
      <c r="G343" s="28">
        <f t="shared" si="35"/>
        <v>6</v>
      </c>
      <c r="H343" s="28">
        <v>4</v>
      </c>
      <c r="I343" s="28">
        <f t="shared" si="36"/>
        <v>4</v>
      </c>
      <c r="J343" s="28">
        <v>5</v>
      </c>
      <c r="K343" s="28"/>
      <c r="L343" s="28"/>
      <c r="M343" s="28">
        <f t="shared" si="40"/>
        <v>6</v>
      </c>
      <c r="N343" s="28">
        <v>6</v>
      </c>
      <c r="O343" s="28">
        <v>6</v>
      </c>
      <c r="P343" s="28">
        <v>5</v>
      </c>
      <c r="Y343"/>
      <c r="Z343"/>
      <c r="AA343"/>
      <c r="AB343"/>
      <c r="AC343"/>
      <c r="AD343"/>
      <c r="AE343"/>
      <c r="AF343"/>
      <c r="AG343"/>
    </row>
    <row r="344" spans="2:33" s="27" customFormat="1" x14ac:dyDescent="0.25">
      <c r="B344" s="399">
        <v>29</v>
      </c>
      <c r="C344" s="295">
        <v>7</v>
      </c>
      <c r="D344" s="28"/>
      <c r="E344" s="28">
        <v>6</v>
      </c>
      <c r="F344" s="28">
        <f t="shared" si="34"/>
        <v>4</v>
      </c>
      <c r="G344" s="28">
        <f t="shared" si="35"/>
        <v>6</v>
      </c>
      <c r="H344" s="28">
        <v>4</v>
      </c>
      <c r="I344" s="28">
        <f t="shared" si="36"/>
        <v>4</v>
      </c>
      <c r="J344" s="28">
        <v>5</v>
      </c>
      <c r="K344" s="28"/>
      <c r="L344" s="28"/>
      <c r="M344" s="28">
        <f t="shared" si="40"/>
        <v>5</v>
      </c>
      <c r="N344" s="28">
        <v>6</v>
      </c>
      <c r="O344" s="28">
        <v>6</v>
      </c>
      <c r="P344" s="28">
        <v>5</v>
      </c>
      <c r="Y344"/>
      <c r="Z344"/>
      <c r="AA344"/>
      <c r="AB344"/>
      <c r="AC344"/>
      <c r="AD344"/>
      <c r="AE344"/>
      <c r="AF344"/>
      <c r="AG344"/>
    </row>
    <row r="345" spans="2:33" s="27" customFormat="1" x14ac:dyDescent="0.25">
      <c r="B345" s="399">
        <v>30</v>
      </c>
      <c r="C345" s="295">
        <v>7</v>
      </c>
      <c r="D345" s="28"/>
      <c r="E345" s="28">
        <v>6</v>
      </c>
      <c r="F345" s="28">
        <f t="shared" si="34"/>
        <v>4</v>
      </c>
      <c r="G345" s="28">
        <f t="shared" si="35"/>
        <v>6</v>
      </c>
      <c r="H345" s="28">
        <v>4</v>
      </c>
      <c r="I345" s="28">
        <f t="shared" si="36"/>
        <v>4</v>
      </c>
      <c r="J345" s="28">
        <v>5</v>
      </c>
      <c r="K345" s="28"/>
      <c r="L345" s="28"/>
      <c r="M345" s="28">
        <f t="shared" si="40"/>
        <v>5</v>
      </c>
      <c r="N345" s="28">
        <v>6</v>
      </c>
      <c r="O345" s="28">
        <v>6</v>
      </c>
      <c r="P345" s="28">
        <v>5</v>
      </c>
      <c r="Y345"/>
      <c r="Z345"/>
      <c r="AA345"/>
      <c r="AB345"/>
      <c r="AC345"/>
      <c r="AD345"/>
      <c r="AE345"/>
      <c r="AF345"/>
      <c r="AG345"/>
    </row>
    <row r="346" spans="2:33" s="27" customFormat="1" x14ac:dyDescent="0.25">
      <c r="B346" s="399">
        <v>31</v>
      </c>
      <c r="C346" s="295">
        <v>7</v>
      </c>
      <c r="D346" s="28"/>
      <c r="E346" s="28">
        <v>6</v>
      </c>
      <c r="F346" s="28">
        <f t="shared" si="34"/>
        <v>4</v>
      </c>
      <c r="G346" s="28">
        <f t="shared" si="35"/>
        <v>6</v>
      </c>
      <c r="H346" s="28">
        <v>4</v>
      </c>
      <c r="I346" s="28">
        <f t="shared" si="36"/>
        <v>4</v>
      </c>
      <c r="J346" s="28">
        <v>5</v>
      </c>
      <c r="K346" s="28"/>
      <c r="L346" s="28"/>
      <c r="M346" s="28">
        <f t="shared" si="40"/>
        <v>5</v>
      </c>
      <c r="N346" s="28">
        <v>6</v>
      </c>
      <c r="O346" s="28">
        <v>6</v>
      </c>
      <c r="P346" s="28">
        <v>5</v>
      </c>
      <c r="Y346"/>
      <c r="Z346"/>
      <c r="AA346"/>
      <c r="AB346"/>
      <c r="AC346"/>
      <c r="AD346"/>
      <c r="AE346"/>
      <c r="AF346"/>
      <c r="AG346"/>
    </row>
    <row r="347" spans="2:33" s="27" customFormat="1" x14ac:dyDescent="0.25">
      <c r="B347" s="399">
        <v>32</v>
      </c>
      <c r="C347" s="295">
        <v>7</v>
      </c>
      <c r="D347" s="28"/>
      <c r="E347" s="28">
        <v>6</v>
      </c>
      <c r="F347" s="28">
        <f t="shared" si="34"/>
        <v>4</v>
      </c>
      <c r="G347" s="28">
        <f t="shared" si="35"/>
        <v>6</v>
      </c>
      <c r="H347" s="28">
        <v>4</v>
      </c>
      <c r="I347" s="28">
        <f t="shared" si="36"/>
        <v>4</v>
      </c>
      <c r="J347" s="28">
        <v>5</v>
      </c>
      <c r="K347" s="28"/>
      <c r="L347" s="28"/>
      <c r="M347" s="28">
        <f t="shared" si="40"/>
        <v>5</v>
      </c>
      <c r="N347" s="28">
        <v>6</v>
      </c>
      <c r="O347" s="28">
        <v>6</v>
      </c>
      <c r="P347" s="28">
        <v>5</v>
      </c>
      <c r="Y347"/>
      <c r="Z347"/>
      <c r="AA347"/>
      <c r="AB347"/>
      <c r="AC347"/>
      <c r="AD347"/>
      <c r="AE347"/>
      <c r="AF347"/>
      <c r="AG347"/>
    </row>
    <row r="348" spans="2:33" s="27" customFormat="1" x14ac:dyDescent="0.25">
      <c r="B348" s="399">
        <v>33</v>
      </c>
      <c r="C348" s="295">
        <v>7</v>
      </c>
      <c r="D348" s="28"/>
      <c r="E348" s="28">
        <v>6</v>
      </c>
      <c r="F348" s="28">
        <f t="shared" si="34"/>
        <v>4</v>
      </c>
      <c r="G348" s="28">
        <f t="shared" si="35"/>
        <v>6</v>
      </c>
      <c r="H348" s="28">
        <v>4</v>
      </c>
      <c r="I348" s="28">
        <f t="shared" si="36"/>
        <v>4</v>
      </c>
      <c r="J348" s="28">
        <v>5</v>
      </c>
      <c r="K348" s="28"/>
      <c r="L348" s="28"/>
      <c r="M348" s="28">
        <f t="shared" si="40"/>
        <v>5</v>
      </c>
      <c r="N348" s="28">
        <v>6</v>
      </c>
      <c r="O348" s="28">
        <v>6</v>
      </c>
      <c r="P348" s="28">
        <v>5</v>
      </c>
      <c r="Y348"/>
      <c r="Z348"/>
      <c r="AA348"/>
      <c r="AB348"/>
      <c r="AC348"/>
      <c r="AD348"/>
      <c r="AE348"/>
      <c r="AF348"/>
      <c r="AG348"/>
    </row>
    <row r="349" spans="2:33" s="27" customFormat="1" x14ac:dyDescent="0.25">
      <c r="B349" s="399">
        <v>34</v>
      </c>
      <c r="C349" s="295">
        <v>7</v>
      </c>
      <c r="D349" s="28"/>
      <c r="E349" s="28">
        <v>6</v>
      </c>
      <c r="F349" s="28">
        <f t="shared" si="34"/>
        <v>4</v>
      </c>
      <c r="G349" s="28">
        <f t="shared" si="35"/>
        <v>6</v>
      </c>
      <c r="H349" s="28">
        <v>4</v>
      </c>
      <c r="I349" s="28">
        <f t="shared" si="36"/>
        <v>4</v>
      </c>
      <c r="J349" s="28">
        <v>5</v>
      </c>
      <c r="K349" s="28"/>
      <c r="L349" s="28"/>
      <c r="M349" s="28"/>
      <c r="N349" s="28">
        <v>6</v>
      </c>
      <c r="O349" s="28">
        <v>6</v>
      </c>
      <c r="P349" s="28">
        <v>5</v>
      </c>
      <c r="Y349"/>
      <c r="Z349"/>
      <c r="AA349"/>
      <c r="AB349"/>
      <c r="AC349"/>
      <c r="AD349"/>
      <c r="AE349"/>
      <c r="AF349"/>
      <c r="AG349"/>
    </row>
    <row r="350" spans="2:33" s="27" customFormat="1" x14ac:dyDescent="0.25">
      <c r="B350" s="399">
        <v>35</v>
      </c>
      <c r="C350" s="295">
        <v>7</v>
      </c>
      <c r="D350" s="28"/>
      <c r="E350" s="28">
        <v>6</v>
      </c>
      <c r="F350" s="28">
        <f t="shared" si="34"/>
        <v>4</v>
      </c>
      <c r="G350" s="28">
        <f t="shared" si="35"/>
        <v>6</v>
      </c>
      <c r="H350" s="28">
        <v>4</v>
      </c>
      <c r="I350" s="28">
        <f t="shared" si="36"/>
        <v>4</v>
      </c>
      <c r="J350" s="28">
        <v>5</v>
      </c>
      <c r="K350" s="28"/>
      <c r="L350" s="28"/>
      <c r="M350" s="28"/>
      <c r="N350" s="28">
        <v>6</v>
      </c>
      <c r="O350" s="28">
        <v>6</v>
      </c>
      <c r="P350" s="28">
        <v>5</v>
      </c>
      <c r="Y350"/>
      <c r="Z350"/>
      <c r="AA350"/>
      <c r="AB350"/>
      <c r="AC350"/>
      <c r="AD350"/>
      <c r="AE350"/>
      <c r="AF350"/>
      <c r="AG350"/>
    </row>
    <row r="351" spans="2:33" s="27" customFormat="1" ht="15.75" thickBot="1" x14ac:dyDescent="0.3">
      <c r="B351" s="400">
        <v>36</v>
      </c>
      <c r="C351" s="296">
        <v>7</v>
      </c>
      <c r="D351" s="32"/>
      <c r="E351" s="32">
        <v>6</v>
      </c>
      <c r="F351" s="32">
        <f t="shared" si="34"/>
        <v>4</v>
      </c>
      <c r="G351" s="32">
        <f t="shared" si="35"/>
        <v>6</v>
      </c>
      <c r="H351" s="32">
        <v>4</v>
      </c>
      <c r="I351" s="32">
        <f t="shared" si="36"/>
        <v>4</v>
      </c>
      <c r="J351" s="32">
        <v>5</v>
      </c>
      <c r="K351" s="32"/>
      <c r="L351" s="32"/>
      <c r="M351" s="32"/>
      <c r="N351" s="32">
        <v>6</v>
      </c>
      <c r="O351" s="32">
        <v>6</v>
      </c>
      <c r="P351" s="32">
        <v>5</v>
      </c>
      <c r="Y351"/>
      <c r="Z351"/>
      <c r="AA351"/>
      <c r="AB351"/>
      <c r="AC351"/>
      <c r="AD351"/>
      <c r="AE351"/>
      <c r="AF351"/>
      <c r="AG351"/>
    </row>
    <row r="352" spans="2:33" s="27" customFormat="1" x14ac:dyDescent="0.25">
      <c r="B352" s="26"/>
      <c r="C352" s="27">
        <f t="shared" ref="C352:P352" si="41">SUM(C316:C325)</f>
        <v>134</v>
      </c>
      <c r="D352" s="27">
        <f t="shared" si="41"/>
        <v>134</v>
      </c>
      <c r="E352" s="27">
        <f t="shared" si="41"/>
        <v>142</v>
      </c>
      <c r="F352" s="27">
        <f t="shared" si="41"/>
        <v>122</v>
      </c>
      <c r="G352" s="27">
        <f t="shared" si="41"/>
        <v>142</v>
      </c>
      <c r="H352" s="27">
        <f t="shared" si="41"/>
        <v>110</v>
      </c>
      <c r="I352" s="27">
        <f t="shared" si="41"/>
        <v>110</v>
      </c>
      <c r="J352" s="27">
        <f t="shared" si="41"/>
        <v>134</v>
      </c>
      <c r="K352" s="27">
        <f t="shared" si="41"/>
        <v>134</v>
      </c>
      <c r="L352" s="27">
        <f t="shared" si="41"/>
        <v>134</v>
      </c>
      <c r="M352" s="27">
        <f t="shared" si="41"/>
        <v>150</v>
      </c>
      <c r="N352" s="27">
        <f t="shared" si="41"/>
        <v>142</v>
      </c>
      <c r="O352" s="27">
        <f t="shared" si="41"/>
        <v>142</v>
      </c>
      <c r="P352" s="27">
        <f t="shared" si="41"/>
        <v>134</v>
      </c>
      <c r="Y352"/>
      <c r="Z352"/>
      <c r="AA352"/>
      <c r="AB352"/>
      <c r="AC352"/>
      <c r="AD352"/>
      <c r="AE352"/>
      <c r="AF352"/>
      <c r="AG352"/>
    </row>
    <row r="353" spans="2:39" s="27" customFormat="1" x14ac:dyDescent="0.25">
      <c r="B353" s="26"/>
      <c r="Y353"/>
      <c r="Z353"/>
      <c r="AA353"/>
      <c r="AB353"/>
      <c r="AC353"/>
      <c r="AD353"/>
      <c r="AE353"/>
      <c r="AF353"/>
      <c r="AG353"/>
    </row>
    <row r="354" spans="2:39" s="27" customFormat="1" ht="19.5" thickBot="1" x14ac:dyDescent="0.35">
      <c r="B354" s="121" t="s">
        <v>381</v>
      </c>
      <c r="C354" s="27" t="s">
        <v>248</v>
      </c>
      <c r="D354" s="27" t="s">
        <v>61</v>
      </c>
      <c r="E354" s="27" t="s">
        <v>62</v>
      </c>
      <c r="F354" s="27" t="s">
        <v>94</v>
      </c>
      <c r="G354" s="27" t="s">
        <v>86</v>
      </c>
      <c r="H354" s="27" t="s">
        <v>1449</v>
      </c>
      <c r="I354" s="27" t="s">
        <v>1450</v>
      </c>
      <c r="J354" s="27" t="s">
        <v>102</v>
      </c>
      <c r="K354" s="27" t="s">
        <v>117</v>
      </c>
      <c r="L354" s="27" t="s">
        <v>126</v>
      </c>
      <c r="M354" s="27" t="s">
        <v>1558</v>
      </c>
      <c r="N354" s="27" t="s">
        <v>136</v>
      </c>
      <c r="O354" s="27" t="s">
        <v>361</v>
      </c>
      <c r="P354" s="27" t="s">
        <v>1451</v>
      </c>
      <c r="Q354" s="349" t="s">
        <v>1453</v>
      </c>
      <c r="R354" s="349" t="s">
        <v>1454</v>
      </c>
      <c r="S354" s="27" t="s">
        <v>1455</v>
      </c>
      <c r="T354" s="27" t="s">
        <v>1472</v>
      </c>
      <c r="U354" s="27" t="s">
        <v>1456</v>
      </c>
      <c r="V354" s="27" t="s">
        <v>1457</v>
      </c>
      <c r="W354" s="349" t="s">
        <v>1468</v>
      </c>
      <c r="X354" s="349" t="s">
        <v>1469</v>
      </c>
      <c r="Y354" t="s">
        <v>1470</v>
      </c>
      <c r="Z354" s="349" t="s">
        <v>1471</v>
      </c>
      <c r="AA354" t="s">
        <v>1458</v>
      </c>
      <c r="AB354" t="s">
        <v>1473</v>
      </c>
      <c r="AC354" t="s">
        <v>1467</v>
      </c>
      <c r="AD354" t="s">
        <v>1459</v>
      </c>
      <c r="AE354" t="s">
        <v>1460</v>
      </c>
      <c r="AF354" s="2" t="s">
        <v>1461</v>
      </c>
      <c r="AG354" s="2" t="s">
        <v>1462</v>
      </c>
      <c r="AH354" s="349" t="s">
        <v>1474</v>
      </c>
      <c r="AI354" s="349" t="s">
        <v>1507</v>
      </c>
      <c r="AJ354" s="349" t="s">
        <v>1463</v>
      </c>
      <c r="AK354" s="349" t="s">
        <v>1464</v>
      </c>
      <c r="AL354" s="27" t="s">
        <v>1466</v>
      </c>
      <c r="AM354" s="27" t="s">
        <v>1465</v>
      </c>
    </row>
    <row r="355" spans="2:39" s="27" customFormat="1" ht="15.75" thickBot="1" x14ac:dyDescent="0.3">
      <c r="B355" s="137" t="s">
        <v>1682</v>
      </c>
      <c r="C355" s="138">
        <v>1</v>
      </c>
      <c r="D355" s="138">
        <v>2</v>
      </c>
      <c r="E355" s="138">
        <v>3</v>
      </c>
      <c r="F355" s="138">
        <v>4</v>
      </c>
      <c r="G355" s="138">
        <v>5</v>
      </c>
      <c r="H355" s="138">
        <v>6</v>
      </c>
      <c r="I355" s="138">
        <v>7</v>
      </c>
      <c r="J355" s="138">
        <v>8</v>
      </c>
      <c r="K355" s="138">
        <v>9</v>
      </c>
      <c r="L355" s="138">
        <v>10</v>
      </c>
      <c r="M355" s="138">
        <v>11</v>
      </c>
      <c r="N355" s="138">
        <v>12</v>
      </c>
      <c r="O355" s="138">
        <v>13</v>
      </c>
      <c r="P355" s="138">
        <v>14</v>
      </c>
      <c r="Q355" s="350">
        <v>15</v>
      </c>
      <c r="R355" s="350">
        <v>16</v>
      </c>
      <c r="S355" s="138">
        <v>17</v>
      </c>
      <c r="T355" s="138">
        <v>18</v>
      </c>
      <c r="U355" s="138">
        <v>19</v>
      </c>
      <c r="V355" s="138">
        <v>20</v>
      </c>
      <c r="W355" s="350">
        <v>21</v>
      </c>
      <c r="X355" s="350">
        <v>22</v>
      </c>
      <c r="Y355" s="138">
        <v>23</v>
      </c>
      <c r="Z355" s="350">
        <v>24</v>
      </c>
      <c r="AA355" s="138">
        <v>25</v>
      </c>
      <c r="AB355" s="138">
        <v>26</v>
      </c>
      <c r="AC355" s="138">
        <v>27</v>
      </c>
      <c r="AD355" s="138">
        <v>28</v>
      </c>
      <c r="AE355" s="138">
        <v>29</v>
      </c>
      <c r="AF355" s="350">
        <v>30</v>
      </c>
      <c r="AG355" s="350">
        <v>31</v>
      </c>
      <c r="AH355" s="350">
        <v>32</v>
      </c>
      <c r="AI355" s="350">
        <v>33</v>
      </c>
      <c r="AJ355" s="350">
        <v>34</v>
      </c>
      <c r="AK355" s="350">
        <v>35</v>
      </c>
      <c r="AL355" s="138">
        <v>36</v>
      </c>
      <c r="AM355" s="138">
        <v>37</v>
      </c>
    </row>
    <row r="356" spans="2:39" s="27" customFormat="1" x14ac:dyDescent="0.25">
      <c r="B356" s="343">
        <v>1</v>
      </c>
      <c r="C356" s="301">
        <v>20</v>
      </c>
      <c r="D356" s="46">
        <v>20</v>
      </c>
      <c r="E356" s="46">
        <v>20</v>
      </c>
      <c r="F356" s="46">
        <v>20</v>
      </c>
      <c r="G356" s="46">
        <v>20</v>
      </c>
      <c r="H356" s="46">
        <v>20</v>
      </c>
      <c r="I356" s="46">
        <v>20</v>
      </c>
      <c r="J356" s="46">
        <v>20</v>
      </c>
      <c r="K356" s="46">
        <v>20</v>
      </c>
      <c r="L356" s="46">
        <v>20</v>
      </c>
      <c r="M356" s="46">
        <v>20</v>
      </c>
      <c r="N356" s="46">
        <v>20</v>
      </c>
      <c r="O356" s="46">
        <v>20</v>
      </c>
      <c r="P356" s="46">
        <v>20</v>
      </c>
      <c r="Q356" s="351">
        <v>20</v>
      </c>
      <c r="R356" s="351">
        <v>20</v>
      </c>
      <c r="S356" s="46">
        <v>20</v>
      </c>
      <c r="T356" s="46">
        <v>20</v>
      </c>
      <c r="U356" s="46">
        <v>20</v>
      </c>
      <c r="V356" s="46">
        <v>20</v>
      </c>
      <c r="W356" s="351">
        <v>20</v>
      </c>
      <c r="X356" s="351">
        <v>20</v>
      </c>
      <c r="Y356" s="46">
        <v>20</v>
      </c>
      <c r="Z356" s="351">
        <v>20</v>
      </c>
      <c r="AA356" s="46">
        <v>20</v>
      </c>
      <c r="AB356" s="46">
        <v>20</v>
      </c>
      <c r="AC356" s="46">
        <v>20</v>
      </c>
      <c r="AD356" s="46">
        <v>20</v>
      </c>
      <c r="AE356" s="46">
        <v>20</v>
      </c>
      <c r="AF356" s="351">
        <v>20</v>
      </c>
      <c r="AG356" s="351">
        <v>20</v>
      </c>
      <c r="AH356" s="351">
        <v>20</v>
      </c>
      <c r="AI356" s="351">
        <v>20</v>
      </c>
      <c r="AJ356" s="351">
        <v>20</v>
      </c>
      <c r="AK356" s="351">
        <v>20</v>
      </c>
      <c r="AL356" s="46">
        <v>20</v>
      </c>
      <c r="AM356" s="47">
        <v>20</v>
      </c>
    </row>
    <row r="357" spans="2:39" s="27" customFormat="1" x14ac:dyDescent="0.25">
      <c r="B357" s="344">
        <v>2</v>
      </c>
      <c r="C357" s="179">
        <v>20</v>
      </c>
      <c r="D357" s="28">
        <v>20</v>
      </c>
      <c r="E357" s="28">
        <v>20</v>
      </c>
      <c r="F357" s="28">
        <v>20</v>
      </c>
      <c r="G357" s="28">
        <v>20</v>
      </c>
      <c r="H357" s="28">
        <v>20</v>
      </c>
      <c r="I357" s="28">
        <v>20</v>
      </c>
      <c r="J357" s="28">
        <v>20</v>
      </c>
      <c r="K357" s="28">
        <v>20</v>
      </c>
      <c r="L357" s="28">
        <v>20</v>
      </c>
      <c r="M357" s="28">
        <v>20</v>
      </c>
      <c r="N357" s="28">
        <v>20</v>
      </c>
      <c r="O357" s="28">
        <v>20</v>
      </c>
      <c r="P357" s="28">
        <v>20</v>
      </c>
      <c r="Q357" s="352">
        <v>20</v>
      </c>
      <c r="R357" s="352">
        <v>20</v>
      </c>
      <c r="S357" s="28">
        <v>20</v>
      </c>
      <c r="T357" s="28">
        <v>20</v>
      </c>
      <c r="U357" s="28">
        <v>20</v>
      </c>
      <c r="V357" s="28">
        <v>20</v>
      </c>
      <c r="W357" s="352">
        <v>20</v>
      </c>
      <c r="X357" s="352">
        <v>20</v>
      </c>
      <c r="Y357" s="28">
        <v>20</v>
      </c>
      <c r="Z357" s="352">
        <v>20</v>
      </c>
      <c r="AA357" s="28">
        <v>20</v>
      </c>
      <c r="AB357" s="28">
        <v>20</v>
      </c>
      <c r="AC357" s="28">
        <v>20</v>
      </c>
      <c r="AD357" s="28">
        <v>20</v>
      </c>
      <c r="AE357" s="28">
        <v>20</v>
      </c>
      <c r="AF357" s="352">
        <v>20</v>
      </c>
      <c r="AG357" s="352">
        <v>20</v>
      </c>
      <c r="AH357" s="352">
        <v>20</v>
      </c>
      <c r="AI357" s="352">
        <v>20</v>
      </c>
      <c r="AJ357" s="352">
        <v>20</v>
      </c>
      <c r="AK357" s="352">
        <v>20</v>
      </c>
      <c r="AL357" s="28">
        <v>20</v>
      </c>
      <c r="AM357" s="30">
        <v>20</v>
      </c>
    </row>
    <row r="358" spans="2:39" s="27" customFormat="1" x14ac:dyDescent="0.25">
      <c r="B358" s="344">
        <v>3</v>
      </c>
      <c r="C358" s="179">
        <v>20</v>
      </c>
      <c r="D358" s="28">
        <v>20</v>
      </c>
      <c r="E358" s="28">
        <v>18</v>
      </c>
      <c r="F358" s="28">
        <v>18</v>
      </c>
      <c r="G358" s="28">
        <v>18</v>
      </c>
      <c r="H358" s="28">
        <v>18</v>
      </c>
      <c r="I358" s="28">
        <v>18</v>
      </c>
      <c r="J358" s="28">
        <v>20</v>
      </c>
      <c r="K358" s="28">
        <v>20</v>
      </c>
      <c r="L358" s="28">
        <v>20</v>
      </c>
      <c r="M358" s="28">
        <v>20</v>
      </c>
      <c r="N358" s="28">
        <v>20</v>
      </c>
      <c r="O358" s="28">
        <v>18</v>
      </c>
      <c r="P358" s="28">
        <v>20</v>
      </c>
      <c r="Q358" s="352">
        <v>18</v>
      </c>
      <c r="R358" s="352">
        <v>18</v>
      </c>
      <c r="S358" s="28">
        <v>20</v>
      </c>
      <c r="T358" s="28">
        <v>20</v>
      </c>
      <c r="U358" s="28">
        <v>20</v>
      </c>
      <c r="V358" s="28">
        <v>20</v>
      </c>
      <c r="W358" s="352">
        <v>18</v>
      </c>
      <c r="X358" s="352">
        <v>18</v>
      </c>
      <c r="Y358" s="28">
        <v>20</v>
      </c>
      <c r="Z358" s="352">
        <v>20</v>
      </c>
      <c r="AA358" s="28">
        <v>18</v>
      </c>
      <c r="AB358" s="28">
        <v>18</v>
      </c>
      <c r="AC358" s="28">
        <v>18</v>
      </c>
      <c r="AD358" s="28">
        <v>18</v>
      </c>
      <c r="AE358" s="28">
        <v>18</v>
      </c>
      <c r="AF358" s="352">
        <v>20</v>
      </c>
      <c r="AG358" s="352">
        <v>20</v>
      </c>
      <c r="AH358" s="352">
        <v>20</v>
      </c>
      <c r="AI358" s="352">
        <v>20</v>
      </c>
      <c r="AJ358" s="352">
        <v>18</v>
      </c>
      <c r="AK358" s="352">
        <v>18</v>
      </c>
      <c r="AL358" s="28">
        <v>20</v>
      </c>
      <c r="AM358" s="30">
        <v>18</v>
      </c>
    </row>
    <row r="359" spans="2:39" s="27" customFormat="1" x14ac:dyDescent="0.25">
      <c r="B359" s="344">
        <v>4</v>
      </c>
      <c r="C359" s="179">
        <v>18</v>
      </c>
      <c r="D359" s="28">
        <v>18</v>
      </c>
      <c r="E359" s="28">
        <v>18</v>
      </c>
      <c r="F359" s="28">
        <v>18</v>
      </c>
      <c r="G359" s="28">
        <v>18</v>
      </c>
      <c r="H359" s="28">
        <v>18</v>
      </c>
      <c r="I359" s="28">
        <v>18</v>
      </c>
      <c r="J359" s="28">
        <v>20</v>
      </c>
      <c r="K359" s="28">
        <v>20</v>
      </c>
      <c r="L359" s="28">
        <v>20</v>
      </c>
      <c r="M359" s="28">
        <v>20</v>
      </c>
      <c r="N359" s="28">
        <v>20</v>
      </c>
      <c r="O359" s="28">
        <v>18</v>
      </c>
      <c r="P359" s="28">
        <v>20</v>
      </c>
      <c r="Q359" s="352">
        <v>18</v>
      </c>
      <c r="R359" s="352">
        <v>18</v>
      </c>
      <c r="S359" s="28">
        <v>18</v>
      </c>
      <c r="T359" s="28">
        <v>18</v>
      </c>
      <c r="U359" s="28">
        <v>18</v>
      </c>
      <c r="V359" s="28">
        <v>18</v>
      </c>
      <c r="W359" s="352">
        <v>18</v>
      </c>
      <c r="X359" s="352">
        <v>18</v>
      </c>
      <c r="Y359" s="28">
        <v>18</v>
      </c>
      <c r="Z359" s="352">
        <v>18</v>
      </c>
      <c r="AA359" s="28">
        <v>18</v>
      </c>
      <c r="AB359" s="28">
        <v>18</v>
      </c>
      <c r="AC359" s="28">
        <v>18</v>
      </c>
      <c r="AD359" s="28">
        <v>18</v>
      </c>
      <c r="AE359" s="28">
        <v>18</v>
      </c>
      <c r="AF359" s="352">
        <v>20</v>
      </c>
      <c r="AG359" s="352">
        <v>20</v>
      </c>
      <c r="AH359" s="352">
        <v>20</v>
      </c>
      <c r="AI359" s="352">
        <v>20</v>
      </c>
      <c r="AJ359" s="352">
        <v>18</v>
      </c>
      <c r="AK359" s="352">
        <v>18</v>
      </c>
      <c r="AL359" s="28">
        <v>18</v>
      </c>
      <c r="AM359" s="30">
        <v>18</v>
      </c>
    </row>
    <row r="360" spans="2:39" s="27" customFormat="1" x14ac:dyDescent="0.25">
      <c r="B360" s="344">
        <v>5</v>
      </c>
      <c r="C360" s="179">
        <v>18</v>
      </c>
      <c r="D360" s="28">
        <v>18</v>
      </c>
      <c r="E360" s="28">
        <v>16</v>
      </c>
      <c r="F360" s="28">
        <v>16</v>
      </c>
      <c r="G360" s="28">
        <v>16</v>
      </c>
      <c r="H360" s="28">
        <v>16</v>
      </c>
      <c r="I360" s="28">
        <v>16</v>
      </c>
      <c r="J360" s="28">
        <v>20</v>
      </c>
      <c r="K360" s="28">
        <v>20</v>
      </c>
      <c r="L360" s="28">
        <v>19</v>
      </c>
      <c r="M360" s="28">
        <v>19</v>
      </c>
      <c r="N360" s="28">
        <v>19</v>
      </c>
      <c r="O360" s="28">
        <v>16</v>
      </c>
      <c r="P360" s="28">
        <v>19</v>
      </c>
      <c r="Q360" s="352">
        <v>16</v>
      </c>
      <c r="R360" s="352">
        <v>16</v>
      </c>
      <c r="S360" s="28">
        <v>18</v>
      </c>
      <c r="T360" s="28">
        <v>18</v>
      </c>
      <c r="U360" s="28">
        <v>18</v>
      </c>
      <c r="V360" s="28">
        <v>18</v>
      </c>
      <c r="W360" s="352">
        <v>16</v>
      </c>
      <c r="X360" s="352">
        <v>16</v>
      </c>
      <c r="Y360" s="28">
        <v>18</v>
      </c>
      <c r="Z360" s="352">
        <v>18</v>
      </c>
      <c r="AA360" s="28">
        <v>16</v>
      </c>
      <c r="AB360" s="28">
        <v>16</v>
      </c>
      <c r="AC360" s="28">
        <v>16</v>
      </c>
      <c r="AD360" s="28">
        <v>16</v>
      </c>
      <c r="AE360" s="28">
        <v>16</v>
      </c>
      <c r="AF360" s="352">
        <v>19</v>
      </c>
      <c r="AG360" s="352">
        <v>19</v>
      </c>
      <c r="AH360" s="352">
        <v>19</v>
      </c>
      <c r="AI360" s="352">
        <v>19</v>
      </c>
      <c r="AJ360" s="352">
        <v>16</v>
      </c>
      <c r="AK360" s="352">
        <v>16</v>
      </c>
      <c r="AL360" s="28">
        <v>18</v>
      </c>
      <c r="AM360" s="30">
        <v>16</v>
      </c>
    </row>
    <row r="361" spans="2:39" s="27" customFormat="1" x14ac:dyDescent="0.25">
      <c r="B361" s="344">
        <v>6</v>
      </c>
      <c r="C361" s="179">
        <v>18</v>
      </c>
      <c r="D361" s="28">
        <v>18</v>
      </c>
      <c r="E361" s="28">
        <v>16</v>
      </c>
      <c r="F361" s="28">
        <v>16</v>
      </c>
      <c r="G361" s="28">
        <v>16</v>
      </c>
      <c r="H361" s="28">
        <v>16</v>
      </c>
      <c r="I361" s="28">
        <v>16</v>
      </c>
      <c r="J361" s="28">
        <v>19</v>
      </c>
      <c r="K361" s="28">
        <v>19</v>
      </c>
      <c r="L361" s="28">
        <v>19</v>
      </c>
      <c r="M361" s="28">
        <v>19</v>
      </c>
      <c r="N361" s="28">
        <v>19</v>
      </c>
      <c r="O361" s="28">
        <v>16</v>
      </c>
      <c r="P361" s="28">
        <v>19</v>
      </c>
      <c r="Q361" s="352">
        <v>16</v>
      </c>
      <c r="R361" s="352">
        <v>16</v>
      </c>
      <c r="S361" s="28">
        <v>18</v>
      </c>
      <c r="T361" s="28">
        <v>18</v>
      </c>
      <c r="U361" s="28">
        <v>18</v>
      </c>
      <c r="V361" s="28">
        <v>18</v>
      </c>
      <c r="W361" s="352">
        <v>16</v>
      </c>
      <c r="X361" s="352">
        <v>16</v>
      </c>
      <c r="Y361" s="28">
        <v>18</v>
      </c>
      <c r="Z361" s="352">
        <v>18</v>
      </c>
      <c r="AA361" s="28">
        <v>16</v>
      </c>
      <c r="AB361" s="28">
        <v>16</v>
      </c>
      <c r="AC361" s="28">
        <v>16</v>
      </c>
      <c r="AD361" s="28">
        <v>16</v>
      </c>
      <c r="AE361" s="28">
        <v>16</v>
      </c>
      <c r="AF361" s="352">
        <v>19</v>
      </c>
      <c r="AG361" s="352">
        <v>19</v>
      </c>
      <c r="AH361" s="352">
        <v>19</v>
      </c>
      <c r="AI361" s="352">
        <v>19</v>
      </c>
      <c r="AJ361" s="352">
        <v>16</v>
      </c>
      <c r="AK361" s="352">
        <v>16</v>
      </c>
      <c r="AL361" s="28">
        <v>18</v>
      </c>
      <c r="AM361" s="30">
        <v>16</v>
      </c>
    </row>
    <row r="362" spans="2:39" s="27" customFormat="1" x14ac:dyDescent="0.25">
      <c r="B362" s="344">
        <v>7</v>
      </c>
      <c r="C362" s="179">
        <v>16</v>
      </c>
      <c r="D362" s="28">
        <v>16</v>
      </c>
      <c r="E362" s="28">
        <v>14</v>
      </c>
      <c r="F362" s="28">
        <v>14</v>
      </c>
      <c r="G362" s="28">
        <v>14</v>
      </c>
      <c r="H362" s="28">
        <v>14</v>
      </c>
      <c r="I362" s="28">
        <v>14</v>
      </c>
      <c r="J362" s="28">
        <v>19</v>
      </c>
      <c r="K362" s="28">
        <v>19</v>
      </c>
      <c r="L362" s="28">
        <v>19</v>
      </c>
      <c r="M362" s="28">
        <v>19</v>
      </c>
      <c r="N362" s="28">
        <v>19</v>
      </c>
      <c r="O362" s="28">
        <v>14</v>
      </c>
      <c r="P362" s="28">
        <v>19</v>
      </c>
      <c r="Q362" s="352">
        <v>14</v>
      </c>
      <c r="R362" s="352">
        <v>14</v>
      </c>
      <c r="S362" s="28">
        <v>16</v>
      </c>
      <c r="T362" s="28">
        <v>16</v>
      </c>
      <c r="U362" s="28">
        <v>16</v>
      </c>
      <c r="V362" s="28">
        <v>16</v>
      </c>
      <c r="W362" s="352">
        <v>14</v>
      </c>
      <c r="X362" s="352">
        <v>14</v>
      </c>
      <c r="Y362" s="28">
        <v>16</v>
      </c>
      <c r="Z362" s="352">
        <v>16</v>
      </c>
      <c r="AA362" s="28">
        <v>14</v>
      </c>
      <c r="AB362" s="28">
        <v>14</v>
      </c>
      <c r="AC362" s="28">
        <v>14</v>
      </c>
      <c r="AD362" s="28">
        <v>14</v>
      </c>
      <c r="AE362" s="28">
        <v>14</v>
      </c>
      <c r="AF362" s="352">
        <v>19</v>
      </c>
      <c r="AG362" s="352">
        <v>19</v>
      </c>
      <c r="AH362" s="352">
        <v>19</v>
      </c>
      <c r="AI362" s="352">
        <v>19</v>
      </c>
      <c r="AJ362" s="352">
        <v>14</v>
      </c>
      <c r="AK362" s="352">
        <v>14</v>
      </c>
      <c r="AL362" s="28">
        <v>16</v>
      </c>
      <c r="AM362" s="30">
        <v>14</v>
      </c>
    </row>
    <row r="363" spans="2:39" s="27" customFormat="1" x14ac:dyDescent="0.25">
      <c r="B363" s="344">
        <v>8</v>
      </c>
      <c r="C363" s="179">
        <v>16</v>
      </c>
      <c r="D363" s="28">
        <v>16</v>
      </c>
      <c r="E363" s="28">
        <v>14</v>
      </c>
      <c r="F363" s="28">
        <v>14</v>
      </c>
      <c r="G363" s="28">
        <v>14</v>
      </c>
      <c r="H363" s="28">
        <v>14</v>
      </c>
      <c r="I363" s="28">
        <v>14</v>
      </c>
      <c r="J363" s="28">
        <v>19</v>
      </c>
      <c r="K363" s="28">
        <v>19</v>
      </c>
      <c r="L363" s="28">
        <v>19</v>
      </c>
      <c r="M363" s="28">
        <v>19</v>
      </c>
      <c r="N363" s="28">
        <v>19</v>
      </c>
      <c r="O363" s="28">
        <v>14</v>
      </c>
      <c r="P363" s="28">
        <v>19</v>
      </c>
      <c r="Q363" s="352">
        <v>14</v>
      </c>
      <c r="R363" s="352">
        <v>14</v>
      </c>
      <c r="S363" s="28">
        <v>16</v>
      </c>
      <c r="T363" s="28">
        <v>16</v>
      </c>
      <c r="U363" s="28">
        <v>16</v>
      </c>
      <c r="V363" s="28">
        <v>16</v>
      </c>
      <c r="W363" s="352">
        <v>14</v>
      </c>
      <c r="X363" s="352">
        <v>14</v>
      </c>
      <c r="Y363" s="28">
        <v>16</v>
      </c>
      <c r="Z363" s="352">
        <v>16</v>
      </c>
      <c r="AA363" s="28">
        <v>14</v>
      </c>
      <c r="AB363" s="28">
        <v>14</v>
      </c>
      <c r="AC363" s="28">
        <v>14</v>
      </c>
      <c r="AD363" s="28">
        <v>14</v>
      </c>
      <c r="AE363" s="28">
        <v>14</v>
      </c>
      <c r="AF363" s="352">
        <v>19</v>
      </c>
      <c r="AG363" s="352">
        <v>19</v>
      </c>
      <c r="AH363" s="352">
        <v>19</v>
      </c>
      <c r="AI363" s="352">
        <v>19</v>
      </c>
      <c r="AJ363" s="352">
        <v>14</v>
      </c>
      <c r="AK363" s="352">
        <v>14</v>
      </c>
      <c r="AL363" s="28">
        <v>16</v>
      </c>
      <c r="AM363" s="30">
        <v>14</v>
      </c>
    </row>
    <row r="364" spans="2:39" s="27" customFormat="1" x14ac:dyDescent="0.25">
      <c r="B364" s="344">
        <v>9</v>
      </c>
      <c r="C364" s="179">
        <v>16</v>
      </c>
      <c r="D364" s="28">
        <v>16</v>
      </c>
      <c r="E364" s="28">
        <v>12</v>
      </c>
      <c r="F364" s="28">
        <v>12</v>
      </c>
      <c r="G364" s="28">
        <v>12</v>
      </c>
      <c r="H364" s="28">
        <v>12</v>
      </c>
      <c r="I364" s="28">
        <v>12</v>
      </c>
      <c r="J364" s="28">
        <v>19</v>
      </c>
      <c r="K364" s="28">
        <v>19</v>
      </c>
      <c r="L364" s="28">
        <v>16</v>
      </c>
      <c r="M364" s="28">
        <v>16</v>
      </c>
      <c r="N364" s="28">
        <v>16</v>
      </c>
      <c r="O364" s="28">
        <v>14</v>
      </c>
      <c r="P364" s="28">
        <v>16</v>
      </c>
      <c r="Q364" s="352">
        <v>12</v>
      </c>
      <c r="R364" s="352">
        <v>12</v>
      </c>
      <c r="S364" s="28">
        <v>16</v>
      </c>
      <c r="T364" s="28">
        <v>16</v>
      </c>
      <c r="U364" s="28">
        <v>16</v>
      </c>
      <c r="V364" s="28">
        <v>16</v>
      </c>
      <c r="W364" s="352">
        <v>12</v>
      </c>
      <c r="X364" s="352">
        <v>12</v>
      </c>
      <c r="Y364" s="28">
        <v>16</v>
      </c>
      <c r="Z364" s="352">
        <v>16</v>
      </c>
      <c r="AA364" s="28">
        <v>12</v>
      </c>
      <c r="AB364" s="28">
        <v>12</v>
      </c>
      <c r="AC364" s="28">
        <v>12</v>
      </c>
      <c r="AD364" s="28">
        <v>12</v>
      </c>
      <c r="AE364" s="28">
        <v>12</v>
      </c>
      <c r="AF364" s="352">
        <v>16</v>
      </c>
      <c r="AG364" s="352">
        <v>16</v>
      </c>
      <c r="AH364" s="352">
        <v>16</v>
      </c>
      <c r="AI364" s="352">
        <v>16</v>
      </c>
      <c r="AJ364" s="352">
        <v>12</v>
      </c>
      <c r="AK364" s="352">
        <v>12</v>
      </c>
      <c r="AL364" s="28">
        <v>16</v>
      </c>
      <c r="AM364" s="30">
        <v>12</v>
      </c>
    </row>
    <row r="365" spans="2:39" s="27" customFormat="1" x14ac:dyDescent="0.25">
      <c r="B365" s="344">
        <v>10</v>
      </c>
      <c r="C365" s="179">
        <v>14</v>
      </c>
      <c r="D365" s="28">
        <v>14</v>
      </c>
      <c r="E365" s="28">
        <v>12</v>
      </c>
      <c r="F365" s="28">
        <v>12</v>
      </c>
      <c r="G365" s="28">
        <v>12</v>
      </c>
      <c r="H365" s="28">
        <v>12</v>
      </c>
      <c r="I365" s="28">
        <v>12</v>
      </c>
      <c r="J365" s="28">
        <v>19</v>
      </c>
      <c r="K365" s="28">
        <v>19</v>
      </c>
      <c r="L365" s="28">
        <v>16</v>
      </c>
      <c r="M365" s="28">
        <v>16</v>
      </c>
      <c r="N365" s="28">
        <v>16</v>
      </c>
      <c r="O365" s="28">
        <v>14</v>
      </c>
      <c r="P365" s="28">
        <v>16</v>
      </c>
      <c r="Q365" s="352">
        <v>12</v>
      </c>
      <c r="R365" s="352">
        <v>12</v>
      </c>
      <c r="S365" s="28">
        <v>14</v>
      </c>
      <c r="T365" s="28">
        <v>14</v>
      </c>
      <c r="U365" s="28">
        <v>14</v>
      </c>
      <c r="V365" s="28">
        <v>14</v>
      </c>
      <c r="W365" s="352">
        <v>12</v>
      </c>
      <c r="X365" s="352">
        <v>12</v>
      </c>
      <c r="Y365" s="28">
        <v>14</v>
      </c>
      <c r="Z365" s="352">
        <v>14</v>
      </c>
      <c r="AA365" s="28">
        <v>12</v>
      </c>
      <c r="AB365" s="28">
        <v>12</v>
      </c>
      <c r="AC365" s="28">
        <v>12</v>
      </c>
      <c r="AD365" s="28">
        <v>12</v>
      </c>
      <c r="AE365" s="28">
        <v>12</v>
      </c>
      <c r="AF365" s="352">
        <v>16</v>
      </c>
      <c r="AG365" s="352">
        <v>16</v>
      </c>
      <c r="AH365" s="352">
        <v>16</v>
      </c>
      <c r="AI365" s="352">
        <v>16</v>
      </c>
      <c r="AJ365" s="352">
        <v>12</v>
      </c>
      <c r="AK365" s="352">
        <v>12</v>
      </c>
      <c r="AL365" s="28">
        <v>14</v>
      </c>
      <c r="AM365" s="30">
        <v>12</v>
      </c>
    </row>
    <row r="366" spans="2:39" s="27" customFormat="1" x14ac:dyDescent="0.25">
      <c r="B366" s="344">
        <v>11</v>
      </c>
      <c r="C366" s="179">
        <v>14</v>
      </c>
      <c r="D366" s="28">
        <v>14</v>
      </c>
      <c r="E366" s="28">
        <v>10</v>
      </c>
      <c r="F366" s="28">
        <v>10</v>
      </c>
      <c r="G366" s="28">
        <v>10</v>
      </c>
      <c r="H366" s="28">
        <v>10</v>
      </c>
      <c r="I366" s="28">
        <v>10</v>
      </c>
      <c r="J366" s="28">
        <v>16</v>
      </c>
      <c r="K366" s="28">
        <v>16</v>
      </c>
      <c r="L366" s="28">
        <v>16</v>
      </c>
      <c r="M366" s="28">
        <v>16</v>
      </c>
      <c r="N366" s="28">
        <v>16</v>
      </c>
      <c r="O366" s="28">
        <v>14</v>
      </c>
      <c r="P366" s="28">
        <v>16</v>
      </c>
      <c r="Q366" s="352">
        <v>10</v>
      </c>
      <c r="R366" s="352">
        <v>10</v>
      </c>
      <c r="S366" s="28">
        <v>14</v>
      </c>
      <c r="T366" s="28">
        <v>14</v>
      </c>
      <c r="U366" s="28">
        <v>14</v>
      </c>
      <c r="V366" s="28">
        <v>14</v>
      </c>
      <c r="W366" s="352">
        <v>10</v>
      </c>
      <c r="X366" s="352">
        <v>10</v>
      </c>
      <c r="Y366" s="28">
        <v>14</v>
      </c>
      <c r="Z366" s="352">
        <v>14</v>
      </c>
      <c r="AA366" s="28">
        <v>10</v>
      </c>
      <c r="AB366" s="28">
        <v>10</v>
      </c>
      <c r="AC366" s="28">
        <v>10</v>
      </c>
      <c r="AD366" s="28">
        <v>10</v>
      </c>
      <c r="AE366" s="28">
        <v>10</v>
      </c>
      <c r="AF366" s="352">
        <v>16</v>
      </c>
      <c r="AG366" s="352">
        <v>16</v>
      </c>
      <c r="AH366" s="352">
        <v>16</v>
      </c>
      <c r="AI366" s="352">
        <v>16</v>
      </c>
      <c r="AJ366" s="352">
        <v>10</v>
      </c>
      <c r="AK366" s="352">
        <v>10</v>
      </c>
      <c r="AL366" s="28">
        <v>14</v>
      </c>
      <c r="AM366" s="30">
        <v>10</v>
      </c>
    </row>
    <row r="367" spans="2:39" s="27" customFormat="1" x14ac:dyDescent="0.25">
      <c r="B367" s="344">
        <v>12</v>
      </c>
      <c r="C367" s="179">
        <v>14</v>
      </c>
      <c r="D367" s="28">
        <v>14</v>
      </c>
      <c r="E367" s="28">
        <v>10</v>
      </c>
      <c r="F367" s="28">
        <v>10</v>
      </c>
      <c r="G367" s="28">
        <v>10</v>
      </c>
      <c r="H367" s="28">
        <v>10</v>
      </c>
      <c r="I367" s="28">
        <v>10</v>
      </c>
      <c r="J367" s="28">
        <v>16</v>
      </c>
      <c r="K367" s="28">
        <v>16</v>
      </c>
      <c r="L367" s="28">
        <v>16</v>
      </c>
      <c r="M367" s="28">
        <v>16</v>
      </c>
      <c r="N367" s="28">
        <v>16</v>
      </c>
      <c r="O367" s="28">
        <v>14</v>
      </c>
      <c r="P367" s="28">
        <v>16</v>
      </c>
      <c r="Q367" s="352">
        <v>10</v>
      </c>
      <c r="R367" s="352">
        <v>10</v>
      </c>
      <c r="S367" s="28">
        <v>14</v>
      </c>
      <c r="T367" s="28">
        <v>14</v>
      </c>
      <c r="U367" s="28">
        <v>14</v>
      </c>
      <c r="V367" s="28">
        <v>14</v>
      </c>
      <c r="W367" s="352">
        <v>10</v>
      </c>
      <c r="X367" s="352">
        <v>10</v>
      </c>
      <c r="Y367" s="28">
        <v>14</v>
      </c>
      <c r="Z367" s="352">
        <v>14</v>
      </c>
      <c r="AA367" s="28">
        <v>10</v>
      </c>
      <c r="AB367" s="28">
        <v>10</v>
      </c>
      <c r="AC367" s="28">
        <v>10</v>
      </c>
      <c r="AD367" s="28">
        <v>10</v>
      </c>
      <c r="AE367" s="28">
        <v>10</v>
      </c>
      <c r="AF367" s="352">
        <v>16</v>
      </c>
      <c r="AG367" s="352">
        <v>16</v>
      </c>
      <c r="AH367" s="352">
        <v>16</v>
      </c>
      <c r="AI367" s="352">
        <v>16</v>
      </c>
      <c r="AJ367" s="352">
        <v>10</v>
      </c>
      <c r="AK367" s="352">
        <v>10</v>
      </c>
      <c r="AL367" s="28">
        <v>14</v>
      </c>
      <c r="AM367" s="30">
        <v>10</v>
      </c>
    </row>
    <row r="368" spans="2:39" s="27" customFormat="1" x14ac:dyDescent="0.25">
      <c r="B368" s="344">
        <v>13</v>
      </c>
      <c r="C368" s="179">
        <v>12</v>
      </c>
      <c r="D368" s="28">
        <v>12</v>
      </c>
      <c r="E368" s="28">
        <v>8</v>
      </c>
      <c r="F368" s="28">
        <v>8</v>
      </c>
      <c r="G368" s="28">
        <v>8</v>
      </c>
      <c r="H368" s="28">
        <v>8</v>
      </c>
      <c r="I368" s="28">
        <v>8</v>
      </c>
      <c r="J368" s="28">
        <v>16</v>
      </c>
      <c r="K368" s="28">
        <v>16</v>
      </c>
      <c r="L368" s="28">
        <v>14</v>
      </c>
      <c r="M368" s="28">
        <v>14</v>
      </c>
      <c r="N368" s="28">
        <v>14</v>
      </c>
      <c r="O368" s="28">
        <v>14</v>
      </c>
      <c r="P368" s="28">
        <v>14</v>
      </c>
      <c r="Q368" s="352">
        <v>8</v>
      </c>
      <c r="R368" s="352">
        <v>8</v>
      </c>
      <c r="S368" s="28">
        <v>12</v>
      </c>
      <c r="T368" s="28">
        <v>12</v>
      </c>
      <c r="U368" s="28">
        <v>12</v>
      </c>
      <c r="V368" s="28">
        <v>12</v>
      </c>
      <c r="W368" s="352">
        <v>8</v>
      </c>
      <c r="X368" s="352">
        <v>8</v>
      </c>
      <c r="Y368" s="28">
        <v>12</v>
      </c>
      <c r="Z368" s="352">
        <v>12</v>
      </c>
      <c r="AA368" s="28">
        <v>8</v>
      </c>
      <c r="AB368" s="28">
        <v>8</v>
      </c>
      <c r="AC368" s="28">
        <v>8</v>
      </c>
      <c r="AD368" s="28">
        <v>8</v>
      </c>
      <c r="AE368" s="28">
        <v>8</v>
      </c>
      <c r="AF368" s="352">
        <v>14</v>
      </c>
      <c r="AG368" s="352">
        <v>14</v>
      </c>
      <c r="AH368" s="352">
        <v>14</v>
      </c>
      <c r="AI368" s="352">
        <v>14</v>
      </c>
      <c r="AJ368" s="352">
        <v>8</v>
      </c>
      <c r="AK368" s="352">
        <v>8</v>
      </c>
      <c r="AL368" s="28">
        <v>12</v>
      </c>
      <c r="AM368" s="30">
        <v>8</v>
      </c>
    </row>
    <row r="369" spans="2:39" s="27" customFormat="1" x14ac:dyDescent="0.25">
      <c r="B369" s="344">
        <v>14</v>
      </c>
      <c r="C369" s="179">
        <v>12</v>
      </c>
      <c r="D369" s="28">
        <v>12</v>
      </c>
      <c r="E369" s="28">
        <v>8</v>
      </c>
      <c r="F369" s="28">
        <v>8</v>
      </c>
      <c r="G369" s="28">
        <v>8</v>
      </c>
      <c r="H369" s="28">
        <v>8</v>
      </c>
      <c r="I369" s="28">
        <v>8</v>
      </c>
      <c r="J369" s="28">
        <v>16</v>
      </c>
      <c r="K369" s="28">
        <v>16</v>
      </c>
      <c r="L369" s="28">
        <v>14</v>
      </c>
      <c r="M369" s="28">
        <v>14</v>
      </c>
      <c r="N369" s="28">
        <v>14</v>
      </c>
      <c r="O369" s="28">
        <v>14</v>
      </c>
      <c r="P369" s="28">
        <v>14</v>
      </c>
      <c r="Q369" s="352">
        <v>8</v>
      </c>
      <c r="R369" s="352">
        <v>8</v>
      </c>
      <c r="S369" s="28">
        <v>12</v>
      </c>
      <c r="T369" s="28">
        <v>12</v>
      </c>
      <c r="U369" s="28">
        <v>12</v>
      </c>
      <c r="V369" s="28">
        <v>12</v>
      </c>
      <c r="W369" s="352">
        <v>8</v>
      </c>
      <c r="X369" s="352">
        <v>8</v>
      </c>
      <c r="Y369" s="28">
        <v>12</v>
      </c>
      <c r="Z369" s="352">
        <v>12</v>
      </c>
      <c r="AA369" s="28">
        <v>8</v>
      </c>
      <c r="AB369" s="28">
        <v>8</v>
      </c>
      <c r="AC369" s="28">
        <v>8</v>
      </c>
      <c r="AD369" s="28">
        <v>8</v>
      </c>
      <c r="AE369" s="28">
        <v>8</v>
      </c>
      <c r="AF369" s="352">
        <v>14</v>
      </c>
      <c r="AG369" s="352">
        <v>14</v>
      </c>
      <c r="AH369" s="352">
        <v>14</v>
      </c>
      <c r="AI369" s="352">
        <v>14</v>
      </c>
      <c r="AJ369" s="352">
        <v>8</v>
      </c>
      <c r="AK369" s="352">
        <v>8</v>
      </c>
      <c r="AL369" s="28">
        <v>12</v>
      </c>
      <c r="AM369" s="30">
        <v>8</v>
      </c>
    </row>
    <row r="370" spans="2:39" s="27" customFormat="1" x14ac:dyDescent="0.25">
      <c r="B370" s="344">
        <v>15</v>
      </c>
      <c r="C370" s="179">
        <v>12</v>
      </c>
      <c r="D370" s="28">
        <v>12</v>
      </c>
      <c r="E370" s="28">
        <v>6</v>
      </c>
      <c r="F370" s="28">
        <v>6</v>
      </c>
      <c r="G370" s="28">
        <v>6</v>
      </c>
      <c r="H370" s="28">
        <v>6</v>
      </c>
      <c r="I370" s="28">
        <v>6</v>
      </c>
      <c r="J370" s="28">
        <v>16</v>
      </c>
      <c r="K370" s="28">
        <v>16</v>
      </c>
      <c r="L370" s="28">
        <v>14</v>
      </c>
      <c r="M370" s="28">
        <v>14</v>
      </c>
      <c r="N370" s="28">
        <v>14</v>
      </c>
      <c r="O370" s="28">
        <v>14</v>
      </c>
      <c r="P370" s="28">
        <v>14</v>
      </c>
      <c r="Q370" s="352">
        <v>6</v>
      </c>
      <c r="R370" s="352">
        <v>6</v>
      </c>
      <c r="S370" s="28">
        <v>12</v>
      </c>
      <c r="T370" s="28">
        <v>12</v>
      </c>
      <c r="U370" s="28">
        <v>12</v>
      </c>
      <c r="V370" s="28">
        <v>12</v>
      </c>
      <c r="W370" s="352">
        <v>6</v>
      </c>
      <c r="X370" s="352">
        <v>6</v>
      </c>
      <c r="Y370" s="28">
        <v>12</v>
      </c>
      <c r="Z370" s="352">
        <v>12</v>
      </c>
      <c r="AA370" s="28">
        <v>6</v>
      </c>
      <c r="AB370" s="28">
        <v>6</v>
      </c>
      <c r="AC370" s="28">
        <v>6</v>
      </c>
      <c r="AD370" s="28">
        <v>6</v>
      </c>
      <c r="AE370" s="28">
        <v>6</v>
      </c>
      <c r="AF370" s="352">
        <v>14</v>
      </c>
      <c r="AG370" s="352">
        <v>14</v>
      </c>
      <c r="AH370" s="352">
        <v>14</v>
      </c>
      <c r="AI370" s="352">
        <v>14</v>
      </c>
      <c r="AJ370" s="352">
        <v>6</v>
      </c>
      <c r="AK370" s="352">
        <v>6</v>
      </c>
      <c r="AL370" s="28">
        <v>12</v>
      </c>
      <c r="AM370" s="30">
        <v>6</v>
      </c>
    </row>
    <row r="371" spans="2:39" s="27" customFormat="1" x14ac:dyDescent="0.25">
      <c r="B371" s="344">
        <v>16</v>
      </c>
      <c r="C371" s="179">
        <v>10</v>
      </c>
      <c r="D371" s="28">
        <v>10</v>
      </c>
      <c r="E371" s="28">
        <v>6</v>
      </c>
      <c r="F371" s="28">
        <v>6</v>
      </c>
      <c r="G371" s="28">
        <v>6</v>
      </c>
      <c r="H371" s="28">
        <v>6</v>
      </c>
      <c r="I371" s="28">
        <v>6</v>
      </c>
      <c r="J371" s="28">
        <v>13</v>
      </c>
      <c r="K371" s="28">
        <v>13</v>
      </c>
      <c r="L371" s="28">
        <v>14</v>
      </c>
      <c r="M371" s="28">
        <v>14</v>
      </c>
      <c r="N371" s="28">
        <v>14</v>
      </c>
      <c r="O371" s="28">
        <v>14</v>
      </c>
      <c r="P371" s="28">
        <v>14</v>
      </c>
      <c r="Q371" s="352">
        <v>6</v>
      </c>
      <c r="R371" s="352">
        <v>6</v>
      </c>
      <c r="S371" s="28">
        <v>10</v>
      </c>
      <c r="T371" s="28">
        <v>10</v>
      </c>
      <c r="U371" s="28">
        <v>10</v>
      </c>
      <c r="V371" s="28">
        <v>10</v>
      </c>
      <c r="W371" s="352">
        <v>6</v>
      </c>
      <c r="X371" s="352">
        <v>6</v>
      </c>
      <c r="Y371" s="28">
        <v>10</v>
      </c>
      <c r="Z371" s="352">
        <v>10</v>
      </c>
      <c r="AA371" s="28">
        <v>6</v>
      </c>
      <c r="AB371" s="28">
        <v>6</v>
      </c>
      <c r="AC371" s="28">
        <v>6</v>
      </c>
      <c r="AD371" s="28">
        <v>6</v>
      </c>
      <c r="AE371" s="28">
        <v>6</v>
      </c>
      <c r="AF371" s="352">
        <v>14</v>
      </c>
      <c r="AG371" s="352">
        <v>14</v>
      </c>
      <c r="AH371" s="352">
        <v>14</v>
      </c>
      <c r="AI371" s="352">
        <v>14</v>
      </c>
      <c r="AJ371" s="352">
        <v>6</v>
      </c>
      <c r="AK371" s="352">
        <v>6</v>
      </c>
      <c r="AL371" s="28">
        <v>10</v>
      </c>
      <c r="AM371" s="30">
        <v>6</v>
      </c>
    </row>
    <row r="372" spans="2:39" s="27" customFormat="1" x14ac:dyDescent="0.25">
      <c r="B372" s="344">
        <v>17</v>
      </c>
      <c r="C372" s="179">
        <v>10</v>
      </c>
      <c r="D372" s="28">
        <v>10</v>
      </c>
      <c r="E372" s="28">
        <v>4</v>
      </c>
      <c r="F372" s="28">
        <v>4</v>
      </c>
      <c r="G372" s="28">
        <v>4</v>
      </c>
      <c r="H372" s="28">
        <v>4</v>
      </c>
      <c r="I372" s="28">
        <v>4</v>
      </c>
      <c r="J372" s="28">
        <v>13</v>
      </c>
      <c r="K372" s="28">
        <v>13</v>
      </c>
      <c r="L372" s="28">
        <v>12</v>
      </c>
      <c r="M372" s="28">
        <v>12</v>
      </c>
      <c r="N372" s="28">
        <v>12</v>
      </c>
      <c r="O372" s="28">
        <v>14</v>
      </c>
      <c r="P372" s="28">
        <v>12</v>
      </c>
      <c r="Q372" s="352">
        <v>4</v>
      </c>
      <c r="R372" s="352">
        <v>4</v>
      </c>
      <c r="S372" s="28">
        <v>10</v>
      </c>
      <c r="T372" s="28">
        <v>10</v>
      </c>
      <c r="U372" s="28">
        <v>10</v>
      </c>
      <c r="V372" s="28">
        <v>10</v>
      </c>
      <c r="W372" s="352">
        <v>4</v>
      </c>
      <c r="X372" s="352">
        <v>4</v>
      </c>
      <c r="Y372" s="28">
        <v>10</v>
      </c>
      <c r="Z372" s="352">
        <v>10</v>
      </c>
      <c r="AA372" s="28">
        <v>4</v>
      </c>
      <c r="AB372" s="28">
        <v>4</v>
      </c>
      <c r="AC372" s="28">
        <v>4</v>
      </c>
      <c r="AD372" s="28">
        <v>4</v>
      </c>
      <c r="AE372" s="28">
        <v>4</v>
      </c>
      <c r="AF372" s="352">
        <v>12</v>
      </c>
      <c r="AG372" s="352">
        <v>12</v>
      </c>
      <c r="AH372" s="352">
        <v>12</v>
      </c>
      <c r="AI372" s="352">
        <v>12</v>
      </c>
      <c r="AJ372" s="352">
        <v>4</v>
      </c>
      <c r="AK372" s="352">
        <v>4</v>
      </c>
      <c r="AL372" s="28">
        <v>10</v>
      </c>
      <c r="AM372" s="30">
        <v>4</v>
      </c>
    </row>
    <row r="373" spans="2:39" s="27" customFormat="1" x14ac:dyDescent="0.25">
      <c r="B373" s="344">
        <v>18</v>
      </c>
      <c r="C373" s="179">
        <v>10</v>
      </c>
      <c r="D373" s="28">
        <v>10</v>
      </c>
      <c r="E373" s="28">
        <v>4</v>
      </c>
      <c r="F373" s="28">
        <v>4</v>
      </c>
      <c r="G373" s="28">
        <v>4</v>
      </c>
      <c r="H373" s="28">
        <v>4</v>
      </c>
      <c r="I373" s="28">
        <v>4</v>
      </c>
      <c r="J373" s="28">
        <v>13</v>
      </c>
      <c r="K373" s="28">
        <v>13</v>
      </c>
      <c r="L373" s="28">
        <v>12</v>
      </c>
      <c r="M373" s="28">
        <v>12</v>
      </c>
      <c r="N373" s="28">
        <v>12</v>
      </c>
      <c r="O373" s="28">
        <v>14</v>
      </c>
      <c r="P373" s="28">
        <v>12</v>
      </c>
      <c r="Q373" s="352">
        <v>4</v>
      </c>
      <c r="R373" s="352">
        <v>4</v>
      </c>
      <c r="S373" s="28">
        <v>10</v>
      </c>
      <c r="T373" s="28">
        <v>10</v>
      </c>
      <c r="U373" s="28">
        <v>10</v>
      </c>
      <c r="V373" s="28">
        <v>10</v>
      </c>
      <c r="W373" s="352">
        <v>4</v>
      </c>
      <c r="X373" s="352">
        <v>4</v>
      </c>
      <c r="Y373" s="28">
        <v>10</v>
      </c>
      <c r="Z373" s="352">
        <v>10</v>
      </c>
      <c r="AA373" s="28">
        <v>4</v>
      </c>
      <c r="AB373" s="28">
        <v>4</v>
      </c>
      <c r="AC373" s="28">
        <v>4</v>
      </c>
      <c r="AD373" s="28">
        <v>4</v>
      </c>
      <c r="AE373" s="28">
        <v>4</v>
      </c>
      <c r="AF373" s="352">
        <v>12</v>
      </c>
      <c r="AG373" s="352">
        <v>12</v>
      </c>
      <c r="AH373" s="352">
        <v>12</v>
      </c>
      <c r="AI373" s="352">
        <v>12</v>
      </c>
      <c r="AJ373" s="352">
        <v>4</v>
      </c>
      <c r="AK373" s="352">
        <v>4</v>
      </c>
      <c r="AL373" s="28">
        <v>10</v>
      </c>
      <c r="AM373" s="30">
        <v>4</v>
      </c>
    </row>
    <row r="374" spans="2:39" s="27" customFormat="1" x14ac:dyDescent="0.25">
      <c r="B374" s="344">
        <v>19</v>
      </c>
      <c r="C374" s="179">
        <v>9</v>
      </c>
      <c r="D374" s="28">
        <v>9</v>
      </c>
      <c r="E374" s="28">
        <v>4</v>
      </c>
      <c r="F374" s="28">
        <v>4</v>
      </c>
      <c r="G374" s="28">
        <v>4</v>
      </c>
      <c r="H374" s="28">
        <v>4</v>
      </c>
      <c r="I374" s="28">
        <v>4</v>
      </c>
      <c r="J374" s="28">
        <v>13</v>
      </c>
      <c r="K374" s="28">
        <v>13</v>
      </c>
      <c r="L374" s="28">
        <v>12</v>
      </c>
      <c r="M374" s="28">
        <v>12</v>
      </c>
      <c r="N374" s="28">
        <v>12</v>
      </c>
      <c r="O374" s="28">
        <v>12</v>
      </c>
      <c r="P374" s="28">
        <v>12</v>
      </c>
      <c r="Q374" s="352">
        <v>4</v>
      </c>
      <c r="R374" s="352">
        <v>4</v>
      </c>
      <c r="S374" s="28">
        <v>9</v>
      </c>
      <c r="T374" s="28">
        <v>9</v>
      </c>
      <c r="U374" s="28">
        <v>9</v>
      </c>
      <c r="V374" s="28">
        <v>9</v>
      </c>
      <c r="W374" s="352">
        <v>4</v>
      </c>
      <c r="X374" s="352">
        <v>4</v>
      </c>
      <c r="Y374" s="28">
        <v>9</v>
      </c>
      <c r="Z374" s="352">
        <v>9</v>
      </c>
      <c r="AA374" s="28">
        <v>4</v>
      </c>
      <c r="AB374" s="28">
        <v>4</v>
      </c>
      <c r="AC374" s="28">
        <v>4</v>
      </c>
      <c r="AD374" s="28">
        <v>4</v>
      </c>
      <c r="AE374" s="28">
        <v>4</v>
      </c>
      <c r="AF374" s="352">
        <v>12</v>
      </c>
      <c r="AG374" s="352">
        <v>12</v>
      </c>
      <c r="AH374" s="352">
        <v>12</v>
      </c>
      <c r="AI374" s="352">
        <v>12</v>
      </c>
      <c r="AJ374" s="352">
        <v>4</v>
      </c>
      <c r="AK374" s="352">
        <v>4</v>
      </c>
      <c r="AL374" s="28">
        <v>9</v>
      </c>
      <c r="AM374" s="30">
        <v>4</v>
      </c>
    </row>
    <row r="375" spans="2:39" s="27" customFormat="1" x14ac:dyDescent="0.25">
      <c r="B375" s="344">
        <v>20</v>
      </c>
      <c r="C375" s="179">
        <v>9</v>
      </c>
      <c r="D375" s="28">
        <v>9</v>
      </c>
      <c r="E375" s="28">
        <v>4</v>
      </c>
      <c r="F375" s="28">
        <v>4</v>
      </c>
      <c r="G375" s="28">
        <v>4</v>
      </c>
      <c r="H375" s="28">
        <v>4</v>
      </c>
      <c r="I375" s="28">
        <v>4</v>
      </c>
      <c r="J375" s="28">
        <v>13</v>
      </c>
      <c r="K375" s="28">
        <v>13</v>
      </c>
      <c r="L375" s="28">
        <v>12</v>
      </c>
      <c r="M375" s="28">
        <v>12</v>
      </c>
      <c r="N375" s="28">
        <v>12</v>
      </c>
      <c r="O375" s="28">
        <v>12</v>
      </c>
      <c r="P375" s="28">
        <v>12</v>
      </c>
      <c r="Q375" s="352">
        <v>4</v>
      </c>
      <c r="R375" s="352">
        <v>4</v>
      </c>
      <c r="S375" s="28">
        <v>9</v>
      </c>
      <c r="T375" s="28">
        <v>9</v>
      </c>
      <c r="U375" s="28">
        <v>9</v>
      </c>
      <c r="V375" s="28">
        <v>9</v>
      </c>
      <c r="W375" s="352">
        <v>4</v>
      </c>
      <c r="X375" s="352">
        <v>4</v>
      </c>
      <c r="Y375" s="28">
        <v>9</v>
      </c>
      <c r="Z375" s="352">
        <v>9</v>
      </c>
      <c r="AA375" s="28">
        <v>4</v>
      </c>
      <c r="AB375" s="28">
        <v>4</v>
      </c>
      <c r="AC375" s="28">
        <v>4</v>
      </c>
      <c r="AD375" s="28">
        <v>4</v>
      </c>
      <c r="AE375" s="28">
        <v>4</v>
      </c>
      <c r="AF375" s="352">
        <v>12</v>
      </c>
      <c r="AG375" s="352">
        <v>12</v>
      </c>
      <c r="AH375" s="352">
        <v>12</v>
      </c>
      <c r="AI375" s="352">
        <v>12</v>
      </c>
      <c r="AJ375" s="352">
        <v>4</v>
      </c>
      <c r="AK375" s="352">
        <v>4</v>
      </c>
      <c r="AL375" s="28">
        <v>9</v>
      </c>
      <c r="AM375" s="30">
        <v>4</v>
      </c>
    </row>
    <row r="376" spans="2:39" s="27" customFormat="1" x14ac:dyDescent="0.25">
      <c r="B376" s="344">
        <v>21</v>
      </c>
      <c r="C376" s="179">
        <v>9</v>
      </c>
      <c r="D376" s="28">
        <v>9</v>
      </c>
      <c r="E376" s="28">
        <v>4</v>
      </c>
      <c r="F376" s="28">
        <v>4</v>
      </c>
      <c r="G376" s="28">
        <v>4</v>
      </c>
      <c r="H376" s="28">
        <v>4</v>
      </c>
      <c r="I376" s="28">
        <v>4</v>
      </c>
      <c r="J376" s="28">
        <v>11</v>
      </c>
      <c r="K376" s="28">
        <v>11</v>
      </c>
      <c r="L376" s="28">
        <v>10</v>
      </c>
      <c r="M376" s="28">
        <v>10</v>
      </c>
      <c r="N376" s="28">
        <v>10</v>
      </c>
      <c r="O376" s="28">
        <v>10</v>
      </c>
      <c r="P376" s="28">
        <v>10</v>
      </c>
      <c r="Q376" s="352">
        <v>4</v>
      </c>
      <c r="R376" s="352">
        <v>4</v>
      </c>
      <c r="S376" s="28">
        <v>9</v>
      </c>
      <c r="T376" s="28">
        <v>9</v>
      </c>
      <c r="U376" s="28">
        <v>9</v>
      </c>
      <c r="V376" s="28">
        <v>9</v>
      </c>
      <c r="W376" s="352">
        <v>4</v>
      </c>
      <c r="X376" s="352">
        <v>4</v>
      </c>
      <c r="Y376" s="28">
        <v>9</v>
      </c>
      <c r="Z376" s="352">
        <v>9</v>
      </c>
      <c r="AA376" s="28">
        <v>4</v>
      </c>
      <c r="AB376" s="28">
        <v>4</v>
      </c>
      <c r="AC376" s="28">
        <v>4</v>
      </c>
      <c r="AD376" s="28">
        <v>4</v>
      </c>
      <c r="AE376" s="28">
        <v>4</v>
      </c>
      <c r="AF376" s="352">
        <v>10</v>
      </c>
      <c r="AG376" s="352">
        <v>10</v>
      </c>
      <c r="AH376" s="352">
        <v>10</v>
      </c>
      <c r="AI376" s="352">
        <v>10</v>
      </c>
      <c r="AJ376" s="352">
        <v>4</v>
      </c>
      <c r="AK376" s="352">
        <v>4</v>
      </c>
      <c r="AL376" s="28">
        <v>9</v>
      </c>
      <c r="AM376" s="30">
        <v>4</v>
      </c>
    </row>
    <row r="377" spans="2:39" s="27" customFormat="1" x14ac:dyDescent="0.25">
      <c r="B377" s="344">
        <v>22</v>
      </c>
      <c r="C377" s="179">
        <v>9</v>
      </c>
      <c r="D377" s="28">
        <v>9</v>
      </c>
      <c r="E377" s="28">
        <v>4</v>
      </c>
      <c r="F377" s="28">
        <v>4</v>
      </c>
      <c r="G377" s="28">
        <v>4</v>
      </c>
      <c r="H377" s="28">
        <v>4</v>
      </c>
      <c r="I377" s="28">
        <v>4</v>
      </c>
      <c r="J377" s="28">
        <v>11</v>
      </c>
      <c r="K377" s="28">
        <v>11</v>
      </c>
      <c r="L377" s="28">
        <v>5</v>
      </c>
      <c r="M377" s="28">
        <v>5</v>
      </c>
      <c r="N377" s="28">
        <v>5</v>
      </c>
      <c r="O377" s="28">
        <v>10</v>
      </c>
      <c r="P377" s="28">
        <v>5</v>
      </c>
      <c r="Q377" s="352">
        <v>4</v>
      </c>
      <c r="R377" s="352">
        <v>4</v>
      </c>
      <c r="S377" s="28">
        <v>9</v>
      </c>
      <c r="T377" s="28">
        <v>9</v>
      </c>
      <c r="U377" s="28">
        <v>9</v>
      </c>
      <c r="V377" s="28">
        <v>9</v>
      </c>
      <c r="W377" s="352">
        <v>4</v>
      </c>
      <c r="X377" s="352">
        <v>4</v>
      </c>
      <c r="Y377" s="28">
        <v>9</v>
      </c>
      <c r="Z377" s="352">
        <v>9</v>
      </c>
      <c r="AA377" s="28">
        <v>4</v>
      </c>
      <c r="AB377" s="28">
        <v>4</v>
      </c>
      <c r="AC377" s="28">
        <v>4</v>
      </c>
      <c r="AD377" s="28">
        <v>4</v>
      </c>
      <c r="AE377" s="28">
        <v>4</v>
      </c>
      <c r="AF377" s="352">
        <v>5</v>
      </c>
      <c r="AG377" s="352">
        <v>5</v>
      </c>
      <c r="AH377" s="352">
        <v>5</v>
      </c>
      <c r="AI377" s="352">
        <v>5</v>
      </c>
      <c r="AJ377" s="352">
        <v>4</v>
      </c>
      <c r="AK377" s="352">
        <v>4</v>
      </c>
      <c r="AL377" s="28">
        <v>9</v>
      </c>
      <c r="AM377" s="30">
        <v>4</v>
      </c>
    </row>
    <row r="378" spans="2:39" s="27" customFormat="1" x14ac:dyDescent="0.25">
      <c r="B378" s="344">
        <v>23</v>
      </c>
      <c r="C378" s="179">
        <v>9</v>
      </c>
      <c r="D378" s="28">
        <v>9</v>
      </c>
      <c r="E378" s="28">
        <v>4</v>
      </c>
      <c r="F378" s="28">
        <v>4</v>
      </c>
      <c r="G378" s="28">
        <v>4</v>
      </c>
      <c r="H378" s="28">
        <v>4</v>
      </c>
      <c r="I378" s="28">
        <v>4</v>
      </c>
      <c r="J378" s="28">
        <v>11</v>
      </c>
      <c r="K378" s="28">
        <v>11</v>
      </c>
      <c r="L378" s="28">
        <v>5</v>
      </c>
      <c r="M378" s="28">
        <v>5</v>
      </c>
      <c r="N378" s="28">
        <v>5</v>
      </c>
      <c r="O378" s="28">
        <v>8</v>
      </c>
      <c r="P378" s="28">
        <v>5</v>
      </c>
      <c r="Q378" s="352">
        <v>4</v>
      </c>
      <c r="R378" s="352">
        <v>4</v>
      </c>
      <c r="S378" s="28">
        <v>9</v>
      </c>
      <c r="T378" s="28">
        <v>9</v>
      </c>
      <c r="U378" s="28">
        <v>9</v>
      </c>
      <c r="V378" s="28">
        <v>9</v>
      </c>
      <c r="W378" s="352">
        <v>4</v>
      </c>
      <c r="X378" s="352">
        <v>4</v>
      </c>
      <c r="Y378" s="28">
        <v>9</v>
      </c>
      <c r="Z378" s="352">
        <v>9</v>
      </c>
      <c r="AA378" s="28">
        <v>4</v>
      </c>
      <c r="AB378" s="28">
        <v>4</v>
      </c>
      <c r="AC378" s="28">
        <v>4</v>
      </c>
      <c r="AD378" s="28">
        <v>4</v>
      </c>
      <c r="AE378" s="28">
        <v>4</v>
      </c>
      <c r="AF378" s="352">
        <v>5</v>
      </c>
      <c r="AG378" s="352">
        <v>5</v>
      </c>
      <c r="AH378" s="352">
        <v>5</v>
      </c>
      <c r="AI378" s="352">
        <v>5</v>
      </c>
      <c r="AJ378" s="352">
        <v>4</v>
      </c>
      <c r="AK378" s="352">
        <v>4</v>
      </c>
      <c r="AL378" s="28">
        <v>9</v>
      </c>
      <c r="AM378" s="30">
        <v>4</v>
      </c>
    </row>
    <row r="379" spans="2:39" s="27" customFormat="1" x14ac:dyDescent="0.25">
      <c r="B379" s="344">
        <v>24</v>
      </c>
      <c r="C379" s="179">
        <v>9</v>
      </c>
      <c r="D379" s="28">
        <v>9</v>
      </c>
      <c r="E379" s="28">
        <v>4</v>
      </c>
      <c r="F379" s="28">
        <v>4</v>
      </c>
      <c r="G379" s="28">
        <v>4</v>
      </c>
      <c r="H379" s="28">
        <v>4</v>
      </c>
      <c r="I379" s="28">
        <v>4</v>
      </c>
      <c r="J379" s="28">
        <v>11</v>
      </c>
      <c r="K379" s="28">
        <v>11</v>
      </c>
      <c r="L379" s="28">
        <v>5</v>
      </c>
      <c r="M379" s="28">
        <v>5</v>
      </c>
      <c r="N379" s="28">
        <v>5</v>
      </c>
      <c r="O379" s="28">
        <v>8</v>
      </c>
      <c r="P379" s="28">
        <v>5</v>
      </c>
      <c r="Q379" s="352">
        <v>4</v>
      </c>
      <c r="R379" s="352">
        <v>4</v>
      </c>
      <c r="S379" s="28">
        <v>9</v>
      </c>
      <c r="T379" s="28">
        <v>9</v>
      </c>
      <c r="U379" s="28">
        <v>9</v>
      </c>
      <c r="V379" s="28">
        <v>9</v>
      </c>
      <c r="W379" s="352">
        <v>4</v>
      </c>
      <c r="X379" s="352">
        <v>4</v>
      </c>
      <c r="Y379" s="28">
        <v>9</v>
      </c>
      <c r="Z379" s="352">
        <v>9</v>
      </c>
      <c r="AA379" s="28">
        <v>4</v>
      </c>
      <c r="AB379" s="28">
        <v>4</v>
      </c>
      <c r="AC379" s="28">
        <v>4</v>
      </c>
      <c r="AD379" s="28">
        <v>4</v>
      </c>
      <c r="AE379" s="28">
        <v>4</v>
      </c>
      <c r="AF379" s="352">
        <v>5</v>
      </c>
      <c r="AG379" s="352">
        <v>5</v>
      </c>
      <c r="AH379" s="352">
        <v>5</v>
      </c>
      <c r="AI379" s="352">
        <v>5</v>
      </c>
      <c r="AJ379" s="352">
        <v>4</v>
      </c>
      <c r="AK379" s="352">
        <v>4</v>
      </c>
      <c r="AL379" s="28">
        <v>9</v>
      </c>
      <c r="AM379" s="30">
        <v>4</v>
      </c>
    </row>
    <row r="380" spans="2:39" s="27" customFormat="1" x14ac:dyDescent="0.25">
      <c r="B380" s="344">
        <v>25</v>
      </c>
      <c r="C380" s="179">
        <v>9</v>
      </c>
      <c r="D380" s="28">
        <v>9</v>
      </c>
      <c r="E380" s="28">
        <v>4</v>
      </c>
      <c r="F380" s="28">
        <v>4</v>
      </c>
      <c r="G380" s="28">
        <v>4</v>
      </c>
      <c r="H380" s="28">
        <v>4</v>
      </c>
      <c r="I380" s="28">
        <v>4</v>
      </c>
      <c r="J380" s="28">
        <v>11</v>
      </c>
      <c r="K380" s="28">
        <v>11</v>
      </c>
      <c r="L380" s="28">
        <v>5</v>
      </c>
      <c r="M380" s="28">
        <v>5</v>
      </c>
      <c r="N380" s="28">
        <v>5</v>
      </c>
      <c r="O380" s="28">
        <v>6</v>
      </c>
      <c r="P380" s="28">
        <v>5</v>
      </c>
      <c r="Q380" s="352">
        <v>4</v>
      </c>
      <c r="R380" s="352">
        <v>4</v>
      </c>
      <c r="S380" s="28">
        <v>9</v>
      </c>
      <c r="T380" s="28">
        <v>9</v>
      </c>
      <c r="U380" s="28">
        <v>9</v>
      </c>
      <c r="V380" s="28">
        <v>9</v>
      </c>
      <c r="W380" s="352">
        <v>4</v>
      </c>
      <c r="X380" s="352">
        <v>4</v>
      </c>
      <c r="Y380" s="28">
        <v>9</v>
      </c>
      <c r="Z380" s="352">
        <v>9</v>
      </c>
      <c r="AA380" s="28">
        <v>4</v>
      </c>
      <c r="AB380" s="28">
        <v>4</v>
      </c>
      <c r="AC380" s="28">
        <v>4</v>
      </c>
      <c r="AD380" s="28">
        <v>4</v>
      </c>
      <c r="AE380" s="28">
        <v>4</v>
      </c>
      <c r="AF380" s="352">
        <v>5</v>
      </c>
      <c r="AG380" s="352">
        <v>5</v>
      </c>
      <c r="AH380" s="352">
        <v>5</v>
      </c>
      <c r="AI380" s="352">
        <v>5</v>
      </c>
      <c r="AJ380" s="352">
        <v>4</v>
      </c>
      <c r="AK380" s="352">
        <v>4</v>
      </c>
      <c r="AL380" s="28">
        <v>9</v>
      </c>
      <c r="AM380" s="30">
        <v>4</v>
      </c>
    </row>
    <row r="381" spans="2:39" s="27" customFormat="1" x14ac:dyDescent="0.25">
      <c r="B381" s="344">
        <v>26</v>
      </c>
      <c r="C381" s="179">
        <v>9</v>
      </c>
      <c r="D381" s="28">
        <v>9</v>
      </c>
      <c r="E381" s="28">
        <v>4</v>
      </c>
      <c r="F381" s="28">
        <v>4</v>
      </c>
      <c r="G381" s="28">
        <v>4</v>
      </c>
      <c r="H381" s="28">
        <v>4</v>
      </c>
      <c r="I381" s="28">
        <v>4</v>
      </c>
      <c r="J381" s="28">
        <v>11</v>
      </c>
      <c r="K381" s="28">
        <v>11</v>
      </c>
      <c r="L381" s="28">
        <v>5</v>
      </c>
      <c r="M381" s="28">
        <v>5</v>
      </c>
      <c r="N381" s="28">
        <v>5</v>
      </c>
      <c r="O381" s="28">
        <v>6</v>
      </c>
      <c r="P381" s="28">
        <v>5</v>
      </c>
      <c r="Q381" s="352">
        <v>4</v>
      </c>
      <c r="R381" s="352">
        <v>4</v>
      </c>
      <c r="S381" s="28">
        <v>9</v>
      </c>
      <c r="T381" s="28">
        <v>9</v>
      </c>
      <c r="U381" s="28">
        <v>9</v>
      </c>
      <c r="V381" s="28">
        <v>9</v>
      </c>
      <c r="W381" s="352">
        <v>4</v>
      </c>
      <c r="X381" s="352">
        <v>4</v>
      </c>
      <c r="Y381" s="28">
        <v>9</v>
      </c>
      <c r="Z381" s="352">
        <v>9</v>
      </c>
      <c r="AA381" s="28">
        <v>4</v>
      </c>
      <c r="AB381" s="28">
        <v>4</v>
      </c>
      <c r="AC381" s="28">
        <v>4</v>
      </c>
      <c r="AD381" s="28">
        <v>4</v>
      </c>
      <c r="AE381" s="28">
        <v>4</v>
      </c>
      <c r="AF381" s="352">
        <v>5</v>
      </c>
      <c r="AG381" s="352">
        <v>5</v>
      </c>
      <c r="AH381" s="352">
        <v>5</v>
      </c>
      <c r="AI381" s="352">
        <v>5</v>
      </c>
      <c r="AJ381" s="352">
        <v>4</v>
      </c>
      <c r="AK381" s="352">
        <v>4</v>
      </c>
      <c r="AL381" s="28">
        <v>9</v>
      </c>
      <c r="AM381" s="30">
        <v>4</v>
      </c>
    </row>
    <row r="382" spans="2:39" s="27" customFormat="1" x14ac:dyDescent="0.25">
      <c r="B382" s="344">
        <v>27</v>
      </c>
      <c r="C382" s="179">
        <v>9</v>
      </c>
      <c r="D382" s="28">
        <v>9</v>
      </c>
      <c r="E382" s="28">
        <v>4</v>
      </c>
      <c r="F382" s="28">
        <v>4</v>
      </c>
      <c r="G382" s="28">
        <v>4</v>
      </c>
      <c r="H382" s="28">
        <v>4</v>
      </c>
      <c r="I382" s="28">
        <v>4</v>
      </c>
      <c r="J382" s="28">
        <v>11</v>
      </c>
      <c r="K382" s="28">
        <v>11</v>
      </c>
      <c r="L382" s="28">
        <v>5</v>
      </c>
      <c r="M382" s="28">
        <v>5</v>
      </c>
      <c r="N382" s="28">
        <v>5</v>
      </c>
      <c r="O382" s="28">
        <v>4</v>
      </c>
      <c r="P382" s="28">
        <v>5</v>
      </c>
      <c r="Q382" s="352">
        <v>4</v>
      </c>
      <c r="R382" s="352">
        <v>4</v>
      </c>
      <c r="S382" s="28">
        <v>9</v>
      </c>
      <c r="T382" s="28">
        <v>9</v>
      </c>
      <c r="U382" s="28">
        <v>9</v>
      </c>
      <c r="V382" s="28">
        <v>9</v>
      </c>
      <c r="W382" s="352">
        <v>4</v>
      </c>
      <c r="X382" s="352">
        <v>4</v>
      </c>
      <c r="Y382" s="28">
        <v>9</v>
      </c>
      <c r="Z382" s="352">
        <v>9</v>
      </c>
      <c r="AA382" s="28">
        <v>4</v>
      </c>
      <c r="AB382" s="28">
        <v>4</v>
      </c>
      <c r="AC382" s="28">
        <v>4</v>
      </c>
      <c r="AD382" s="28">
        <v>4</v>
      </c>
      <c r="AE382" s="28">
        <v>4</v>
      </c>
      <c r="AF382" s="352">
        <v>5</v>
      </c>
      <c r="AG382" s="352">
        <v>5</v>
      </c>
      <c r="AH382" s="352">
        <v>5</v>
      </c>
      <c r="AI382" s="352">
        <v>5</v>
      </c>
      <c r="AJ382" s="352">
        <v>4</v>
      </c>
      <c r="AK382" s="352">
        <v>4</v>
      </c>
      <c r="AL382" s="28">
        <v>9</v>
      </c>
      <c r="AM382" s="30">
        <v>4</v>
      </c>
    </row>
    <row r="383" spans="2:39" s="27" customFormat="1" x14ac:dyDescent="0.25">
      <c r="B383" s="344">
        <v>28</v>
      </c>
      <c r="C383" s="179">
        <v>9</v>
      </c>
      <c r="D383" s="28">
        <v>9</v>
      </c>
      <c r="E383" s="28">
        <v>4</v>
      </c>
      <c r="F383" s="28">
        <v>4</v>
      </c>
      <c r="G383" s="28">
        <v>4</v>
      </c>
      <c r="H383" s="28">
        <v>4</v>
      </c>
      <c r="I383" s="28">
        <v>4</v>
      </c>
      <c r="J383" s="28">
        <v>11</v>
      </c>
      <c r="K383" s="28">
        <v>11</v>
      </c>
      <c r="L383" s="28">
        <v>5</v>
      </c>
      <c r="M383" s="28">
        <v>5</v>
      </c>
      <c r="N383" s="28">
        <v>5</v>
      </c>
      <c r="O383" s="28">
        <v>4</v>
      </c>
      <c r="P383" s="28">
        <v>5</v>
      </c>
      <c r="Q383" s="352">
        <v>4</v>
      </c>
      <c r="R383" s="352">
        <v>4</v>
      </c>
      <c r="S383" s="28">
        <v>9</v>
      </c>
      <c r="T383" s="28">
        <v>9</v>
      </c>
      <c r="U383" s="28">
        <v>9</v>
      </c>
      <c r="V383" s="28">
        <v>9</v>
      </c>
      <c r="W383" s="352">
        <v>4</v>
      </c>
      <c r="X383" s="352">
        <v>4</v>
      </c>
      <c r="Y383" s="28">
        <v>9</v>
      </c>
      <c r="Z383" s="352">
        <v>9</v>
      </c>
      <c r="AA383" s="28">
        <v>4</v>
      </c>
      <c r="AB383" s="28">
        <v>4</v>
      </c>
      <c r="AC383" s="28">
        <v>4</v>
      </c>
      <c r="AD383" s="28">
        <v>4</v>
      </c>
      <c r="AE383" s="28">
        <v>4</v>
      </c>
      <c r="AF383" s="352">
        <v>5</v>
      </c>
      <c r="AG383" s="352">
        <v>5</v>
      </c>
      <c r="AH383" s="352">
        <v>5</v>
      </c>
      <c r="AI383" s="352">
        <v>5</v>
      </c>
      <c r="AJ383" s="352">
        <v>4</v>
      </c>
      <c r="AK383" s="352">
        <v>4</v>
      </c>
      <c r="AL383" s="28">
        <v>9</v>
      </c>
      <c r="AM383" s="30">
        <v>4</v>
      </c>
    </row>
    <row r="384" spans="2:39" s="27" customFormat="1" x14ac:dyDescent="0.25">
      <c r="B384" s="344">
        <v>29</v>
      </c>
      <c r="C384" s="179">
        <v>9</v>
      </c>
      <c r="D384" s="28">
        <v>9</v>
      </c>
      <c r="E384" s="28">
        <v>4</v>
      </c>
      <c r="F384" s="28">
        <v>4</v>
      </c>
      <c r="G384" s="28">
        <v>4</v>
      </c>
      <c r="H384" s="28">
        <v>4</v>
      </c>
      <c r="I384" s="28">
        <v>4</v>
      </c>
      <c r="J384" s="28">
        <v>11</v>
      </c>
      <c r="K384" s="28">
        <v>11</v>
      </c>
      <c r="L384" s="28">
        <v>5</v>
      </c>
      <c r="M384" s="28">
        <v>5</v>
      </c>
      <c r="N384" s="28">
        <v>5</v>
      </c>
      <c r="O384" s="28">
        <v>4</v>
      </c>
      <c r="P384" s="28">
        <v>5</v>
      </c>
      <c r="Q384" s="352">
        <v>4</v>
      </c>
      <c r="R384" s="352">
        <v>4</v>
      </c>
      <c r="S384" s="28">
        <v>9</v>
      </c>
      <c r="T384" s="28">
        <v>9</v>
      </c>
      <c r="U384" s="28">
        <v>9</v>
      </c>
      <c r="V384" s="28">
        <v>9</v>
      </c>
      <c r="W384" s="352">
        <v>4</v>
      </c>
      <c r="X384" s="352">
        <v>4</v>
      </c>
      <c r="Y384" s="28">
        <v>9</v>
      </c>
      <c r="Z384" s="352">
        <v>9</v>
      </c>
      <c r="AA384" s="28">
        <v>4</v>
      </c>
      <c r="AB384" s="28">
        <v>4</v>
      </c>
      <c r="AC384" s="28">
        <v>4</v>
      </c>
      <c r="AD384" s="28">
        <v>4</v>
      </c>
      <c r="AE384" s="28">
        <v>4</v>
      </c>
      <c r="AF384" s="352">
        <v>5</v>
      </c>
      <c r="AG384" s="352">
        <v>5</v>
      </c>
      <c r="AH384" s="352">
        <v>5</v>
      </c>
      <c r="AI384" s="352">
        <v>5</v>
      </c>
      <c r="AJ384" s="352">
        <v>4</v>
      </c>
      <c r="AK384" s="352">
        <v>4</v>
      </c>
      <c r="AL384" s="28">
        <v>9</v>
      </c>
      <c r="AM384" s="30">
        <v>4</v>
      </c>
    </row>
    <row r="385" spans="2:39" s="27" customFormat="1" x14ac:dyDescent="0.25">
      <c r="B385" s="344">
        <v>30</v>
      </c>
      <c r="C385" s="179">
        <v>9</v>
      </c>
      <c r="D385" s="28">
        <v>9</v>
      </c>
      <c r="E385" s="28">
        <v>4</v>
      </c>
      <c r="F385" s="28">
        <v>4</v>
      </c>
      <c r="G385" s="28">
        <v>4</v>
      </c>
      <c r="H385" s="28">
        <v>4</v>
      </c>
      <c r="I385" s="28">
        <v>4</v>
      </c>
      <c r="J385" s="28">
        <v>11</v>
      </c>
      <c r="K385" s="28">
        <v>11</v>
      </c>
      <c r="L385" s="28">
        <v>5</v>
      </c>
      <c r="M385" s="28">
        <v>5</v>
      </c>
      <c r="N385" s="28">
        <v>5</v>
      </c>
      <c r="O385" s="28">
        <v>4</v>
      </c>
      <c r="P385" s="28">
        <v>5</v>
      </c>
      <c r="Q385" s="352">
        <v>4</v>
      </c>
      <c r="R385" s="352">
        <v>4</v>
      </c>
      <c r="S385" s="28">
        <v>9</v>
      </c>
      <c r="T385" s="28">
        <v>9</v>
      </c>
      <c r="U385" s="28">
        <v>9</v>
      </c>
      <c r="V385" s="28">
        <v>9</v>
      </c>
      <c r="W385" s="352">
        <v>4</v>
      </c>
      <c r="X385" s="352">
        <v>4</v>
      </c>
      <c r="Y385" s="28">
        <v>9</v>
      </c>
      <c r="Z385" s="352">
        <v>9</v>
      </c>
      <c r="AA385" s="28">
        <v>4</v>
      </c>
      <c r="AB385" s="28">
        <v>4</v>
      </c>
      <c r="AC385" s="28">
        <v>4</v>
      </c>
      <c r="AD385" s="28">
        <v>4</v>
      </c>
      <c r="AE385" s="28">
        <v>4</v>
      </c>
      <c r="AF385" s="352">
        <v>5</v>
      </c>
      <c r="AG385" s="352">
        <v>5</v>
      </c>
      <c r="AH385" s="352">
        <v>5</v>
      </c>
      <c r="AI385" s="352">
        <v>5</v>
      </c>
      <c r="AJ385" s="352">
        <v>4</v>
      </c>
      <c r="AK385" s="352">
        <v>4</v>
      </c>
      <c r="AL385" s="28">
        <v>9</v>
      </c>
      <c r="AM385" s="30">
        <v>4</v>
      </c>
    </row>
    <row r="386" spans="2:39" s="27" customFormat="1" x14ac:dyDescent="0.25">
      <c r="B386" s="344">
        <v>31</v>
      </c>
      <c r="C386" s="179">
        <v>9</v>
      </c>
      <c r="D386" s="28">
        <v>9</v>
      </c>
      <c r="E386" s="28">
        <v>4</v>
      </c>
      <c r="F386" s="28">
        <v>4</v>
      </c>
      <c r="G386" s="28">
        <v>4</v>
      </c>
      <c r="H386" s="28">
        <v>4</v>
      </c>
      <c r="I386" s="28">
        <v>4</v>
      </c>
      <c r="J386" s="28">
        <v>11</v>
      </c>
      <c r="K386" s="28">
        <v>11</v>
      </c>
      <c r="L386" s="28">
        <v>5</v>
      </c>
      <c r="M386" s="28">
        <v>5</v>
      </c>
      <c r="N386" s="28">
        <v>5</v>
      </c>
      <c r="O386" s="28">
        <v>4</v>
      </c>
      <c r="P386" s="28">
        <v>5</v>
      </c>
      <c r="Q386" s="352">
        <v>4</v>
      </c>
      <c r="R386" s="352">
        <v>4</v>
      </c>
      <c r="S386" s="28">
        <v>9</v>
      </c>
      <c r="T386" s="28">
        <v>9</v>
      </c>
      <c r="U386" s="28">
        <v>9</v>
      </c>
      <c r="V386" s="28">
        <v>9</v>
      </c>
      <c r="W386" s="352">
        <v>4</v>
      </c>
      <c r="X386" s="352">
        <v>4</v>
      </c>
      <c r="Y386" s="28">
        <v>9</v>
      </c>
      <c r="Z386" s="352">
        <v>9</v>
      </c>
      <c r="AA386" s="28">
        <v>4</v>
      </c>
      <c r="AB386" s="28">
        <v>4</v>
      </c>
      <c r="AC386" s="28">
        <v>4</v>
      </c>
      <c r="AD386" s="28">
        <v>4</v>
      </c>
      <c r="AE386" s="28">
        <v>4</v>
      </c>
      <c r="AF386" s="352">
        <v>5</v>
      </c>
      <c r="AG386" s="352">
        <v>5</v>
      </c>
      <c r="AH386" s="352">
        <v>5</v>
      </c>
      <c r="AI386" s="352">
        <v>5</v>
      </c>
      <c r="AJ386" s="352">
        <v>4</v>
      </c>
      <c r="AK386" s="352">
        <v>4</v>
      </c>
      <c r="AL386" s="28">
        <v>9</v>
      </c>
      <c r="AM386" s="30">
        <v>4</v>
      </c>
    </row>
    <row r="387" spans="2:39" s="27" customFormat="1" x14ac:dyDescent="0.25">
      <c r="B387" s="344">
        <v>32</v>
      </c>
      <c r="C387" s="179">
        <v>9</v>
      </c>
      <c r="D387" s="28">
        <v>9</v>
      </c>
      <c r="E387" s="28">
        <v>4</v>
      </c>
      <c r="F387" s="28">
        <v>4</v>
      </c>
      <c r="G387" s="28">
        <v>4</v>
      </c>
      <c r="H387" s="28">
        <v>4</v>
      </c>
      <c r="I387" s="28">
        <v>4</v>
      </c>
      <c r="J387" s="28">
        <v>11</v>
      </c>
      <c r="K387" s="28">
        <v>11</v>
      </c>
      <c r="L387" s="28">
        <v>5</v>
      </c>
      <c r="M387" s="28">
        <v>5</v>
      </c>
      <c r="N387" s="28">
        <v>5</v>
      </c>
      <c r="O387" s="28">
        <v>4</v>
      </c>
      <c r="P387" s="28">
        <v>5</v>
      </c>
      <c r="Q387" s="352">
        <v>4</v>
      </c>
      <c r="R387" s="352">
        <v>4</v>
      </c>
      <c r="S387" s="28">
        <v>9</v>
      </c>
      <c r="T387" s="28">
        <v>9</v>
      </c>
      <c r="U387" s="28">
        <v>9</v>
      </c>
      <c r="V387" s="28">
        <v>9</v>
      </c>
      <c r="W387" s="352">
        <v>4</v>
      </c>
      <c r="X387" s="352">
        <v>4</v>
      </c>
      <c r="Y387" s="28">
        <v>9</v>
      </c>
      <c r="Z387" s="352">
        <v>9</v>
      </c>
      <c r="AA387" s="28">
        <v>4</v>
      </c>
      <c r="AB387" s="28">
        <v>4</v>
      </c>
      <c r="AC387" s="28">
        <v>4</v>
      </c>
      <c r="AD387" s="28">
        <v>4</v>
      </c>
      <c r="AE387" s="28">
        <v>4</v>
      </c>
      <c r="AF387" s="352">
        <v>5</v>
      </c>
      <c r="AG387" s="352">
        <v>5</v>
      </c>
      <c r="AH387" s="352">
        <v>5</v>
      </c>
      <c r="AI387" s="352">
        <v>5</v>
      </c>
      <c r="AJ387" s="352">
        <v>4</v>
      </c>
      <c r="AK387" s="352">
        <v>4</v>
      </c>
      <c r="AL387" s="28">
        <v>9</v>
      </c>
      <c r="AM387" s="30">
        <v>4</v>
      </c>
    </row>
    <row r="388" spans="2:39" s="27" customFormat="1" x14ac:dyDescent="0.25">
      <c r="B388" s="344">
        <v>33</v>
      </c>
      <c r="C388" s="179">
        <v>9</v>
      </c>
      <c r="D388" s="28">
        <v>9</v>
      </c>
      <c r="E388" s="28">
        <v>4</v>
      </c>
      <c r="F388" s="28">
        <v>4</v>
      </c>
      <c r="G388" s="28">
        <v>4</v>
      </c>
      <c r="H388" s="28">
        <v>4</v>
      </c>
      <c r="I388" s="28">
        <v>4</v>
      </c>
      <c r="J388" s="28">
        <v>11</v>
      </c>
      <c r="K388" s="28">
        <v>11</v>
      </c>
      <c r="L388" s="28">
        <v>5</v>
      </c>
      <c r="M388" s="28">
        <v>5</v>
      </c>
      <c r="N388" s="28">
        <v>5</v>
      </c>
      <c r="O388" s="28">
        <v>4</v>
      </c>
      <c r="P388" s="28">
        <v>5</v>
      </c>
      <c r="Q388" s="352">
        <v>4</v>
      </c>
      <c r="R388" s="352">
        <v>4</v>
      </c>
      <c r="S388" s="28">
        <v>9</v>
      </c>
      <c r="T388" s="28">
        <v>9</v>
      </c>
      <c r="U388" s="28">
        <v>9</v>
      </c>
      <c r="V388" s="28">
        <v>9</v>
      </c>
      <c r="W388" s="352">
        <v>4</v>
      </c>
      <c r="X388" s="352">
        <v>4</v>
      </c>
      <c r="Y388" s="28">
        <v>9</v>
      </c>
      <c r="Z388" s="352">
        <v>9</v>
      </c>
      <c r="AA388" s="28">
        <v>4</v>
      </c>
      <c r="AB388" s="28">
        <v>4</v>
      </c>
      <c r="AC388" s="28">
        <v>4</v>
      </c>
      <c r="AD388" s="28">
        <v>4</v>
      </c>
      <c r="AE388" s="28">
        <v>4</v>
      </c>
      <c r="AF388" s="352">
        <v>5</v>
      </c>
      <c r="AG388" s="352">
        <v>5</v>
      </c>
      <c r="AH388" s="352">
        <v>5</v>
      </c>
      <c r="AI388" s="352">
        <v>5</v>
      </c>
      <c r="AJ388" s="352">
        <v>4</v>
      </c>
      <c r="AK388" s="352">
        <v>4</v>
      </c>
      <c r="AL388" s="28">
        <v>9</v>
      </c>
      <c r="AM388" s="30">
        <v>4</v>
      </c>
    </row>
    <row r="389" spans="2:39" s="27" customFormat="1" x14ac:dyDescent="0.25">
      <c r="B389" s="344">
        <v>34</v>
      </c>
      <c r="C389" s="179">
        <v>9</v>
      </c>
      <c r="D389" s="28">
        <v>9</v>
      </c>
      <c r="E389" s="28">
        <v>4</v>
      </c>
      <c r="F389" s="28">
        <v>4</v>
      </c>
      <c r="G389" s="28">
        <v>4</v>
      </c>
      <c r="H389" s="28">
        <v>4</v>
      </c>
      <c r="I389" s="28">
        <v>4</v>
      </c>
      <c r="J389" s="28">
        <v>11</v>
      </c>
      <c r="K389" s="28">
        <v>11</v>
      </c>
      <c r="L389" s="28">
        <v>5</v>
      </c>
      <c r="M389" s="28">
        <v>5</v>
      </c>
      <c r="N389" s="28">
        <v>5</v>
      </c>
      <c r="O389" s="28">
        <v>4</v>
      </c>
      <c r="P389" s="28">
        <v>5</v>
      </c>
      <c r="Q389" s="352">
        <v>4</v>
      </c>
      <c r="R389" s="352">
        <v>4</v>
      </c>
      <c r="S389" s="28">
        <v>9</v>
      </c>
      <c r="T389" s="28">
        <v>9</v>
      </c>
      <c r="U389" s="28">
        <v>9</v>
      </c>
      <c r="V389" s="28">
        <v>9</v>
      </c>
      <c r="W389" s="352">
        <v>4</v>
      </c>
      <c r="X389" s="352">
        <v>4</v>
      </c>
      <c r="Y389" s="28">
        <v>9</v>
      </c>
      <c r="Z389" s="352">
        <v>9</v>
      </c>
      <c r="AA389" s="28">
        <v>4</v>
      </c>
      <c r="AB389" s="28">
        <v>4</v>
      </c>
      <c r="AC389" s="28">
        <v>4</v>
      </c>
      <c r="AD389" s="28">
        <v>4</v>
      </c>
      <c r="AE389" s="28">
        <v>4</v>
      </c>
      <c r="AF389" s="352">
        <v>5</v>
      </c>
      <c r="AG389" s="352">
        <v>5</v>
      </c>
      <c r="AH389" s="352">
        <v>5</v>
      </c>
      <c r="AI389" s="352">
        <v>5</v>
      </c>
      <c r="AJ389" s="352">
        <v>4</v>
      </c>
      <c r="AK389" s="352">
        <v>4</v>
      </c>
      <c r="AL389" s="28">
        <v>9</v>
      </c>
      <c r="AM389" s="30">
        <v>4</v>
      </c>
    </row>
    <row r="390" spans="2:39" s="27" customFormat="1" x14ac:dyDescent="0.25">
      <c r="B390" s="344">
        <v>35</v>
      </c>
      <c r="C390" s="179">
        <v>9</v>
      </c>
      <c r="D390" s="28">
        <v>9</v>
      </c>
      <c r="E390" s="28">
        <v>4</v>
      </c>
      <c r="F390" s="28">
        <v>4</v>
      </c>
      <c r="G390" s="28">
        <v>4</v>
      </c>
      <c r="H390" s="28">
        <v>4</v>
      </c>
      <c r="I390" s="28">
        <v>4</v>
      </c>
      <c r="J390" s="28">
        <v>11</v>
      </c>
      <c r="K390" s="28">
        <v>11</v>
      </c>
      <c r="L390" s="28">
        <v>5</v>
      </c>
      <c r="M390" s="28">
        <v>5</v>
      </c>
      <c r="N390" s="28">
        <v>5</v>
      </c>
      <c r="O390" s="28">
        <v>4</v>
      </c>
      <c r="P390" s="28">
        <v>5</v>
      </c>
      <c r="Q390" s="352">
        <v>4</v>
      </c>
      <c r="R390" s="352">
        <v>4</v>
      </c>
      <c r="S390" s="28">
        <v>9</v>
      </c>
      <c r="T390" s="28">
        <v>9</v>
      </c>
      <c r="U390" s="28">
        <v>9</v>
      </c>
      <c r="V390" s="28">
        <v>9</v>
      </c>
      <c r="W390" s="352">
        <v>4</v>
      </c>
      <c r="X390" s="352">
        <v>4</v>
      </c>
      <c r="Y390" s="28">
        <v>9</v>
      </c>
      <c r="Z390" s="352">
        <v>9</v>
      </c>
      <c r="AA390" s="28">
        <v>4</v>
      </c>
      <c r="AB390" s="28">
        <v>4</v>
      </c>
      <c r="AC390" s="28">
        <v>4</v>
      </c>
      <c r="AD390" s="28">
        <v>4</v>
      </c>
      <c r="AE390" s="28">
        <v>4</v>
      </c>
      <c r="AF390" s="352">
        <v>5</v>
      </c>
      <c r="AG390" s="352">
        <v>5</v>
      </c>
      <c r="AH390" s="352">
        <v>5</v>
      </c>
      <c r="AI390" s="352">
        <v>5</v>
      </c>
      <c r="AJ390" s="352">
        <v>4</v>
      </c>
      <c r="AK390" s="352">
        <v>4</v>
      </c>
      <c r="AL390" s="28">
        <v>9</v>
      </c>
      <c r="AM390" s="30">
        <v>4</v>
      </c>
    </row>
    <row r="391" spans="2:39" s="27" customFormat="1" ht="15.75" thickBot="1" x14ac:dyDescent="0.3">
      <c r="B391" s="107">
        <v>36</v>
      </c>
      <c r="C391" s="213">
        <v>9</v>
      </c>
      <c r="D391" s="32">
        <v>9</v>
      </c>
      <c r="E391" s="32">
        <v>4</v>
      </c>
      <c r="F391" s="32">
        <v>4</v>
      </c>
      <c r="G391" s="32">
        <v>4</v>
      </c>
      <c r="H391" s="32">
        <v>4</v>
      </c>
      <c r="I391" s="32">
        <v>4</v>
      </c>
      <c r="J391" s="32">
        <v>11</v>
      </c>
      <c r="K391" s="32">
        <v>11</v>
      </c>
      <c r="L391" s="32">
        <v>5</v>
      </c>
      <c r="M391" s="32">
        <v>5</v>
      </c>
      <c r="N391" s="32">
        <v>5</v>
      </c>
      <c r="O391" s="32">
        <v>4</v>
      </c>
      <c r="P391" s="32">
        <v>5</v>
      </c>
      <c r="Q391" s="353">
        <v>4</v>
      </c>
      <c r="R391" s="353">
        <v>4</v>
      </c>
      <c r="S391" s="32">
        <v>9</v>
      </c>
      <c r="T391" s="32">
        <v>9</v>
      </c>
      <c r="U391" s="32">
        <v>9</v>
      </c>
      <c r="V391" s="32">
        <v>9</v>
      </c>
      <c r="W391" s="353">
        <v>4</v>
      </c>
      <c r="X391" s="353">
        <v>4</v>
      </c>
      <c r="Y391" s="32">
        <v>9</v>
      </c>
      <c r="Z391" s="353">
        <v>9</v>
      </c>
      <c r="AA391" s="32">
        <v>4</v>
      </c>
      <c r="AB391" s="32">
        <v>4</v>
      </c>
      <c r="AC391" s="32">
        <v>4</v>
      </c>
      <c r="AD391" s="32">
        <v>4</v>
      </c>
      <c r="AE391" s="32">
        <v>4</v>
      </c>
      <c r="AF391" s="353">
        <v>5</v>
      </c>
      <c r="AG391" s="353">
        <v>5</v>
      </c>
      <c r="AH391" s="353">
        <v>5</v>
      </c>
      <c r="AI391" s="353">
        <v>5</v>
      </c>
      <c r="AJ391" s="353">
        <v>4</v>
      </c>
      <c r="AK391" s="353">
        <v>4</v>
      </c>
      <c r="AL391" s="32">
        <v>9</v>
      </c>
      <c r="AM391" s="33">
        <v>4</v>
      </c>
    </row>
    <row r="392" spans="2:39" s="27" customFormat="1" x14ac:dyDescent="0.25">
      <c r="B392" s="26"/>
      <c r="Y392"/>
      <c r="Z392"/>
      <c r="AA392"/>
    </row>
    <row r="393" spans="2:39" s="27" customFormat="1" ht="19.5" thickBot="1" x14ac:dyDescent="0.35">
      <c r="B393" s="121" t="s">
        <v>398</v>
      </c>
      <c r="C393" s="27" t="s">
        <v>248</v>
      </c>
      <c r="D393" s="27" t="s">
        <v>61</v>
      </c>
      <c r="E393" s="27" t="s">
        <v>62</v>
      </c>
      <c r="F393" s="27" t="s">
        <v>94</v>
      </c>
      <c r="G393" s="27" t="s">
        <v>86</v>
      </c>
      <c r="H393" s="27" t="s">
        <v>1449</v>
      </c>
      <c r="I393" s="27" t="s">
        <v>1450</v>
      </c>
      <c r="J393" s="27" t="s">
        <v>102</v>
      </c>
      <c r="K393" s="27" t="s">
        <v>117</v>
      </c>
      <c r="L393" s="27" t="s">
        <v>126</v>
      </c>
      <c r="M393" s="27" t="s">
        <v>1558</v>
      </c>
      <c r="N393" s="27" t="s">
        <v>136</v>
      </c>
      <c r="O393" s="27" t="s">
        <v>361</v>
      </c>
      <c r="P393" s="27" t="s">
        <v>1451</v>
      </c>
      <c r="Q393" s="349" t="s">
        <v>1453</v>
      </c>
      <c r="R393" s="349" t="s">
        <v>1454</v>
      </c>
      <c r="S393" s="27" t="s">
        <v>1455</v>
      </c>
      <c r="T393" s="27" t="s">
        <v>1472</v>
      </c>
      <c r="U393" s="27" t="s">
        <v>1456</v>
      </c>
      <c r="V393" s="27" t="s">
        <v>1457</v>
      </c>
      <c r="W393" s="349" t="s">
        <v>1468</v>
      </c>
      <c r="X393" s="349" t="s">
        <v>1469</v>
      </c>
      <c r="Y393" t="s">
        <v>1470</v>
      </c>
      <c r="Z393" s="349" t="s">
        <v>1471</v>
      </c>
      <c r="AA393" t="s">
        <v>1458</v>
      </c>
      <c r="AB393" t="s">
        <v>1473</v>
      </c>
      <c r="AC393" t="s">
        <v>1467</v>
      </c>
      <c r="AD393" t="s">
        <v>1459</v>
      </c>
      <c r="AE393" t="s">
        <v>1460</v>
      </c>
      <c r="AF393" s="2" t="s">
        <v>1461</v>
      </c>
      <c r="AG393" s="2" t="s">
        <v>1462</v>
      </c>
      <c r="AH393" s="349" t="s">
        <v>1474</v>
      </c>
      <c r="AI393" s="349" t="s">
        <v>1507</v>
      </c>
      <c r="AJ393" s="349" t="s">
        <v>1463</v>
      </c>
      <c r="AK393" s="349" t="s">
        <v>1464</v>
      </c>
      <c r="AL393" s="27" t="s">
        <v>1466</v>
      </c>
      <c r="AM393" s="27" t="s">
        <v>1465</v>
      </c>
    </row>
    <row r="394" spans="2:39" s="27" customFormat="1" ht="15.75" thickBot="1" x14ac:dyDescent="0.3">
      <c r="B394" s="414" t="s">
        <v>1682</v>
      </c>
      <c r="C394" s="197">
        <v>1</v>
      </c>
      <c r="D394" s="138">
        <v>2</v>
      </c>
      <c r="E394" s="138">
        <v>3</v>
      </c>
      <c r="F394" s="138">
        <v>4</v>
      </c>
      <c r="G394" s="138">
        <v>5</v>
      </c>
      <c r="H394" s="138">
        <v>6</v>
      </c>
      <c r="I394" s="138">
        <v>7</v>
      </c>
      <c r="J394" s="138">
        <v>8</v>
      </c>
      <c r="K394" s="138">
        <v>9</v>
      </c>
      <c r="L394" s="138">
        <v>10</v>
      </c>
      <c r="M394" s="138">
        <v>11</v>
      </c>
      <c r="N394" s="138">
        <v>12</v>
      </c>
      <c r="O394" s="138">
        <v>13</v>
      </c>
      <c r="P394" s="138">
        <v>14</v>
      </c>
      <c r="Q394" s="350">
        <v>15</v>
      </c>
      <c r="R394" s="350">
        <v>16</v>
      </c>
      <c r="S394" s="138">
        <v>17</v>
      </c>
      <c r="T394" s="138">
        <v>18</v>
      </c>
      <c r="U394" s="138">
        <v>19</v>
      </c>
      <c r="V394" s="138">
        <v>20</v>
      </c>
      <c r="W394" s="350">
        <v>21</v>
      </c>
      <c r="X394" s="350">
        <v>22</v>
      </c>
      <c r="Y394" s="138">
        <v>23</v>
      </c>
      <c r="Z394" s="350">
        <v>24</v>
      </c>
      <c r="AA394" s="138">
        <v>25</v>
      </c>
      <c r="AB394" s="138">
        <v>26</v>
      </c>
      <c r="AC394" s="138">
        <v>27</v>
      </c>
      <c r="AD394" s="138">
        <v>28</v>
      </c>
      <c r="AE394" s="138">
        <v>29</v>
      </c>
      <c r="AF394" s="350">
        <v>30</v>
      </c>
      <c r="AG394" s="350">
        <v>31</v>
      </c>
      <c r="AH394" s="350">
        <v>32</v>
      </c>
      <c r="AI394" s="350">
        <v>33</v>
      </c>
      <c r="AJ394" s="350">
        <v>34</v>
      </c>
      <c r="AK394" s="350">
        <v>35</v>
      </c>
      <c r="AL394" s="138">
        <v>36</v>
      </c>
      <c r="AM394" s="139">
        <v>37</v>
      </c>
    </row>
    <row r="395" spans="2:39" s="27" customFormat="1" x14ac:dyDescent="0.25">
      <c r="B395" s="343">
        <v>1</v>
      </c>
      <c r="C395" s="301">
        <v>1</v>
      </c>
      <c r="D395" s="46">
        <v>1</v>
      </c>
      <c r="E395" s="46">
        <v>1</v>
      </c>
      <c r="F395" s="46">
        <v>1</v>
      </c>
      <c r="G395" s="46">
        <v>1</v>
      </c>
      <c r="H395" s="46">
        <v>1</v>
      </c>
      <c r="I395" s="46">
        <v>1</v>
      </c>
      <c r="J395" s="46">
        <v>1</v>
      </c>
      <c r="K395" s="46">
        <v>1</v>
      </c>
      <c r="L395" s="46">
        <v>1</v>
      </c>
      <c r="M395" s="46">
        <v>1</v>
      </c>
      <c r="N395" s="46">
        <v>1</v>
      </c>
      <c r="O395" s="46">
        <v>1</v>
      </c>
      <c r="P395" s="46">
        <v>1</v>
      </c>
      <c r="Q395" s="351">
        <v>1</v>
      </c>
      <c r="R395" s="351">
        <v>1</v>
      </c>
      <c r="S395" s="46">
        <v>1</v>
      </c>
      <c r="T395" s="46">
        <v>1</v>
      </c>
      <c r="U395" s="46">
        <v>1</v>
      </c>
      <c r="V395" s="46">
        <v>1</v>
      </c>
      <c r="W395" s="351">
        <v>1</v>
      </c>
      <c r="X395" s="351">
        <v>1</v>
      </c>
      <c r="Y395" s="46">
        <v>1</v>
      </c>
      <c r="Z395" s="351">
        <v>1</v>
      </c>
      <c r="AA395" s="46">
        <v>1</v>
      </c>
      <c r="AB395" s="46">
        <v>1</v>
      </c>
      <c r="AC395" s="46">
        <v>1</v>
      </c>
      <c r="AD395" s="46">
        <v>1</v>
      </c>
      <c r="AE395" s="46">
        <v>1</v>
      </c>
      <c r="AF395" s="351">
        <v>1</v>
      </c>
      <c r="AG395" s="351">
        <v>1</v>
      </c>
      <c r="AH395" s="351">
        <v>1</v>
      </c>
      <c r="AI395" s="351">
        <v>1</v>
      </c>
      <c r="AJ395" s="351">
        <v>1</v>
      </c>
      <c r="AK395" s="351">
        <v>1</v>
      </c>
      <c r="AL395" s="46">
        <v>1</v>
      </c>
      <c r="AM395" s="47">
        <v>1</v>
      </c>
    </row>
    <row r="396" spans="2:39" s="27" customFormat="1" x14ac:dyDescent="0.25">
      <c r="B396" s="344">
        <v>2</v>
      </c>
      <c r="C396" s="179">
        <v>1</v>
      </c>
      <c r="D396" s="28">
        <v>1</v>
      </c>
      <c r="E396" s="28">
        <v>1</v>
      </c>
      <c r="F396" s="28">
        <v>1</v>
      </c>
      <c r="G396" s="28">
        <v>1</v>
      </c>
      <c r="H396" s="28">
        <v>1</v>
      </c>
      <c r="I396" s="28">
        <v>1</v>
      </c>
      <c r="J396" s="28">
        <v>1</v>
      </c>
      <c r="K396" s="28">
        <v>1</v>
      </c>
      <c r="L396" s="28">
        <v>1</v>
      </c>
      <c r="M396" s="28">
        <v>1</v>
      </c>
      <c r="N396" s="28">
        <v>1</v>
      </c>
      <c r="O396" s="28">
        <v>1</v>
      </c>
      <c r="P396" s="28">
        <v>1</v>
      </c>
      <c r="Q396" s="352">
        <v>1</v>
      </c>
      <c r="R396" s="352">
        <v>1</v>
      </c>
      <c r="S396" s="28">
        <v>1</v>
      </c>
      <c r="T396" s="28">
        <v>1</v>
      </c>
      <c r="U396" s="28">
        <v>1</v>
      </c>
      <c r="V396" s="28">
        <v>1</v>
      </c>
      <c r="W396" s="352">
        <v>1</v>
      </c>
      <c r="X396" s="352">
        <v>1</v>
      </c>
      <c r="Y396" s="28">
        <v>1</v>
      </c>
      <c r="Z396" s="352">
        <v>1</v>
      </c>
      <c r="AA396" s="28">
        <v>1</v>
      </c>
      <c r="AB396" s="28">
        <v>1</v>
      </c>
      <c r="AC396" s="28">
        <v>1</v>
      </c>
      <c r="AD396" s="28">
        <v>1</v>
      </c>
      <c r="AE396" s="28">
        <v>1</v>
      </c>
      <c r="AF396" s="352">
        <v>1</v>
      </c>
      <c r="AG396" s="352">
        <v>1</v>
      </c>
      <c r="AH396" s="352">
        <v>1</v>
      </c>
      <c r="AI396" s="352">
        <v>1</v>
      </c>
      <c r="AJ396" s="352">
        <v>1</v>
      </c>
      <c r="AK396" s="352">
        <v>1</v>
      </c>
      <c r="AL396" s="28">
        <v>1</v>
      </c>
      <c r="AM396" s="30">
        <v>1</v>
      </c>
    </row>
    <row r="397" spans="2:39" s="27" customFormat="1" x14ac:dyDescent="0.25">
      <c r="B397" s="344">
        <v>3</v>
      </c>
      <c r="C397" s="179">
        <v>1</v>
      </c>
      <c r="D397" s="28">
        <v>1</v>
      </c>
      <c r="E397" s="28">
        <v>1</v>
      </c>
      <c r="F397" s="28">
        <v>1</v>
      </c>
      <c r="G397" s="28">
        <v>1</v>
      </c>
      <c r="H397" s="28">
        <v>1</v>
      </c>
      <c r="I397" s="28">
        <v>1</v>
      </c>
      <c r="J397" s="28">
        <v>1</v>
      </c>
      <c r="K397" s="28">
        <v>1</v>
      </c>
      <c r="L397" s="28">
        <v>1</v>
      </c>
      <c r="M397" s="28">
        <v>1</v>
      </c>
      <c r="N397" s="28">
        <v>1</v>
      </c>
      <c r="O397" s="28">
        <v>1</v>
      </c>
      <c r="P397" s="28">
        <v>1</v>
      </c>
      <c r="Q397" s="352">
        <v>1</v>
      </c>
      <c r="R397" s="352">
        <v>1</v>
      </c>
      <c r="S397" s="28">
        <v>1</v>
      </c>
      <c r="T397" s="28">
        <v>1</v>
      </c>
      <c r="U397" s="28">
        <v>1</v>
      </c>
      <c r="V397" s="28">
        <v>1</v>
      </c>
      <c r="W397" s="352">
        <v>1</v>
      </c>
      <c r="X397" s="352">
        <v>1</v>
      </c>
      <c r="Y397" s="28">
        <v>1</v>
      </c>
      <c r="Z397" s="352">
        <v>1</v>
      </c>
      <c r="AA397" s="28">
        <v>1</v>
      </c>
      <c r="AB397" s="28">
        <v>1</v>
      </c>
      <c r="AC397" s="28">
        <v>1</v>
      </c>
      <c r="AD397" s="28">
        <v>1</v>
      </c>
      <c r="AE397" s="28">
        <v>1</v>
      </c>
      <c r="AF397" s="352">
        <v>1</v>
      </c>
      <c r="AG397" s="352">
        <v>1</v>
      </c>
      <c r="AH397" s="352">
        <v>1</v>
      </c>
      <c r="AI397" s="352">
        <v>1</v>
      </c>
      <c r="AJ397" s="352">
        <v>1</v>
      </c>
      <c r="AK397" s="352">
        <v>1</v>
      </c>
      <c r="AL397" s="28">
        <v>1</v>
      </c>
      <c r="AM397" s="30">
        <v>1</v>
      </c>
    </row>
    <row r="398" spans="2:39" s="27" customFormat="1" x14ac:dyDescent="0.25">
      <c r="B398" s="344">
        <v>4</v>
      </c>
      <c r="C398" s="179">
        <v>1</v>
      </c>
      <c r="D398" s="28">
        <v>1</v>
      </c>
      <c r="E398" s="28">
        <v>1</v>
      </c>
      <c r="F398" s="28">
        <v>1</v>
      </c>
      <c r="G398" s="28">
        <v>1</v>
      </c>
      <c r="H398" s="28">
        <v>1</v>
      </c>
      <c r="I398" s="28">
        <v>1</v>
      </c>
      <c r="J398" s="28">
        <v>1</v>
      </c>
      <c r="K398" s="28">
        <v>1</v>
      </c>
      <c r="L398" s="28">
        <v>1</v>
      </c>
      <c r="M398" s="28">
        <v>1</v>
      </c>
      <c r="N398" s="28">
        <v>1</v>
      </c>
      <c r="O398" s="28">
        <v>1</v>
      </c>
      <c r="P398" s="28">
        <v>1</v>
      </c>
      <c r="Q398" s="352">
        <v>1</v>
      </c>
      <c r="R398" s="352">
        <v>1</v>
      </c>
      <c r="S398" s="28">
        <v>1</v>
      </c>
      <c r="T398" s="28">
        <v>1</v>
      </c>
      <c r="U398" s="28">
        <v>1</v>
      </c>
      <c r="V398" s="28">
        <v>1</v>
      </c>
      <c r="W398" s="352">
        <v>1</v>
      </c>
      <c r="X398" s="352">
        <v>1</v>
      </c>
      <c r="Y398" s="28">
        <v>1</v>
      </c>
      <c r="Z398" s="352">
        <v>1</v>
      </c>
      <c r="AA398" s="28">
        <v>1</v>
      </c>
      <c r="AB398" s="28">
        <v>1</v>
      </c>
      <c r="AC398" s="28">
        <v>1</v>
      </c>
      <c r="AD398" s="28">
        <v>1</v>
      </c>
      <c r="AE398" s="28">
        <v>1</v>
      </c>
      <c r="AF398" s="352">
        <v>1</v>
      </c>
      <c r="AG398" s="352">
        <v>1</v>
      </c>
      <c r="AH398" s="352">
        <v>1</v>
      </c>
      <c r="AI398" s="352">
        <v>1</v>
      </c>
      <c r="AJ398" s="352">
        <v>1</v>
      </c>
      <c r="AK398" s="352">
        <v>1</v>
      </c>
      <c r="AL398" s="28">
        <v>1</v>
      </c>
      <c r="AM398" s="30">
        <v>1</v>
      </c>
    </row>
    <row r="399" spans="2:39" s="27" customFormat="1" x14ac:dyDescent="0.25">
      <c r="B399" s="344">
        <v>5</v>
      </c>
      <c r="C399" s="179">
        <v>1</v>
      </c>
      <c r="D399" s="28">
        <v>1</v>
      </c>
      <c r="E399" s="28">
        <v>1</v>
      </c>
      <c r="F399" s="28">
        <v>1</v>
      </c>
      <c r="G399" s="28">
        <v>1</v>
      </c>
      <c r="H399" s="28">
        <v>1</v>
      </c>
      <c r="I399" s="28">
        <v>1</v>
      </c>
      <c r="J399" s="28">
        <v>1</v>
      </c>
      <c r="K399" s="28">
        <v>1</v>
      </c>
      <c r="L399" s="28">
        <v>1</v>
      </c>
      <c r="M399" s="28">
        <v>1</v>
      </c>
      <c r="N399" s="28">
        <v>1</v>
      </c>
      <c r="O399" s="28">
        <v>1</v>
      </c>
      <c r="P399" s="28">
        <v>1</v>
      </c>
      <c r="Q399" s="352">
        <v>1</v>
      </c>
      <c r="R399" s="352">
        <v>1</v>
      </c>
      <c r="S399" s="28">
        <v>1</v>
      </c>
      <c r="T399" s="28">
        <v>1</v>
      </c>
      <c r="U399" s="28">
        <v>1</v>
      </c>
      <c r="V399" s="28">
        <v>1</v>
      </c>
      <c r="W399" s="352">
        <v>1</v>
      </c>
      <c r="X399" s="352">
        <v>1</v>
      </c>
      <c r="Y399" s="28">
        <v>1</v>
      </c>
      <c r="Z399" s="352">
        <v>1</v>
      </c>
      <c r="AA399" s="28">
        <v>1</v>
      </c>
      <c r="AB399" s="28">
        <v>1</v>
      </c>
      <c r="AC399" s="28">
        <v>1</v>
      </c>
      <c r="AD399" s="28">
        <v>1</v>
      </c>
      <c r="AE399" s="28">
        <v>1</v>
      </c>
      <c r="AF399" s="352">
        <v>1</v>
      </c>
      <c r="AG399" s="352">
        <v>1</v>
      </c>
      <c r="AH399" s="352">
        <v>1</v>
      </c>
      <c r="AI399" s="352">
        <v>1</v>
      </c>
      <c r="AJ399" s="352">
        <v>1</v>
      </c>
      <c r="AK399" s="352">
        <v>1</v>
      </c>
      <c r="AL399" s="28">
        <v>1</v>
      </c>
      <c r="AM399" s="30">
        <v>1</v>
      </c>
    </row>
    <row r="400" spans="2:39" s="27" customFormat="1" x14ac:dyDescent="0.25">
      <c r="B400" s="344">
        <v>6</v>
      </c>
      <c r="C400" s="179">
        <v>1</v>
      </c>
      <c r="D400" s="28">
        <v>1</v>
      </c>
      <c r="E400" s="28">
        <v>1</v>
      </c>
      <c r="F400" s="28">
        <v>1</v>
      </c>
      <c r="G400" s="28">
        <v>1</v>
      </c>
      <c r="H400" s="128" t="s">
        <v>1528</v>
      </c>
      <c r="I400" s="128" t="s">
        <v>1528</v>
      </c>
      <c r="J400" s="28">
        <v>1</v>
      </c>
      <c r="K400" s="28">
        <v>1</v>
      </c>
      <c r="L400" s="28">
        <v>1</v>
      </c>
      <c r="M400" s="28">
        <v>1</v>
      </c>
      <c r="N400" s="28">
        <v>1</v>
      </c>
      <c r="O400" s="28">
        <v>1</v>
      </c>
      <c r="P400" s="28">
        <v>1</v>
      </c>
      <c r="Q400" s="352">
        <v>1</v>
      </c>
      <c r="R400" s="352">
        <v>1</v>
      </c>
      <c r="S400" s="28">
        <v>1</v>
      </c>
      <c r="T400" s="28">
        <v>1</v>
      </c>
      <c r="U400" s="28">
        <v>1</v>
      </c>
      <c r="V400" s="28">
        <v>1</v>
      </c>
      <c r="W400" s="352">
        <v>1</v>
      </c>
      <c r="X400" s="352">
        <v>1</v>
      </c>
      <c r="Y400" s="28">
        <v>1</v>
      </c>
      <c r="Z400" s="352">
        <v>1</v>
      </c>
      <c r="AA400" s="28">
        <v>1</v>
      </c>
      <c r="AB400" s="28">
        <v>1</v>
      </c>
      <c r="AC400" s="28">
        <v>1</v>
      </c>
      <c r="AD400" s="28">
        <v>1</v>
      </c>
      <c r="AE400" s="28">
        <v>1</v>
      </c>
      <c r="AF400" s="352">
        <v>1</v>
      </c>
      <c r="AG400" s="352">
        <v>1</v>
      </c>
      <c r="AH400" s="352">
        <v>1</v>
      </c>
      <c r="AI400" s="352">
        <v>1</v>
      </c>
      <c r="AJ400" s="352">
        <v>1</v>
      </c>
      <c r="AK400" s="352">
        <v>1</v>
      </c>
      <c r="AL400" s="28">
        <v>1</v>
      </c>
      <c r="AM400" s="30">
        <v>1</v>
      </c>
    </row>
    <row r="401" spans="2:39" s="27" customFormat="1" x14ac:dyDescent="0.25">
      <c r="B401" s="344">
        <v>7</v>
      </c>
      <c r="C401" s="179">
        <v>1</v>
      </c>
      <c r="D401" s="28">
        <v>1</v>
      </c>
      <c r="E401" s="128" t="s">
        <v>1528</v>
      </c>
      <c r="F401" s="28">
        <v>1</v>
      </c>
      <c r="G401" s="128" t="s">
        <v>1528</v>
      </c>
      <c r="H401" s="128" t="s">
        <v>1528</v>
      </c>
      <c r="I401" s="128" t="s">
        <v>1528</v>
      </c>
      <c r="J401" s="28">
        <v>1</v>
      </c>
      <c r="K401" s="28">
        <v>1</v>
      </c>
      <c r="L401" s="28">
        <v>1</v>
      </c>
      <c r="M401" s="28">
        <v>1</v>
      </c>
      <c r="N401" s="28">
        <v>1</v>
      </c>
      <c r="O401" s="128" t="s">
        <v>1528</v>
      </c>
      <c r="P401" s="28">
        <v>1</v>
      </c>
      <c r="Q401" s="352" t="s">
        <v>1528</v>
      </c>
      <c r="R401" s="352">
        <v>1</v>
      </c>
      <c r="S401" s="28">
        <v>1</v>
      </c>
      <c r="T401" s="28">
        <v>1</v>
      </c>
      <c r="U401" s="28">
        <v>1</v>
      </c>
      <c r="V401" s="28">
        <v>1</v>
      </c>
      <c r="W401" s="352" t="s">
        <v>1528</v>
      </c>
      <c r="X401" s="352">
        <v>1</v>
      </c>
      <c r="Y401" s="28">
        <v>1</v>
      </c>
      <c r="Z401" s="352">
        <v>1</v>
      </c>
      <c r="AA401" s="128" t="s">
        <v>1528</v>
      </c>
      <c r="AB401" s="128" t="s">
        <v>1528</v>
      </c>
      <c r="AC401" s="128" t="s">
        <v>1528</v>
      </c>
      <c r="AD401" s="128" t="s">
        <v>1528</v>
      </c>
      <c r="AE401" s="28">
        <v>1</v>
      </c>
      <c r="AF401" s="352">
        <v>1</v>
      </c>
      <c r="AG401" s="352">
        <v>1</v>
      </c>
      <c r="AH401" s="352">
        <v>1</v>
      </c>
      <c r="AI401" s="352">
        <v>1</v>
      </c>
      <c r="AJ401" s="352" t="s">
        <v>1528</v>
      </c>
      <c r="AK401" s="352" t="s">
        <v>1528</v>
      </c>
      <c r="AL401" s="28">
        <v>1</v>
      </c>
      <c r="AM401" s="30" t="s">
        <v>1528</v>
      </c>
    </row>
    <row r="402" spans="2:39" s="27" customFormat="1" x14ac:dyDescent="0.25">
      <c r="B402" s="344">
        <v>8</v>
      </c>
      <c r="C402" s="179">
        <v>1</v>
      </c>
      <c r="D402" s="28">
        <v>1</v>
      </c>
      <c r="E402" s="128" t="s">
        <v>1528</v>
      </c>
      <c r="F402" s="128" t="s">
        <v>1528</v>
      </c>
      <c r="G402" s="128" t="s">
        <v>1528</v>
      </c>
      <c r="H402" s="128" t="s">
        <v>1528</v>
      </c>
      <c r="I402" s="128" t="s">
        <v>1528</v>
      </c>
      <c r="J402" s="28">
        <v>1</v>
      </c>
      <c r="K402" s="28">
        <v>1</v>
      </c>
      <c r="L402" s="28">
        <v>1</v>
      </c>
      <c r="M402" s="28">
        <v>1</v>
      </c>
      <c r="N402" s="28">
        <v>1</v>
      </c>
      <c r="O402" s="128" t="s">
        <v>1528</v>
      </c>
      <c r="P402" s="28">
        <v>1</v>
      </c>
      <c r="Q402" s="352" t="s">
        <v>1528</v>
      </c>
      <c r="R402" s="352" t="s">
        <v>1528</v>
      </c>
      <c r="S402" s="28">
        <v>1</v>
      </c>
      <c r="T402" s="28">
        <v>1</v>
      </c>
      <c r="U402" s="28">
        <v>1</v>
      </c>
      <c r="V402" s="28">
        <v>1</v>
      </c>
      <c r="W402" s="352" t="s">
        <v>1528</v>
      </c>
      <c r="X402" s="352" t="s">
        <v>1528</v>
      </c>
      <c r="Y402" s="28">
        <v>1</v>
      </c>
      <c r="Z402" s="352">
        <v>1</v>
      </c>
      <c r="AA402" s="128" t="s">
        <v>1528</v>
      </c>
      <c r="AB402" s="128" t="s">
        <v>1528</v>
      </c>
      <c r="AC402" s="128" t="s">
        <v>1528</v>
      </c>
      <c r="AD402" s="128" t="s">
        <v>1528</v>
      </c>
      <c r="AE402" s="128" t="s">
        <v>1528</v>
      </c>
      <c r="AF402" s="352">
        <v>1</v>
      </c>
      <c r="AG402" s="352">
        <v>1</v>
      </c>
      <c r="AH402" s="352">
        <v>1</v>
      </c>
      <c r="AI402" s="352">
        <v>1</v>
      </c>
      <c r="AJ402" s="352" t="s">
        <v>1528</v>
      </c>
      <c r="AK402" s="352" t="s">
        <v>1528</v>
      </c>
      <c r="AL402" s="28">
        <v>1</v>
      </c>
      <c r="AM402" s="30" t="s">
        <v>1528</v>
      </c>
    </row>
    <row r="403" spans="2:39" s="27" customFormat="1" x14ac:dyDescent="0.25">
      <c r="B403" s="344">
        <v>9</v>
      </c>
      <c r="C403" s="179">
        <v>1</v>
      </c>
      <c r="D403" s="28">
        <v>1</v>
      </c>
      <c r="E403" s="128" t="s">
        <v>1528</v>
      </c>
      <c r="F403" s="128" t="s">
        <v>1528</v>
      </c>
      <c r="G403" s="128" t="s">
        <v>1528</v>
      </c>
      <c r="H403" s="128" t="s">
        <v>1528</v>
      </c>
      <c r="I403" s="128" t="s">
        <v>1528</v>
      </c>
      <c r="J403" s="28">
        <v>1</v>
      </c>
      <c r="K403" s="28">
        <v>1</v>
      </c>
      <c r="L403" s="28">
        <v>1</v>
      </c>
      <c r="M403" s="28">
        <v>1</v>
      </c>
      <c r="N403" s="28">
        <v>1</v>
      </c>
      <c r="O403" s="128" t="s">
        <v>1528</v>
      </c>
      <c r="P403" s="28">
        <v>1</v>
      </c>
      <c r="Q403" s="352" t="s">
        <v>1528</v>
      </c>
      <c r="R403" s="352" t="s">
        <v>1528</v>
      </c>
      <c r="S403" s="28">
        <v>1</v>
      </c>
      <c r="T403" s="28">
        <v>1</v>
      </c>
      <c r="U403" s="28">
        <v>1</v>
      </c>
      <c r="V403" s="28">
        <v>1</v>
      </c>
      <c r="W403" s="352" t="s">
        <v>1528</v>
      </c>
      <c r="X403" s="352" t="s">
        <v>1528</v>
      </c>
      <c r="Y403" s="28">
        <v>1</v>
      </c>
      <c r="Z403" s="352">
        <v>1</v>
      </c>
      <c r="AA403" s="128" t="s">
        <v>1528</v>
      </c>
      <c r="AB403" s="128" t="s">
        <v>1528</v>
      </c>
      <c r="AC403" s="128" t="s">
        <v>1528</v>
      </c>
      <c r="AD403" s="128" t="s">
        <v>1528</v>
      </c>
      <c r="AE403" s="128" t="s">
        <v>1528</v>
      </c>
      <c r="AF403" s="352">
        <v>1</v>
      </c>
      <c r="AG403" s="352">
        <v>1</v>
      </c>
      <c r="AH403" s="352">
        <v>1</v>
      </c>
      <c r="AI403" s="352">
        <v>1</v>
      </c>
      <c r="AJ403" s="352" t="s">
        <v>1528</v>
      </c>
      <c r="AK403" s="352" t="s">
        <v>1528</v>
      </c>
      <c r="AL403" s="28">
        <v>1</v>
      </c>
      <c r="AM403" s="30" t="s">
        <v>1528</v>
      </c>
    </row>
    <row r="404" spans="2:39" s="27" customFormat="1" x14ac:dyDescent="0.25">
      <c r="B404" s="344">
        <v>10</v>
      </c>
      <c r="C404" s="179">
        <v>1</v>
      </c>
      <c r="D404" s="28">
        <v>1</v>
      </c>
      <c r="E404" s="128" t="s">
        <v>1528</v>
      </c>
      <c r="F404" s="128" t="s">
        <v>1528</v>
      </c>
      <c r="G404" s="128" t="s">
        <v>1528</v>
      </c>
      <c r="H404" s="128" t="s">
        <v>1528</v>
      </c>
      <c r="I404" s="128" t="s">
        <v>1528</v>
      </c>
      <c r="J404" s="28">
        <v>1</v>
      </c>
      <c r="K404" s="28">
        <v>1</v>
      </c>
      <c r="L404" s="28">
        <v>1</v>
      </c>
      <c r="M404" s="28">
        <v>1</v>
      </c>
      <c r="N404" s="28">
        <v>1</v>
      </c>
      <c r="O404" s="128" t="s">
        <v>1528</v>
      </c>
      <c r="P404" s="28">
        <v>1</v>
      </c>
      <c r="Q404" s="352" t="s">
        <v>1528</v>
      </c>
      <c r="R404" s="352" t="s">
        <v>1528</v>
      </c>
      <c r="S404" s="28">
        <v>1</v>
      </c>
      <c r="T404" s="28">
        <v>1</v>
      </c>
      <c r="U404" s="28">
        <v>1</v>
      </c>
      <c r="V404" s="28">
        <v>1</v>
      </c>
      <c r="W404" s="352" t="s">
        <v>1528</v>
      </c>
      <c r="X404" s="352" t="s">
        <v>1528</v>
      </c>
      <c r="Y404" s="28">
        <v>1</v>
      </c>
      <c r="Z404" s="352">
        <v>1</v>
      </c>
      <c r="AA404" s="128" t="s">
        <v>1528</v>
      </c>
      <c r="AB404" s="128" t="s">
        <v>1528</v>
      </c>
      <c r="AC404" s="128" t="s">
        <v>1528</v>
      </c>
      <c r="AD404" s="128" t="s">
        <v>1528</v>
      </c>
      <c r="AE404" s="128" t="s">
        <v>1528</v>
      </c>
      <c r="AF404" s="352">
        <v>1</v>
      </c>
      <c r="AG404" s="352">
        <v>1</v>
      </c>
      <c r="AH404" s="352">
        <v>1</v>
      </c>
      <c r="AI404" s="352">
        <v>1</v>
      </c>
      <c r="AJ404" s="352" t="s">
        <v>1528</v>
      </c>
      <c r="AK404" s="352" t="s">
        <v>1528</v>
      </c>
      <c r="AL404" s="28">
        <v>1</v>
      </c>
      <c r="AM404" s="30" t="s">
        <v>1528</v>
      </c>
    </row>
    <row r="405" spans="2:39" s="27" customFormat="1" x14ac:dyDescent="0.25">
      <c r="B405" s="344">
        <v>11</v>
      </c>
      <c r="C405" s="179">
        <v>1</v>
      </c>
      <c r="D405" s="28">
        <v>1</v>
      </c>
      <c r="E405" s="128" t="s">
        <v>1528</v>
      </c>
      <c r="F405" s="128" t="s">
        <v>1528</v>
      </c>
      <c r="G405" s="128" t="s">
        <v>1528</v>
      </c>
      <c r="H405" s="28">
        <v>2</v>
      </c>
      <c r="I405" s="28">
        <v>2</v>
      </c>
      <c r="J405" s="28">
        <v>1</v>
      </c>
      <c r="K405" s="28">
        <v>1</v>
      </c>
      <c r="L405" s="28">
        <v>1</v>
      </c>
      <c r="M405" s="28">
        <v>1</v>
      </c>
      <c r="N405" s="28">
        <v>1</v>
      </c>
      <c r="O405" s="128" t="s">
        <v>1528</v>
      </c>
      <c r="P405" s="28">
        <v>1</v>
      </c>
      <c r="Q405" s="352" t="s">
        <v>1528</v>
      </c>
      <c r="R405" s="352" t="s">
        <v>1528</v>
      </c>
      <c r="S405" s="28">
        <v>1</v>
      </c>
      <c r="T405" s="28">
        <v>1</v>
      </c>
      <c r="U405" s="28">
        <v>1</v>
      </c>
      <c r="V405" s="28">
        <v>1</v>
      </c>
      <c r="W405" s="352" t="s">
        <v>1528</v>
      </c>
      <c r="X405" s="352" t="s">
        <v>1528</v>
      </c>
      <c r="Y405" s="28">
        <v>1</v>
      </c>
      <c r="Z405" s="352">
        <v>1</v>
      </c>
      <c r="AA405" s="128" t="s">
        <v>1528</v>
      </c>
      <c r="AB405" s="128" t="s">
        <v>1528</v>
      </c>
      <c r="AC405" s="128" t="s">
        <v>1528</v>
      </c>
      <c r="AD405" s="128" t="s">
        <v>1528</v>
      </c>
      <c r="AE405" s="128" t="s">
        <v>1528</v>
      </c>
      <c r="AF405" s="352">
        <v>1</v>
      </c>
      <c r="AG405" s="352">
        <v>1</v>
      </c>
      <c r="AH405" s="352">
        <v>1</v>
      </c>
      <c r="AI405" s="352">
        <v>1</v>
      </c>
      <c r="AJ405" s="352" t="s">
        <v>1528</v>
      </c>
      <c r="AK405" s="352" t="s">
        <v>1528</v>
      </c>
      <c r="AL405" s="28">
        <v>1</v>
      </c>
      <c r="AM405" s="30" t="s">
        <v>1528</v>
      </c>
    </row>
    <row r="406" spans="2:39" s="27" customFormat="1" x14ac:dyDescent="0.25">
      <c r="B406" s="344">
        <v>12</v>
      </c>
      <c r="C406" s="179">
        <v>1</v>
      </c>
      <c r="D406" s="28">
        <v>1</v>
      </c>
      <c r="E406" s="128" t="s">
        <v>1528</v>
      </c>
      <c r="F406" s="128" t="s">
        <v>1528</v>
      </c>
      <c r="G406" s="128" t="s">
        <v>1528</v>
      </c>
      <c r="H406" s="28">
        <v>2</v>
      </c>
      <c r="I406" s="28">
        <v>2</v>
      </c>
      <c r="J406" s="28">
        <v>1</v>
      </c>
      <c r="K406" s="28">
        <v>1</v>
      </c>
      <c r="L406" s="28">
        <v>1</v>
      </c>
      <c r="M406" s="28">
        <v>1</v>
      </c>
      <c r="N406" s="28">
        <v>1</v>
      </c>
      <c r="O406" s="128" t="s">
        <v>1528</v>
      </c>
      <c r="P406" s="28">
        <v>1</v>
      </c>
      <c r="Q406" s="352" t="s">
        <v>1528</v>
      </c>
      <c r="R406" s="352" t="s">
        <v>1528</v>
      </c>
      <c r="S406" s="28">
        <v>1</v>
      </c>
      <c r="T406" s="28">
        <v>1</v>
      </c>
      <c r="U406" s="28">
        <v>1</v>
      </c>
      <c r="V406" s="28">
        <v>1</v>
      </c>
      <c r="W406" s="352" t="s">
        <v>1528</v>
      </c>
      <c r="X406" s="352" t="s">
        <v>1528</v>
      </c>
      <c r="Y406" s="28">
        <v>1</v>
      </c>
      <c r="Z406" s="352">
        <v>1</v>
      </c>
      <c r="AA406" s="128" t="s">
        <v>1528</v>
      </c>
      <c r="AB406" s="128" t="s">
        <v>1528</v>
      </c>
      <c r="AC406" s="128" t="s">
        <v>1528</v>
      </c>
      <c r="AD406" s="128" t="s">
        <v>1528</v>
      </c>
      <c r="AE406" s="128" t="s">
        <v>1528</v>
      </c>
      <c r="AF406" s="352">
        <v>1</v>
      </c>
      <c r="AG406" s="352">
        <v>1</v>
      </c>
      <c r="AH406" s="352">
        <v>1</v>
      </c>
      <c r="AI406" s="352">
        <v>1</v>
      </c>
      <c r="AJ406" s="352" t="s">
        <v>1528</v>
      </c>
      <c r="AK406" s="352" t="s">
        <v>1528</v>
      </c>
      <c r="AL406" s="28">
        <v>1</v>
      </c>
      <c r="AM406" s="30" t="s">
        <v>1528</v>
      </c>
    </row>
    <row r="407" spans="2:39" s="27" customFormat="1" x14ac:dyDescent="0.25">
      <c r="B407" s="344">
        <v>13</v>
      </c>
      <c r="C407" s="179">
        <v>1</v>
      </c>
      <c r="D407" s="28">
        <v>1</v>
      </c>
      <c r="E407" s="28">
        <v>2</v>
      </c>
      <c r="F407" s="128" t="s">
        <v>1528</v>
      </c>
      <c r="G407" s="28">
        <v>2</v>
      </c>
      <c r="H407" s="28">
        <v>2</v>
      </c>
      <c r="I407" s="28">
        <v>2</v>
      </c>
      <c r="J407" s="28">
        <v>1</v>
      </c>
      <c r="K407" s="28">
        <v>1</v>
      </c>
      <c r="L407" s="28">
        <v>1</v>
      </c>
      <c r="M407" s="28">
        <v>1</v>
      </c>
      <c r="N407" s="28">
        <v>1</v>
      </c>
      <c r="O407" s="128" t="s">
        <v>1528</v>
      </c>
      <c r="P407" s="28">
        <v>1</v>
      </c>
      <c r="Q407" s="352">
        <v>2</v>
      </c>
      <c r="R407" s="352" t="s">
        <v>1528</v>
      </c>
      <c r="S407" s="28">
        <v>1</v>
      </c>
      <c r="T407" s="28">
        <v>1</v>
      </c>
      <c r="U407" s="28">
        <v>1</v>
      </c>
      <c r="V407" s="28">
        <v>1</v>
      </c>
      <c r="W407" s="352">
        <v>2</v>
      </c>
      <c r="X407" s="352" t="s">
        <v>1528</v>
      </c>
      <c r="Y407" s="28">
        <v>1</v>
      </c>
      <c r="Z407" s="352">
        <v>1</v>
      </c>
      <c r="AA407" s="28">
        <v>2</v>
      </c>
      <c r="AB407" s="28">
        <v>2</v>
      </c>
      <c r="AC407" s="28">
        <v>2</v>
      </c>
      <c r="AD407" s="28">
        <v>2</v>
      </c>
      <c r="AE407" s="128" t="s">
        <v>1528</v>
      </c>
      <c r="AF407" s="352">
        <v>1</v>
      </c>
      <c r="AG407" s="352">
        <v>1</v>
      </c>
      <c r="AH407" s="352">
        <v>1</v>
      </c>
      <c r="AI407" s="352">
        <v>1</v>
      </c>
      <c r="AJ407" s="352">
        <v>2</v>
      </c>
      <c r="AK407" s="352">
        <v>2</v>
      </c>
      <c r="AL407" s="28">
        <v>1</v>
      </c>
      <c r="AM407" s="30">
        <v>2</v>
      </c>
    </row>
    <row r="408" spans="2:39" s="27" customFormat="1" x14ac:dyDescent="0.25">
      <c r="B408" s="344">
        <v>14</v>
      </c>
      <c r="C408" s="179">
        <v>1</v>
      </c>
      <c r="D408" s="28">
        <v>1</v>
      </c>
      <c r="E408" s="28">
        <v>2</v>
      </c>
      <c r="F408" s="128" t="s">
        <v>1528</v>
      </c>
      <c r="G408" s="28">
        <v>2</v>
      </c>
      <c r="H408" s="28">
        <v>2</v>
      </c>
      <c r="I408" s="28">
        <v>2</v>
      </c>
      <c r="J408" s="28">
        <v>1</v>
      </c>
      <c r="K408" s="28">
        <v>1</v>
      </c>
      <c r="L408" s="28">
        <v>1</v>
      </c>
      <c r="M408" s="28">
        <v>1</v>
      </c>
      <c r="N408" s="28">
        <v>1</v>
      </c>
      <c r="O408" s="128" t="s">
        <v>1528</v>
      </c>
      <c r="P408" s="28">
        <v>1</v>
      </c>
      <c r="Q408" s="352">
        <v>2</v>
      </c>
      <c r="R408" s="352" t="s">
        <v>1528</v>
      </c>
      <c r="S408" s="28">
        <v>1</v>
      </c>
      <c r="T408" s="28">
        <v>1</v>
      </c>
      <c r="U408" s="28">
        <v>1</v>
      </c>
      <c r="V408" s="28">
        <v>1</v>
      </c>
      <c r="W408" s="352">
        <v>2</v>
      </c>
      <c r="X408" s="352" t="s">
        <v>1528</v>
      </c>
      <c r="Y408" s="28">
        <v>1</v>
      </c>
      <c r="Z408" s="352">
        <v>1</v>
      </c>
      <c r="AA408" s="28">
        <v>2</v>
      </c>
      <c r="AB408" s="28">
        <v>2</v>
      </c>
      <c r="AC408" s="28">
        <v>2</v>
      </c>
      <c r="AD408" s="28">
        <v>2</v>
      </c>
      <c r="AE408" s="128" t="s">
        <v>1528</v>
      </c>
      <c r="AF408" s="352">
        <v>1</v>
      </c>
      <c r="AG408" s="352">
        <v>1</v>
      </c>
      <c r="AH408" s="352">
        <v>1</v>
      </c>
      <c r="AI408" s="352">
        <v>1</v>
      </c>
      <c r="AJ408" s="352">
        <v>2</v>
      </c>
      <c r="AK408" s="352">
        <v>2</v>
      </c>
      <c r="AL408" s="28">
        <v>1</v>
      </c>
      <c r="AM408" s="30">
        <v>2</v>
      </c>
    </row>
    <row r="409" spans="2:39" s="27" customFormat="1" x14ac:dyDescent="0.25">
      <c r="B409" s="344">
        <v>15</v>
      </c>
      <c r="C409" s="179">
        <v>1</v>
      </c>
      <c r="D409" s="28">
        <v>1</v>
      </c>
      <c r="E409" s="28">
        <v>2</v>
      </c>
      <c r="F409" s="28">
        <v>2</v>
      </c>
      <c r="G409" s="28">
        <v>2</v>
      </c>
      <c r="H409" s="28">
        <v>2</v>
      </c>
      <c r="I409" s="28">
        <v>2</v>
      </c>
      <c r="J409" s="28">
        <v>1</v>
      </c>
      <c r="K409" s="28">
        <v>1</v>
      </c>
      <c r="L409" s="28">
        <v>1</v>
      </c>
      <c r="M409" s="28">
        <v>1</v>
      </c>
      <c r="N409" s="28">
        <v>1</v>
      </c>
      <c r="O409" s="128" t="s">
        <v>1528</v>
      </c>
      <c r="P409" s="28">
        <v>1</v>
      </c>
      <c r="Q409" s="352">
        <v>2</v>
      </c>
      <c r="R409" s="352">
        <v>2</v>
      </c>
      <c r="S409" s="28">
        <v>1</v>
      </c>
      <c r="T409" s="28">
        <v>1</v>
      </c>
      <c r="U409" s="28">
        <v>1</v>
      </c>
      <c r="V409" s="28">
        <v>1</v>
      </c>
      <c r="W409" s="352">
        <v>2</v>
      </c>
      <c r="X409" s="352">
        <v>2</v>
      </c>
      <c r="Y409" s="28">
        <v>1</v>
      </c>
      <c r="Z409" s="352">
        <v>1</v>
      </c>
      <c r="AA409" s="28">
        <v>2</v>
      </c>
      <c r="AB409" s="28">
        <v>2</v>
      </c>
      <c r="AC409" s="28">
        <v>2</v>
      </c>
      <c r="AD409" s="28">
        <v>2</v>
      </c>
      <c r="AE409" s="28">
        <v>2</v>
      </c>
      <c r="AF409" s="352">
        <v>1</v>
      </c>
      <c r="AG409" s="352">
        <v>1</v>
      </c>
      <c r="AH409" s="352">
        <v>1</v>
      </c>
      <c r="AI409" s="352">
        <v>1</v>
      </c>
      <c r="AJ409" s="352">
        <v>2</v>
      </c>
      <c r="AK409" s="352">
        <v>2</v>
      </c>
      <c r="AL409" s="28">
        <v>1</v>
      </c>
      <c r="AM409" s="30">
        <v>2</v>
      </c>
    </row>
    <row r="410" spans="2:39" s="27" customFormat="1" x14ac:dyDescent="0.25">
      <c r="B410" s="344">
        <v>16</v>
      </c>
      <c r="C410" s="179">
        <v>1</v>
      </c>
      <c r="D410" s="28">
        <v>1</v>
      </c>
      <c r="E410" s="28">
        <v>2</v>
      </c>
      <c r="F410" s="28">
        <v>2</v>
      </c>
      <c r="G410" s="28">
        <v>2</v>
      </c>
      <c r="H410" s="28">
        <v>2</v>
      </c>
      <c r="I410" s="128" t="s">
        <v>1529</v>
      </c>
      <c r="J410" s="28">
        <v>1</v>
      </c>
      <c r="K410" s="28">
        <v>1</v>
      </c>
      <c r="L410" s="28">
        <v>1</v>
      </c>
      <c r="M410" s="28">
        <v>1</v>
      </c>
      <c r="N410" s="28">
        <v>1</v>
      </c>
      <c r="O410" s="128" t="s">
        <v>1528</v>
      </c>
      <c r="P410" s="28">
        <v>1</v>
      </c>
      <c r="Q410" s="352">
        <v>2</v>
      </c>
      <c r="R410" s="352">
        <v>2</v>
      </c>
      <c r="S410" s="28">
        <v>1</v>
      </c>
      <c r="T410" s="28">
        <v>1</v>
      </c>
      <c r="U410" s="28">
        <v>1</v>
      </c>
      <c r="V410" s="28">
        <v>1</v>
      </c>
      <c r="W410" s="352">
        <v>2</v>
      </c>
      <c r="X410" s="352">
        <v>2</v>
      </c>
      <c r="Y410" s="28">
        <v>1</v>
      </c>
      <c r="Z410" s="352">
        <v>1</v>
      </c>
      <c r="AA410" s="28">
        <v>2</v>
      </c>
      <c r="AB410" s="28">
        <v>2</v>
      </c>
      <c r="AC410" s="28">
        <v>2</v>
      </c>
      <c r="AD410" s="28">
        <v>2</v>
      </c>
      <c r="AE410" s="28">
        <v>2</v>
      </c>
      <c r="AF410" s="352">
        <v>1</v>
      </c>
      <c r="AG410" s="352">
        <v>1</v>
      </c>
      <c r="AH410" s="352">
        <v>1</v>
      </c>
      <c r="AI410" s="352">
        <v>1</v>
      </c>
      <c r="AJ410" s="352">
        <v>2</v>
      </c>
      <c r="AK410" s="352">
        <v>2</v>
      </c>
      <c r="AL410" s="28">
        <v>1</v>
      </c>
      <c r="AM410" s="30">
        <v>2</v>
      </c>
    </row>
    <row r="411" spans="2:39" s="27" customFormat="1" x14ac:dyDescent="0.25">
      <c r="B411" s="344">
        <v>17</v>
      </c>
      <c r="C411" s="179">
        <v>1</v>
      </c>
      <c r="D411" s="28">
        <v>1</v>
      </c>
      <c r="E411" s="28">
        <v>2</v>
      </c>
      <c r="F411" s="28">
        <v>2</v>
      </c>
      <c r="G411" s="28">
        <v>2</v>
      </c>
      <c r="H411" s="28">
        <v>2</v>
      </c>
      <c r="I411" s="128" t="s">
        <v>1529</v>
      </c>
      <c r="J411" s="28">
        <v>1</v>
      </c>
      <c r="K411" s="28">
        <v>1</v>
      </c>
      <c r="L411" s="28">
        <v>1</v>
      </c>
      <c r="M411" s="28">
        <v>1</v>
      </c>
      <c r="N411" s="28">
        <v>1</v>
      </c>
      <c r="O411" s="128" t="s">
        <v>1528</v>
      </c>
      <c r="P411" s="28">
        <v>1</v>
      </c>
      <c r="Q411" s="352">
        <v>2</v>
      </c>
      <c r="R411" s="352">
        <v>2</v>
      </c>
      <c r="S411" s="28">
        <v>1</v>
      </c>
      <c r="T411" s="28">
        <v>1</v>
      </c>
      <c r="U411" s="28">
        <v>1</v>
      </c>
      <c r="V411" s="28">
        <v>1</v>
      </c>
      <c r="W411" s="352">
        <v>2</v>
      </c>
      <c r="X411" s="352">
        <v>2</v>
      </c>
      <c r="Y411" s="28">
        <v>1</v>
      </c>
      <c r="Z411" s="352">
        <v>1</v>
      </c>
      <c r="AA411" s="28">
        <v>2</v>
      </c>
      <c r="AB411" s="28">
        <v>2</v>
      </c>
      <c r="AC411" s="28">
        <v>2</v>
      </c>
      <c r="AD411" s="28">
        <v>2</v>
      </c>
      <c r="AE411" s="28">
        <v>2</v>
      </c>
      <c r="AF411" s="352">
        <v>1</v>
      </c>
      <c r="AG411" s="352">
        <v>1</v>
      </c>
      <c r="AH411" s="352">
        <v>1</v>
      </c>
      <c r="AI411" s="352">
        <v>1</v>
      </c>
      <c r="AJ411" s="352">
        <v>2</v>
      </c>
      <c r="AK411" s="352">
        <v>2</v>
      </c>
      <c r="AL411" s="28">
        <v>1</v>
      </c>
      <c r="AM411" s="30">
        <v>2</v>
      </c>
    </row>
    <row r="412" spans="2:39" s="27" customFormat="1" x14ac:dyDescent="0.25">
      <c r="B412" s="344">
        <v>18</v>
      </c>
      <c r="C412" s="179">
        <v>1</v>
      </c>
      <c r="D412" s="28">
        <v>1</v>
      </c>
      <c r="E412" s="28">
        <v>2</v>
      </c>
      <c r="F412" s="28">
        <v>2</v>
      </c>
      <c r="G412" s="28">
        <v>2</v>
      </c>
      <c r="H412" s="28">
        <v>2</v>
      </c>
      <c r="I412" s="128" t="s">
        <v>1529</v>
      </c>
      <c r="J412" s="28">
        <v>1</v>
      </c>
      <c r="K412" s="28">
        <v>1</v>
      </c>
      <c r="L412" s="28">
        <v>1</v>
      </c>
      <c r="M412" s="28">
        <v>1</v>
      </c>
      <c r="N412" s="28">
        <v>1</v>
      </c>
      <c r="O412" s="128" t="s">
        <v>1528</v>
      </c>
      <c r="P412" s="28">
        <v>1</v>
      </c>
      <c r="Q412" s="352">
        <v>2</v>
      </c>
      <c r="R412" s="352">
        <v>2</v>
      </c>
      <c r="S412" s="28">
        <v>1</v>
      </c>
      <c r="T412" s="28">
        <v>1</v>
      </c>
      <c r="U412" s="28">
        <v>1</v>
      </c>
      <c r="V412" s="28">
        <v>1</v>
      </c>
      <c r="W412" s="352">
        <v>2</v>
      </c>
      <c r="X412" s="352">
        <v>2</v>
      </c>
      <c r="Y412" s="28">
        <v>1</v>
      </c>
      <c r="Z412" s="352">
        <v>1</v>
      </c>
      <c r="AA412" s="28">
        <v>2</v>
      </c>
      <c r="AB412" s="28">
        <v>2</v>
      </c>
      <c r="AC412" s="28">
        <v>2</v>
      </c>
      <c r="AD412" s="28">
        <v>2</v>
      </c>
      <c r="AE412" s="28">
        <v>2</v>
      </c>
      <c r="AF412" s="352">
        <v>1</v>
      </c>
      <c r="AG412" s="352">
        <v>1</v>
      </c>
      <c r="AH412" s="352">
        <v>1</v>
      </c>
      <c r="AI412" s="352">
        <v>1</v>
      </c>
      <c r="AJ412" s="352">
        <v>2</v>
      </c>
      <c r="AK412" s="352">
        <v>2</v>
      </c>
      <c r="AL412" s="28">
        <v>1</v>
      </c>
      <c r="AM412" s="30">
        <v>2</v>
      </c>
    </row>
    <row r="413" spans="2:39" s="27" customFormat="1" x14ac:dyDescent="0.25">
      <c r="B413" s="344">
        <v>19</v>
      </c>
      <c r="C413" s="179">
        <v>1</v>
      </c>
      <c r="D413" s="28">
        <v>1</v>
      </c>
      <c r="E413" s="28">
        <v>2</v>
      </c>
      <c r="F413" s="28">
        <v>2</v>
      </c>
      <c r="G413" s="128" t="s">
        <v>1529</v>
      </c>
      <c r="H413" s="28">
        <v>2</v>
      </c>
      <c r="I413" s="128" t="s">
        <v>1529</v>
      </c>
      <c r="J413" s="28">
        <v>1</v>
      </c>
      <c r="K413" s="28">
        <v>1</v>
      </c>
      <c r="L413" s="28">
        <v>1</v>
      </c>
      <c r="M413" s="28">
        <v>1</v>
      </c>
      <c r="N413" s="28">
        <v>1</v>
      </c>
      <c r="O413" s="128" t="s">
        <v>1528</v>
      </c>
      <c r="P413" s="28">
        <v>1</v>
      </c>
      <c r="Q413" s="352">
        <v>2</v>
      </c>
      <c r="R413" s="352">
        <v>2</v>
      </c>
      <c r="S413" s="28">
        <v>1</v>
      </c>
      <c r="T413" s="28">
        <v>1</v>
      </c>
      <c r="U413" s="28">
        <v>1</v>
      </c>
      <c r="V413" s="28">
        <v>1</v>
      </c>
      <c r="W413" s="352">
        <v>2</v>
      </c>
      <c r="X413" s="352">
        <v>2</v>
      </c>
      <c r="Y413" s="28">
        <v>1</v>
      </c>
      <c r="Z413" s="352">
        <v>1</v>
      </c>
      <c r="AA413" s="28">
        <v>2</v>
      </c>
      <c r="AB413" s="28">
        <v>2</v>
      </c>
      <c r="AC413" s="28">
        <v>2</v>
      </c>
      <c r="AD413" s="28">
        <v>2</v>
      </c>
      <c r="AE413" s="28">
        <v>2</v>
      </c>
      <c r="AF413" s="352">
        <v>1</v>
      </c>
      <c r="AG413" s="352">
        <v>1</v>
      </c>
      <c r="AH413" s="352">
        <v>1</v>
      </c>
      <c r="AI413" s="352">
        <v>1</v>
      </c>
      <c r="AJ413" s="352">
        <v>2</v>
      </c>
      <c r="AK413" s="352">
        <v>2</v>
      </c>
      <c r="AL413" s="28">
        <v>1</v>
      </c>
      <c r="AM413" s="30">
        <v>2</v>
      </c>
    </row>
    <row r="414" spans="2:39" s="27" customFormat="1" x14ac:dyDescent="0.25">
      <c r="B414" s="344">
        <v>20</v>
      </c>
      <c r="C414" s="179">
        <v>1</v>
      </c>
      <c r="D414" s="28">
        <v>1</v>
      </c>
      <c r="E414" s="28">
        <v>2</v>
      </c>
      <c r="F414" s="28">
        <v>2</v>
      </c>
      <c r="G414" s="128" t="s">
        <v>1529</v>
      </c>
      <c r="H414" s="28">
        <v>2</v>
      </c>
      <c r="I414" s="128" t="s">
        <v>1529</v>
      </c>
      <c r="J414" s="28">
        <v>1</v>
      </c>
      <c r="K414" s="28">
        <v>1</v>
      </c>
      <c r="L414" s="28">
        <v>1</v>
      </c>
      <c r="M414" s="28">
        <v>1</v>
      </c>
      <c r="N414" s="28">
        <v>1</v>
      </c>
      <c r="O414" s="128" t="s">
        <v>1528</v>
      </c>
      <c r="P414" s="28">
        <v>1</v>
      </c>
      <c r="Q414" s="352">
        <v>2</v>
      </c>
      <c r="R414" s="352">
        <v>2</v>
      </c>
      <c r="S414" s="28">
        <v>1</v>
      </c>
      <c r="T414" s="28">
        <v>1</v>
      </c>
      <c r="U414" s="28">
        <v>1</v>
      </c>
      <c r="V414" s="28">
        <v>1</v>
      </c>
      <c r="W414" s="352">
        <v>2</v>
      </c>
      <c r="X414" s="352">
        <v>2</v>
      </c>
      <c r="Y414" s="28">
        <v>1</v>
      </c>
      <c r="Z414" s="352">
        <v>1</v>
      </c>
      <c r="AA414" s="28">
        <v>2</v>
      </c>
      <c r="AB414" s="28">
        <v>2</v>
      </c>
      <c r="AC414" s="28">
        <v>2</v>
      </c>
      <c r="AD414" s="28">
        <v>2</v>
      </c>
      <c r="AE414" s="28">
        <v>2</v>
      </c>
      <c r="AF414" s="352">
        <v>1</v>
      </c>
      <c r="AG414" s="352">
        <v>1</v>
      </c>
      <c r="AH414" s="352">
        <v>1</v>
      </c>
      <c r="AI414" s="352">
        <v>1</v>
      </c>
      <c r="AJ414" s="352">
        <v>2</v>
      </c>
      <c r="AK414" s="352">
        <v>2</v>
      </c>
      <c r="AL414" s="28">
        <v>1</v>
      </c>
      <c r="AM414" s="30">
        <v>2</v>
      </c>
    </row>
    <row r="415" spans="2:39" s="27" customFormat="1" x14ac:dyDescent="0.25">
      <c r="B415" s="344">
        <v>21</v>
      </c>
      <c r="C415" s="179">
        <v>1</v>
      </c>
      <c r="D415" s="28">
        <v>1</v>
      </c>
      <c r="E415" s="28">
        <v>2</v>
      </c>
      <c r="F415" s="28">
        <v>2</v>
      </c>
      <c r="G415" s="128" t="s">
        <v>1529</v>
      </c>
      <c r="H415" s="28">
        <v>2</v>
      </c>
      <c r="I415" s="128" t="s">
        <v>1529</v>
      </c>
      <c r="J415" s="28">
        <v>1</v>
      </c>
      <c r="K415" s="28">
        <v>1</v>
      </c>
      <c r="L415" s="28">
        <v>1</v>
      </c>
      <c r="M415" s="28">
        <v>1</v>
      </c>
      <c r="N415" s="28">
        <v>1</v>
      </c>
      <c r="O415" s="128" t="s">
        <v>1528</v>
      </c>
      <c r="P415" s="28">
        <v>1</v>
      </c>
      <c r="Q415" s="352">
        <v>2</v>
      </c>
      <c r="R415" s="352">
        <v>2</v>
      </c>
      <c r="S415" s="28">
        <v>1</v>
      </c>
      <c r="T415" s="28">
        <v>1</v>
      </c>
      <c r="U415" s="28">
        <v>1</v>
      </c>
      <c r="V415" s="28">
        <v>1</v>
      </c>
      <c r="W415" s="352">
        <v>2</v>
      </c>
      <c r="X415" s="352">
        <v>2</v>
      </c>
      <c r="Y415" s="28">
        <v>1</v>
      </c>
      <c r="Z415" s="352">
        <v>1</v>
      </c>
      <c r="AA415" s="28">
        <v>2</v>
      </c>
      <c r="AB415" s="28">
        <v>2</v>
      </c>
      <c r="AC415" s="28">
        <v>2</v>
      </c>
      <c r="AD415" s="28">
        <v>2</v>
      </c>
      <c r="AE415" s="28">
        <v>2</v>
      </c>
      <c r="AF415" s="352">
        <v>1</v>
      </c>
      <c r="AG415" s="352">
        <v>1</v>
      </c>
      <c r="AH415" s="352">
        <v>1</v>
      </c>
      <c r="AI415" s="352">
        <v>1</v>
      </c>
      <c r="AJ415" s="352">
        <v>2</v>
      </c>
      <c r="AK415" s="352">
        <v>2</v>
      </c>
      <c r="AL415" s="28">
        <v>1</v>
      </c>
      <c r="AM415" s="30">
        <v>2</v>
      </c>
    </row>
    <row r="416" spans="2:39" s="27" customFormat="1" x14ac:dyDescent="0.25">
      <c r="B416" s="344">
        <v>22</v>
      </c>
      <c r="C416" s="179">
        <v>1</v>
      </c>
      <c r="D416" s="28">
        <v>1</v>
      </c>
      <c r="E416" s="28">
        <v>2</v>
      </c>
      <c r="F416" s="28">
        <v>2</v>
      </c>
      <c r="G416" s="128" t="s">
        <v>1529</v>
      </c>
      <c r="H416" s="28">
        <v>2</v>
      </c>
      <c r="I416" s="128" t="s">
        <v>1529</v>
      </c>
      <c r="J416" s="28">
        <v>1</v>
      </c>
      <c r="K416" s="28">
        <v>1</v>
      </c>
      <c r="L416" s="28">
        <v>1</v>
      </c>
      <c r="M416" s="28">
        <v>1</v>
      </c>
      <c r="N416" s="28">
        <v>1</v>
      </c>
      <c r="O416" s="128" t="s">
        <v>1528</v>
      </c>
      <c r="P416" s="28">
        <v>1</v>
      </c>
      <c r="Q416" s="352">
        <v>2</v>
      </c>
      <c r="R416" s="352">
        <v>2</v>
      </c>
      <c r="S416" s="28">
        <v>1</v>
      </c>
      <c r="T416" s="28">
        <v>1</v>
      </c>
      <c r="U416" s="28">
        <v>1</v>
      </c>
      <c r="V416" s="28">
        <v>1</v>
      </c>
      <c r="W416" s="352">
        <v>2</v>
      </c>
      <c r="X416" s="352">
        <v>2</v>
      </c>
      <c r="Y416" s="28">
        <v>1</v>
      </c>
      <c r="Z416" s="352">
        <v>1</v>
      </c>
      <c r="AA416" s="28">
        <v>2</v>
      </c>
      <c r="AB416" s="28">
        <v>2</v>
      </c>
      <c r="AC416" s="28">
        <v>2</v>
      </c>
      <c r="AD416" s="28">
        <v>2</v>
      </c>
      <c r="AE416" s="28">
        <v>2</v>
      </c>
      <c r="AF416" s="352">
        <v>1</v>
      </c>
      <c r="AG416" s="352">
        <v>1</v>
      </c>
      <c r="AH416" s="352">
        <v>1</v>
      </c>
      <c r="AI416" s="352">
        <v>1</v>
      </c>
      <c r="AJ416" s="352">
        <v>2</v>
      </c>
      <c r="AK416" s="352">
        <v>2</v>
      </c>
      <c r="AL416" s="28">
        <v>1</v>
      </c>
      <c r="AM416" s="30">
        <v>2</v>
      </c>
    </row>
    <row r="417" spans="2:48" s="27" customFormat="1" x14ac:dyDescent="0.25">
      <c r="B417" s="344">
        <v>23</v>
      </c>
      <c r="C417" s="179">
        <v>1</v>
      </c>
      <c r="D417" s="28">
        <v>1</v>
      </c>
      <c r="E417" s="28">
        <v>2</v>
      </c>
      <c r="F417" s="28">
        <v>2</v>
      </c>
      <c r="G417" s="128" t="s">
        <v>1529</v>
      </c>
      <c r="H417" s="28">
        <v>2</v>
      </c>
      <c r="I417" s="128" t="s">
        <v>1529</v>
      </c>
      <c r="J417" s="28">
        <v>1</v>
      </c>
      <c r="K417" s="28">
        <v>1</v>
      </c>
      <c r="L417" s="28">
        <v>1</v>
      </c>
      <c r="M417" s="28">
        <v>1</v>
      </c>
      <c r="N417" s="28">
        <v>1</v>
      </c>
      <c r="O417" s="128" t="s">
        <v>1528</v>
      </c>
      <c r="P417" s="28">
        <v>1</v>
      </c>
      <c r="Q417" s="352">
        <v>2</v>
      </c>
      <c r="R417" s="352">
        <v>2</v>
      </c>
      <c r="S417" s="28">
        <v>1</v>
      </c>
      <c r="T417" s="28">
        <v>1</v>
      </c>
      <c r="U417" s="28">
        <v>1</v>
      </c>
      <c r="V417" s="28">
        <v>1</v>
      </c>
      <c r="W417" s="352">
        <v>2</v>
      </c>
      <c r="X417" s="352">
        <v>2</v>
      </c>
      <c r="Y417" s="28">
        <v>1</v>
      </c>
      <c r="Z417" s="352">
        <v>1</v>
      </c>
      <c r="AA417" s="28">
        <v>2</v>
      </c>
      <c r="AB417" s="28">
        <v>2</v>
      </c>
      <c r="AC417" s="28">
        <v>2</v>
      </c>
      <c r="AD417" s="28">
        <v>2</v>
      </c>
      <c r="AE417" s="28">
        <v>2</v>
      </c>
      <c r="AF417" s="352">
        <v>1</v>
      </c>
      <c r="AG417" s="352">
        <v>1</v>
      </c>
      <c r="AH417" s="352">
        <v>1</v>
      </c>
      <c r="AI417" s="352">
        <v>1</v>
      </c>
      <c r="AJ417" s="352">
        <v>2</v>
      </c>
      <c r="AK417" s="352">
        <v>2</v>
      </c>
      <c r="AL417" s="28">
        <v>1</v>
      </c>
      <c r="AM417" s="30">
        <v>2</v>
      </c>
    </row>
    <row r="418" spans="2:48" s="27" customFormat="1" x14ac:dyDescent="0.25">
      <c r="B418" s="344">
        <v>24</v>
      </c>
      <c r="C418" s="179">
        <v>1</v>
      </c>
      <c r="D418" s="28">
        <v>1</v>
      </c>
      <c r="E418" s="28">
        <v>2</v>
      </c>
      <c r="F418" s="28">
        <v>2</v>
      </c>
      <c r="G418" s="128" t="s">
        <v>1529</v>
      </c>
      <c r="H418" s="28">
        <v>2</v>
      </c>
      <c r="I418" s="128" t="s">
        <v>1529</v>
      </c>
      <c r="J418" s="28">
        <v>1</v>
      </c>
      <c r="K418" s="28">
        <v>1</v>
      </c>
      <c r="L418" s="28">
        <v>1</v>
      </c>
      <c r="M418" s="28">
        <v>1</v>
      </c>
      <c r="N418" s="28">
        <v>1</v>
      </c>
      <c r="O418" s="128" t="s">
        <v>1528</v>
      </c>
      <c r="P418" s="28">
        <v>1</v>
      </c>
      <c r="Q418" s="352">
        <v>2</v>
      </c>
      <c r="R418" s="352">
        <v>2</v>
      </c>
      <c r="S418" s="28">
        <v>1</v>
      </c>
      <c r="T418" s="28">
        <v>1</v>
      </c>
      <c r="U418" s="28">
        <v>1</v>
      </c>
      <c r="V418" s="28">
        <v>1</v>
      </c>
      <c r="W418" s="352">
        <v>2</v>
      </c>
      <c r="X418" s="352">
        <v>2</v>
      </c>
      <c r="Y418" s="28">
        <v>1</v>
      </c>
      <c r="Z418" s="352">
        <v>1</v>
      </c>
      <c r="AA418" s="28">
        <v>2</v>
      </c>
      <c r="AB418" s="28">
        <v>2</v>
      </c>
      <c r="AC418" s="28">
        <v>2</v>
      </c>
      <c r="AD418" s="28">
        <v>2</v>
      </c>
      <c r="AE418" s="28">
        <v>2</v>
      </c>
      <c r="AF418" s="352">
        <v>1</v>
      </c>
      <c r="AG418" s="352">
        <v>1</v>
      </c>
      <c r="AH418" s="352">
        <v>1</v>
      </c>
      <c r="AI418" s="352">
        <v>1</v>
      </c>
      <c r="AJ418" s="352">
        <v>2</v>
      </c>
      <c r="AK418" s="352">
        <v>2</v>
      </c>
      <c r="AL418" s="28">
        <v>1</v>
      </c>
      <c r="AM418" s="30">
        <v>2</v>
      </c>
    </row>
    <row r="419" spans="2:48" s="27" customFormat="1" x14ac:dyDescent="0.25">
      <c r="B419" s="344">
        <v>25</v>
      </c>
      <c r="C419" s="179">
        <v>1</v>
      </c>
      <c r="D419" s="28">
        <v>1</v>
      </c>
      <c r="E419" s="28">
        <v>2</v>
      </c>
      <c r="F419" s="28">
        <v>2</v>
      </c>
      <c r="G419" s="128" t="s">
        <v>1529</v>
      </c>
      <c r="H419" s="28">
        <v>2</v>
      </c>
      <c r="I419" s="128" t="s">
        <v>1529</v>
      </c>
      <c r="J419" s="28">
        <v>1</v>
      </c>
      <c r="K419" s="28">
        <v>1</v>
      </c>
      <c r="L419" s="28">
        <v>1</v>
      </c>
      <c r="M419" s="28">
        <v>1</v>
      </c>
      <c r="N419" s="28">
        <v>1</v>
      </c>
      <c r="O419" s="128" t="s">
        <v>1528</v>
      </c>
      <c r="P419" s="28">
        <v>1</v>
      </c>
      <c r="Q419" s="352">
        <v>2</v>
      </c>
      <c r="R419" s="352">
        <v>2</v>
      </c>
      <c r="S419" s="28">
        <v>1</v>
      </c>
      <c r="T419" s="28">
        <v>1</v>
      </c>
      <c r="U419" s="28">
        <v>1</v>
      </c>
      <c r="V419" s="28">
        <v>1</v>
      </c>
      <c r="W419" s="352">
        <v>2</v>
      </c>
      <c r="X419" s="352">
        <v>2</v>
      </c>
      <c r="Y419" s="28">
        <v>1</v>
      </c>
      <c r="Z419" s="352">
        <v>1</v>
      </c>
      <c r="AA419" s="28">
        <v>2</v>
      </c>
      <c r="AB419" s="28">
        <v>2</v>
      </c>
      <c r="AC419" s="28">
        <v>2</v>
      </c>
      <c r="AD419" s="28">
        <v>2</v>
      </c>
      <c r="AE419" s="28">
        <v>2</v>
      </c>
      <c r="AF419" s="352">
        <v>1</v>
      </c>
      <c r="AG419" s="352">
        <v>1</v>
      </c>
      <c r="AH419" s="352">
        <v>1</v>
      </c>
      <c r="AI419" s="352">
        <v>1</v>
      </c>
      <c r="AJ419" s="352">
        <v>2</v>
      </c>
      <c r="AK419" s="352">
        <v>2</v>
      </c>
      <c r="AL419" s="28">
        <v>1</v>
      </c>
      <c r="AM419" s="30">
        <v>2</v>
      </c>
    </row>
    <row r="420" spans="2:48" s="27" customFormat="1" x14ac:dyDescent="0.25">
      <c r="B420" s="344">
        <v>26</v>
      </c>
      <c r="C420" s="179">
        <v>1</v>
      </c>
      <c r="D420" s="28">
        <v>1</v>
      </c>
      <c r="E420" s="28">
        <v>2</v>
      </c>
      <c r="F420" s="28">
        <v>2</v>
      </c>
      <c r="G420" s="128" t="s">
        <v>1529</v>
      </c>
      <c r="H420" s="28">
        <v>2</v>
      </c>
      <c r="I420" s="128" t="s">
        <v>1529</v>
      </c>
      <c r="J420" s="28">
        <v>1</v>
      </c>
      <c r="K420" s="28">
        <v>1</v>
      </c>
      <c r="L420" s="28">
        <v>1</v>
      </c>
      <c r="M420" s="28">
        <v>1</v>
      </c>
      <c r="N420" s="28">
        <v>1</v>
      </c>
      <c r="O420" s="128" t="s">
        <v>1528</v>
      </c>
      <c r="P420" s="28">
        <v>1</v>
      </c>
      <c r="Q420" s="352">
        <v>2</v>
      </c>
      <c r="R420" s="352">
        <v>2</v>
      </c>
      <c r="S420" s="28">
        <v>1</v>
      </c>
      <c r="T420" s="28">
        <v>1</v>
      </c>
      <c r="U420" s="28">
        <v>1</v>
      </c>
      <c r="V420" s="28">
        <v>1</v>
      </c>
      <c r="W420" s="352">
        <v>2</v>
      </c>
      <c r="X420" s="352">
        <v>2</v>
      </c>
      <c r="Y420" s="28">
        <v>1</v>
      </c>
      <c r="Z420" s="352">
        <v>1</v>
      </c>
      <c r="AA420" s="28">
        <v>2</v>
      </c>
      <c r="AB420" s="28">
        <v>2</v>
      </c>
      <c r="AC420" s="28">
        <v>2</v>
      </c>
      <c r="AD420" s="28">
        <v>2</v>
      </c>
      <c r="AE420" s="28">
        <v>2</v>
      </c>
      <c r="AF420" s="352">
        <v>1</v>
      </c>
      <c r="AG420" s="352">
        <v>1</v>
      </c>
      <c r="AH420" s="352">
        <v>1</v>
      </c>
      <c r="AI420" s="352">
        <v>1</v>
      </c>
      <c r="AJ420" s="352">
        <v>2</v>
      </c>
      <c r="AK420" s="352">
        <v>2</v>
      </c>
      <c r="AL420" s="28">
        <v>1</v>
      </c>
      <c r="AM420" s="30">
        <v>2</v>
      </c>
    </row>
    <row r="421" spans="2:48" s="27" customFormat="1" x14ac:dyDescent="0.25">
      <c r="B421" s="344">
        <v>27</v>
      </c>
      <c r="C421" s="179">
        <v>1</v>
      </c>
      <c r="D421" s="28">
        <v>1</v>
      </c>
      <c r="E421" s="28">
        <v>2</v>
      </c>
      <c r="F421" s="28">
        <v>2</v>
      </c>
      <c r="G421" s="128" t="s">
        <v>1529</v>
      </c>
      <c r="H421" s="28">
        <v>2</v>
      </c>
      <c r="I421" s="128" t="s">
        <v>1529</v>
      </c>
      <c r="J421" s="28">
        <v>1</v>
      </c>
      <c r="K421" s="28">
        <v>1</v>
      </c>
      <c r="L421" s="28">
        <v>1</v>
      </c>
      <c r="M421" s="28">
        <v>1</v>
      </c>
      <c r="N421" s="28">
        <v>1</v>
      </c>
      <c r="O421" s="128" t="s">
        <v>1528</v>
      </c>
      <c r="P421" s="28">
        <v>1</v>
      </c>
      <c r="Q421" s="352">
        <v>2</v>
      </c>
      <c r="R421" s="352">
        <v>2</v>
      </c>
      <c r="S421" s="28">
        <v>1</v>
      </c>
      <c r="T421" s="28">
        <v>1</v>
      </c>
      <c r="U421" s="28">
        <v>1</v>
      </c>
      <c r="V421" s="28">
        <v>1</v>
      </c>
      <c r="W421" s="352">
        <v>2</v>
      </c>
      <c r="X421" s="352">
        <v>2</v>
      </c>
      <c r="Y421" s="28">
        <v>1</v>
      </c>
      <c r="Z421" s="352">
        <v>1</v>
      </c>
      <c r="AA421" s="28">
        <v>2</v>
      </c>
      <c r="AB421" s="28">
        <v>2</v>
      </c>
      <c r="AC421" s="28">
        <v>2</v>
      </c>
      <c r="AD421" s="28">
        <v>2</v>
      </c>
      <c r="AE421" s="28">
        <v>2</v>
      </c>
      <c r="AF421" s="352">
        <v>1</v>
      </c>
      <c r="AG421" s="352">
        <v>1</v>
      </c>
      <c r="AH421" s="352">
        <v>1</v>
      </c>
      <c r="AI421" s="352">
        <v>1</v>
      </c>
      <c r="AJ421" s="352">
        <v>2</v>
      </c>
      <c r="AK421" s="352">
        <v>2</v>
      </c>
      <c r="AL421" s="28">
        <v>1</v>
      </c>
      <c r="AM421" s="30">
        <v>2</v>
      </c>
    </row>
    <row r="422" spans="2:48" s="27" customFormat="1" x14ac:dyDescent="0.25">
      <c r="B422" s="344">
        <v>28</v>
      </c>
      <c r="C422" s="179">
        <v>1</v>
      </c>
      <c r="D422" s="28">
        <v>1</v>
      </c>
      <c r="E422" s="28">
        <v>2</v>
      </c>
      <c r="F422" s="28">
        <v>2</v>
      </c>
      <c r="G422" s="128" t="s">
        <v>1529</v>
      </c>
      <c r="H422" s="28">
        <v>2</v>
      </c>
      <c r="I422" s="128" t="s">
        <v>1529</v>
      </c>
      <c r="J422" s="28">
        <v>1</v>
      </c>
      <c r="K422" s="28">
        <v>1</v>
      </c>
      <c r="L422" s="28">
        <v>1</v>
      </c>
      <c r="M422" s="28">
        <v>1</v>
      </c>
      <c r="N422" s="28">
        <v>1</v>
      </c>
      <c r="O422" s="128" t="s">
        <v>1528</v>
      </c>
      <c r="P422" s="28">
        <v>1</v>
      </c>
      <c r="Q422" s="352">
        <v>2</v>
      </c>
      <c r="R422" s="352">
        <v>2</v>
      </c>
      <c r="S422" s="28">
        <v>1</v>
      </c>
      <c r="T422" s="28">
        <v>1</v>
      </c>
      <c r="U422" s="28">
        <v>1</v>
      </c>
      <c r="V422" s="28">
        <v>1</v>
      </c>
      <c r="W422" s="352">
        <v>2</v>
      </c>
      <c r="X422" s="352">
        <v>2</v>
      </c>
      <c r="Y422" s="28">
        <v>1</v>
      </c>
      <c r="Z422" s="352">
        <v>1</v>
      </c>
      <c r="AA422" s="28">
        <v>2</v>
      </c>
      <c r="AB422" s="28">
        <v>2</v>
      </c>
      <c r="AC422" s="28">
        <v>2</v>
      </c>
      <c r="AD422" s="28">
        <v>2</v>
      </c>
      <c r="AE422" s="28">
        <v>2</v>
      </c>
      <c r="AF422" s="352">
        <v>1</v>
      </c>
      <c r="AG422" s="352">
        <v>1</v>
      </c>
      <c r="AH422" s="352">
        <v>1</v>
      </c>
      <c r="AI422" s="352">
        <v>1</v>
      </c>
      <c r="AJ422" s="352">
        <v>2</v>
      </c>
      <c r="AK422" s="352">
        <v>2</v>
      </c>
      <c r="AL422" s="28">
        <v>1</v>
      </c>
      <c r="AM422" s="30">
        <v>2</v>
      </c>
    </row>
    <row r="423" spans="2:48" s="27" customFormat="1" x14ac:dyDescent="0.25">
      <c r="B423" s="344">
        <v>29</v>
      </c>
      <c r="C423" s="179">
        <v>1</v>
      </c>
      <c r="D423" s="28">
        <v>1</v>
      </c>
      <c r="E423" s="28">
        <v>2</v>
      </c>
      <c r="F423" s="28">
        <v>2</v>
      </c>
      <c r="G423" s="128" t="s">
        <v>1529</v>
      </c>
      <c r="H423" s="28">
        <v>2</v>
      </c>
      <c r="I423" s="128" t="s">
        <v>1529</v>
      </c>
      <c r="J423" s="28">
        <v>1</v>
      </c>
      <c r="K423" s="28">
        <v>1</v>
      </c>
      <c r="L423" s="28">
        <v>1</v>
      </c>
      <c r="M423" s="28">
        <v>1</v>
      </c>
      <c r="N423" s="28">
        <v>1</v>
      </c>
      <c r="O423" s="128" t="s">
        <v>1528</v>
      </c>
      <c r="P423" s="28">
        <v>1</v>
      </c>
      <c r="Q423" s="352">
        <v>2</v>
      </c>
      <c r="R423" s="352">
        <v>2</v>
      </c>
      <c r="S423" s="28">
        <v>1</v>
      </c>
      <c r="T423" s="28">
        <v>1</v>
      </c>
      <c r="U423" s="28">
        <v>1</v>
      </c>
      <c r="V423" s="28">
        <v>1</v>
      </c>
      <c r="W423" s="352">
        <v>2</v>
      </c>
      <c r="X423" s="352">
        <v>2</v>
      </c>
      <c r="Y423" s="28">
        <v>1</v>
      </c>
      <c r="Z423" s="352">
        <v>1</v>
      </c>
      <c r="AA423" s="28">
        <v>2</v>
      </c>
      <c r="AB423" s="28">
        <v>2</v>
      </c>
      <c r="AC423" s="28">
        <v>2</v>
      </c>
      <c r="AD423" s="28">
        <v>2</v>
      </c>
      <c r="AE423" s="28">
        <v>2</v>
      </c>
      <c r="AF423" s="352">
        <v>1</v>
      </c>
      <c r="AG423" s="352">
        <v>1</v>
      </c>
      <c r="AH423" s="352">
        <v>1</v>
      </c>
      <c r="AI423" s="352">
        <v>1</v>
      </c>
      <c r="AJ423" s="352">
        <v>2</v>
      </c>
      <c r="AK423" s="352">
        <v>2</v>
      </c>
      <c r="AL423" s="28">
        <v>1</v>
      </c>
      <c r="AM423" s="30">
        <v>2</v>
      </c>
    </row>
    <row r="424" spans="2:48" s="27" customFormat="1" x14ac:dyDescent="0.25">
      <c r="B424" s="344">
        <v>30</v>
      </c>
      <c r="C424" s="179">
        <v>1</v>
      </c>
      <c r="D424" s="28">
        <v>1</v>
      </c>
      <c r="E424" s="28">
        <v>2</v>
      </c>
      <c r="F424" s="28">
        <v>2</v>
      </c>
      <c r="G424" s="128" t="s">
        <v>1529</v>
      </c>
      <c r="H424" s="28">
        <v>2</v>
      </c>
      <c r="I424" s="128" t="s">
        <v>1529</v>
      </c>
      <c r="J424" s="28">
        <v>1</v>
      </c>
      <c r="K424" s="28">
        <v>1</v>
      </c>
      <c r="L424" s="28">
        <v>1</v>
      </c>
      <c r="M424" s="28">
        <v>1</v>
      </c>
      <c r="N424" s="28">
        <v>1</v>
      </c>
      <c r="O424" s="128" t="s">
        <v>1528</v>
      </c>
      <c r="P424" s="28">
        <v>1</v>
      </c>
      <c r="Q424" s="352">
        <v>2</v>
      </c>
      <c r="R424" s="352">
        <v>2</v>
      </c>
      <c r="S424" s="28">
        <v>1</v>
      </c>
      <c r="T424" s="28">
        <v>1</v>
      </c>
      <c r="U424" s="28">
        <v>1</v>
      </c>
      <c r="V424" s="28">
        <v>1</v>
      </c>
      <c r="W424" s="352">
        <v>2</v>
      </c>
      <c r="X424" s="352">
        <v>2</v>
      </c>
      <c r="Y424" s="28">
        <v>1</v>
      </c>
      <c r="Z424" s="352">
        <v>1</v>
      </c>
      <c r="AA424" s="28">
        <v>2</v>
      </c>
      <c r="AB424" s="28">
        <v>2</v>
      </c>
      <c r="AC424" s="28">
        <v>2</v>
      </c>
      <c r="AD424" s="28">
        <v>2</v>
      </c>
      <c r="AE424" s="28">
        <v>2</v>
      </c>
      <c r="AF424" s="352">
        <v>1</v>
      </c>
      <c r="AG424" s="352">
        <v>1</v>
      </c>
      <c r="AH424" s="352">
        <v>1</v>
      </c>
      <c r="AI424" s="352">
        <v>1</v>
      </c>
      <c r="AJ424" s="352">
        <v>2</v>
      </c>
      <c r="AK424" s="352">
        <v>2</v>
      </c>
      <c r="AL424" s="28">
        <v>1</v>
      </c>
      <c r="AM424" s="30">
        <v>2</v>
      </c>
    </row>
    <row r="425" spans="2:48" s="27" customFormat="1" x14ac:dyDescent="0.25">
      <c r="B425" s="344">
        <v>31</v>
      </c>
      <c r="C425" s="179">
        <v>1</v>
      </c>
      <c r="D425" s="28">
        <v>1</v>
      </c>
      <c r="E425" s="28">
        <v>2</v>
      </c>
      <c r="F425" s="28">
        <v>2</v>
      </c>
      <c r="G425" s="128" t="s">
        <v>1529</v>
      </c>
      <c r="H425" s="28">
        <v>2</v>
      </c>
      <c r="I425" s="128" t="s">
        <v>1529</v>
      </c>
      <c r="J425" s="28">
        <v>1</v>
      </c>
      <c r="K425" s="28">
        <v>1</v>
      </c>
      <c r="L425" s="28">
        <v>1</v>
      </c>
      <c r="M425" s="28">
        <v>1</v>
      </c>
      <c r="N425" s="28">
        <v>1</v>
      </c>
      <c r="O425" s="128" t="s">
        <v>1528</v>
      </c>
      <c r="P425" s="28">
        <v>1</v>
      </c>
      <c r="Q425" s="352">
        <v>2</v>
      </c>
      <c r="R425" s="352">
        <v>2</v>
      </c>
      <c r="S425" s="28">
        <v>1</v>
      </c>
      <c r="T425" s="28">
        <v>1</v>
      </c>
      <c r="U425" s="28">
        <v>1</v>
      </c>
      <c r="V425" s="28">
        <v>1</v>
      </c>
      <c r="W425" s="352">
        <v>2</v>
      </c>
      <c r="X425" s="352">
        <v>2</v>
      </c>
      <c r="Y425" s="28">
        <v>1</v>
      </c>
      <c r="Z425" s="352">
        <v>1</v>
      </c>
      <c r="AA425" s="28">
        <v>2</v>
      </c>
      <c r="AB425" s="28">
        <v>2</v>
      </c>
      <c r="AC425" s="28">
        <v>2</v>
      </c>
      <c r="AD425" s="28">
        <v>2</v>
      </c>
      <c r="AE425" s="28">
        <v>2</v>
      </c>
      <c r="AF425" s="352">
        <v>1</v>
      </c>
      <c r="AG425" s="352">
        <v>1</v>
      </c>
      <c r="AH425" s="352">
        <v>1</v>
      </c>
      <c r="AI425" s="352">
        <v>1</v>
      </c>
      <c r="AJ425" s="352">
        <v>2</v>
      </c>
      <c r="AK425" s="352">
        <v>2</v>
      </c>
      <c r="AL425" s="28">
        <v>1</v>
      </c>
      <c r="AM425" s="30">
        <v>2</v>
      </c>
    </row>
    <row r="426" spans="2:48" s="27" customFormat="1" x14ac:dyDescent="0.25">
      <c r="B426" s="344">
        <v>32</v>
      </c>
      <c r="C426" s="179">
        <v>1</v>
      </c>
      <c r="D426" s="28">
        <v>1</v>
      </c>
      <c r="E426" s="28">
        <v>2</v>
      </c>
      <c r="F426" s="28">
        <v>2</v>
      </c>
      <c r="G426" s="128" t="s">
        <v>1529</v>
      </c>
      <c r="H426" s="28">
        <v>2</v>
      </c>
      <c r="I426" s="128" t="s">
        <v>1529</v>
      </c>
      <c r="J426" s="28">
        <v>1</v>
      </c>
      <c r="K426" s="28">
        <v>1</v>
      </c>
      <c r="L426" s="28">
        <v>1</v>
      </c>
      <c r="M426" s="28">
        <v>1</v>
      </c>
      <c r="N426" s="28">
        <v>1</v>
      </c>
      <c r="O426" s="128" t="s">
        <v>1528</v>
      </c>
      <c r="P426" s="28">
        <v>1</v>
      </c>
      <c r="Q426" s="352">
        <v>2</v>
      </c>
      <c r="R426" s="352">
        <v>2</v>
      </c>
      <c r="S426" s="28">
        <v>1</v>
      </c>
      <c r="T426" s="28">
        <v>1</v>
      </c>
      <c r="U426" s="28">
        <v>1</v>
      </c>
      <c r="V426" s="28">
        <v>1</v>
      </c>
      <c r="W426" s="352">
        <v>2</v>
      </c>
      <c r="X426" s="352">
        <v>2</v>
      </c>
      <c r="Y426" s="28">
        <v>1</v>
      </c>
      <c r="Z426" s="352">
        <v>1</v>
      </c>
      <c r="AA426" s="28">
        <v>2</v>
      </c>
      <c r="AB426" s="28">
        <v>2</v>
      </c>
      <c r="AC426" s="28">
        <v>2</v>
      </c>
      <c r="AD426" s="28">
        <v>2</v>
      </c>
      <c r="AE426" s="28">
        <v>2</v>
      </c>
      <c r="AF426" s="352">
        <v>1</v>
      </c>
      <c r="AG426" s="352">
        <v>1</v>
      </c>
      <c r="AH426" s="352">
        <v>1</v>
      </c>
      <c r="AI426" s="352">
        <v>1</v>
      </c>
      <c r="AJ426" s="352">
        <v>2</v>
      </c>
      <c r="AK426" s="352">
        <v>2</v>
      </c>
      <c r="AL426" s="28">
        <v>1</v>
      </c>
      <c r="AM426" s="30">
        <v>2</v>
      </c>
    </row>
    <row r="427" spans="2:48" s="27" customFormat="1" x14ac:dyDescent="0.25">
      <c r="B427" s="344">
        <v>33</v>
      </c>
      <c r="C427" s="179">
        <v>1</v>
      </c>
      <c r="D427" s="28">
        <v>1</v>
      </c>
      <c r="E427" s="28">
        <v>2</v>
      </c>
      <c r="F427" s="28">
        <v>2</v>
      </c>
      <c r="G427" s="128" t="s">
        <v>1529</v>
      </c>
      <c r="H427" s="28">
        <v>2</v>
      </c>
      <c r="I427" s="128" t="s">
        <v>1529</v>
      </c>
      <c r="J427" s="28">
        <v>1</v>
      </c>
      <c r="K427" s="28">
        <v>1</v>
      </c>
      <c r="L427" s="28">
        <v>1</v>
      </c>
      <c r="M427" s="28">
        <v>1</v>
      </c>
      <c r="N427" s="28">
        <v>1</v>
      </c>
      <c r="O427" s="128" t="s">
        <v>1528</v>
      </c>
      <c r="P427" s="28">
        <v>1</v>
      </c>
      <c r="Q427" s="352">
        <v>2</v>
      </c>
      <c r="R427" s="352">
        <v>2</v>
      </c>
      <c r="S427" s="28">
        <v>1</v>
      </c>
      <c r="T427" s="28">
        <v>1</v>
      </c>
      <c r="U427" s="28">
        <v>1</v>
      </c>
      <c r="V427" s="28">
        <v>1</v>
      </c>
      <c r="W427" s="352">
        <v>2</v>
      </c>
      <c r="X427" s="352">
        <v>2</v>
      </c>
      <c r="Y427" s="28">
        <v>1</v>
      </c>
      <c r="Z427" s="352">
        <v>1</v>
      </c>
      <c r="AA427" s="28">
        <v>2</v>
      </c>
      <c r="AB427" s="28">
        <v>2</v>
      </c>
      <c r="AC427" s="28">
        <v>2</v>
      </c>
      <c r="AD427" s="28">
        <v>2</v>
      </c>
      <c r="AE427" s="28">
        <v>2</v>
      </c>
      <c r="AF427" s="352">
        <v>1</v>
      </c>
      <c r="AG427" s="352">
        <v>1</v>
      </c>
      <c r="AH427" s="352">
        <v>1</v>
      </c>
      <c r="AI427" s="352">
        <v>1</v>
      </c>
      <c r="AJ427" s="352">
        <v>2</v>
      </c>
      <c r="AK427" s="352">
        <v>2</v>
      </c>
      <c r="AL427" s="28">
        <v>1</v>
      </c>
      <c r="AM427" s="30">
        <v>2</v>
      </c>
    </row>
    <row r="428" spans="2:48" s="27" customFormat="1" x14ac:dyDescent="0.25">
      <c r="B428" s="344">
        <v>34</v>
      </c>
      <c r="C428" s="179">
        <v>1</v>
      </c>
      <c r="D428" s="28">
        <v>1</v>
      </c>
      <c r="E428" s="28">
        <v>2</v>
      </c>
      <c r="F428" s="28">
        <v>2</v>
      </c>
      <c r="G428" s="128" t="s">
        <v>1529</v>
      </c>
      <c r="H428" s="28">
        <v>2</v>
      </c>
      <c r="I428" s="128" t="s">
        <v>1529</v>
      </c>
      <c r="J428" s="28">
        <v>1</v>
      </c>
      <c r="K428" s="28">
        <v>1</v>
      </c>
      <c r="L428" s="28">
        <v>1</v>
      </c>
      <c r="M428" s="28">
        <v>1</v>
      </c>
      <c r="N428" s="28">
        <v>1</v>
      </c>
      <c r="O428" s="128" t="s">
        <v>1528</v>
      </c>
      <c r="P428" s="28">
        <v>1</v>
      </c>
      <c r="Q428" s="352">
        <v>2</v>
      </c>
      <c r="R428" s="352">
        <v>2</v>
      </c>
      <c r="S428" s="28">
        <v>1</v>
      </c>
      <c r="T428" s="28">
        <v>1</v>
      </c>
      <c r="U428" s="28">
        <v>1</v>
      </c>
      <c r="V428" s="28">
        <v>1</v>
      </c>
      <c r="W428" s="352">
        <v>2</v>
      </c>
      <c r="X428" s="352">
        <v>2</v>
      </c>
      <c r="Y428" s="28">
        <v>1</v>
      </c>
      <c r="Z428" s="352">
        <v>1</v>
      </c>
      <c r="AA428" s="28">
        <v>2</v>
      </c>
      <c r="AB428" s="28">
        <v>2</v>
      </c>
      <c r="AC428" s="28">
        <v>2</v>
      </c>
      <c r="AD428" s="28">
        <v>2</v>
      </c>
      <c r="AE428" s="28">
        <v>2</v>
      </c>
      <c r="AF428" s="352">
        <v>1</v>
      </c>
      <c r="AG428" s="352">
        <v>1</v>
      </c>
      <c r="AH428" s="352">
        <v>1</v>
      </c>
      <c r="AI428" s="352">
        <v>1</v>
      </c>
      <c r="AJ428" s="352">
        <v>2</v>
      </c>
      <c r="AK428" s="352">
        <v>2</v>
      </c>
      <c r="AL428" s="28">
        <v>1</v>
      </c>
      <c r="AM428" s="30">
        <v>2</v>
      </c>
    </row>
    <row r="429" spans="2:48" s="27" customFormat="1" x14ac:dyDescent="0.25">
      <c r="B429" s="344">
        <v>35</v>
      </c>
      <c r="C429" s="179">
        <v>1</v>
      </c>
      <c r="D429" s="28">
        <v>1</v>
      </c>
      <c r="E429" s="28">
        <v>2</v>
      </c>
      <c r="F429" s="28">
        <v>2</v>
      </c>
      <c r="G429" s="128" t="s">
        <v>1529</v>
      </c>
      <c r="H429" s="28">
        <v>2</v>
      </c>
      <c r="I429" s="128" t="s">
        <v>1529</v>
      </c>
      <c r="J429" s="28">
        <v>1</v>
      </c>
      <c r="K429" s="28">
        <v>1</v>
      </c>
      <c r="L429" s="28">
        <v>1</v>
      </c>
      <c r="M429" s="28">
        <v>1</v>
      </c>
      <c r="N429" s="28">
        <v>1</v>
      </c>
      <c r="O429" s="128" t="s">
        <v>1528</v>
      </c>
      <c r="P429" s="28">
        <v>1</v>
      </c>
      <c r="Q429" s="352">
        <v>2</v>
      </c>
      <c r="R429" s="352">
        <v>2</v>
      </c>
      <c r="S429" s="28">
        <v>1</v>
      </c>
      <c r="T429" s="28">
        <v>1</v>
      </c>
      <c r="U429" s="28">
        <v>1</v>
      </c>
      <c r="V429" s="28">
        <v>1</v>
      </c>
      <c r="W429" s="352">
        <v>2</v>
      </c>
      <c r="X429" s="352">
        <v>2</v>
      </c>
      <c r="Y429" s="28">
        <v>1</v>
      </c>
      <c r="Z429" s="352">
        <v>1</v>
      </c>
      <c r="AA429" s="28">
        <v>2</v>
      </c>
      <c r="AB429" s="28">
        <v>2</v>
      </c>
      <c r="AC429" s="28">
        <v>2</v>
      </c>
      <c r="AD429" s="28">
        <v>2</v>
      </c>
      <c r="AE429" s="28">
        <v>2</v>
      </c>
      <c r="AF429" s="352">
        <v>1</v>
      </c>
      <c r="AG429" s="352">
        <v>1</v>
      </c>
      <c r="AH429" s="352">
        <v>1</v>
      </c>
      <c r="AI429" s="352">
        <v>1</v>
      </c>
      <c r="AJ429" s="352">
        <v>2</v>
      </c>
      <c r="AK429" s="352">
        <v>2</v>
      </c>
      <c r="AL429" s="28">
        <v>1</v>
      </c>
      <c r="AM429" s="30">
        <v>2</v>
      </c>
    </row>
    <row r="430" spans="2:48" s="27" customFormat="1" ht="15.75" thickBot="1" x14ac:dyDescent="0.3">
      <c r="B430" s="107">
        <v>36</v>
      </c>
      <c r="C430" s="213">
        <v>1</v>
      </c>
      <c r="D430" s="32">
        <v>1</v>
      </c>
      <c r="E430" s="32">
        <v>2</v>
      </c>
      <c r="F430" s="32">
        <v>2</v>
      </c>
      <c r="G430" s="130" t="s">
        <v>1529</v>
      </c>
      <c r="H430" s="32">
        <v>2</v>
      </c>
      <c r="I430" s="130" t="s">
        <v>1529</v>
      </c>
      <c r="J430" s="32">
        <v>1</v>
      </c>
      <c r="K430" s="32">
        <v>1</v>
      </c>
      <c r="L430" s="32">
        <v>1</v>
      </c>
      <c r="M430" s="32">
        <v>1</v>
      </c>
      <c r="N430" s="32">
        <v>1</v>
      </c>
      <c r="O430" s="130" t="s">
        <v>1528</v>
      </c>
      <c r="P430" s="32">
        <v>1</v>
      </c>
      <c r="Q430" s="353">
        <v>2</v>
      </c>
      <c r="R430" s="353">
        <v>2</v>
      </c>
      <c r="S430" s="32">
        <v>1</v>
      </c>
      <c r="T430" s="32">
        <v>1</v>
      </c>
      <c r="U430" s="32">
        <v>1</v>
      </c>
      <c r="V430" s="32">
        <v>1</v>
      </c>
      <c r="W430" s="353">
        <v>2</v>
      </c>
      <c r="X430" s="353">
        <v>2</v>
      </c>
      <c r="Y430" s="32">
        <v>1</v>
      </c>
      <c r="Z430" s="353">
        <v>1</v>
      </c>
      <c r="AA430" s="32">
        <v>2</v>
      </c>
      <c r="AB430" s="32">
        <v>2</v>
      </c>
      <c r="AC430" s="32">
        <v>2</v>
      </c>
      <c r="AD430" s="32">
        <v>2</v>
      </c>
      <c r="AE430" s="32">
        <v>2</v>
      </c>
      <c r="AF430" s="353">
        <v>1</v>
      </c>
      <c r="AG430" s="353">
        <v>1</v>
      </c>
      <c r="AH430" s="353">
        <v>1</v>
      </c>
      <c r="AI430" s="353">
        <v>1</v>
      </c>
      <c r="AJ430" s="353">
        <v>2</v>
      </c>
      <c r="AK430" s="353">
        <v>2</v>
      </c>
      <c r="AL430" s="32">
        <v>1</v>
      </c>
      <c r="AM430" s="33">
        <v>2</v>
      </c>
    </row>
    <row r="431" spans="2:48" s="27" customFormat="1" x14ac:dyDescent="0.25">
      <c r="B431" s="26"/>
      <c r="Y431"/>
      <c r="Z431"/>
      <c r="AA431"/>
    </row>
    <row r="432" spans="2:48" s="27" customFormat="1" ht="19.5" thickBot="1" x14ac:dyDescent="0.35">
      <c r="B432" s="121" t="s">
        <v>399</v>
      </c>
      <c r="C432" s="27" t="s">
        <v>248</v>
      </c>
      <c r="D432" s="27" t="s">
        <v>61</v>
      </c>
      <c r="E432" s="27" t="s">
        <v>62</v>
      </c>
      <c r="F432" s="27" t="s">
        <v>94</v>
      </c>
      <c r="G432" s="27" t="s">
        <v>86</v>
      </c>
      <c r="H432" s="27" t="s">
        <v>1449</v>
      </c>
      <c r="I432" s="27" t="s">
        <v>1450</v>
      </c>
      <c r="J432" s="27" t="s">
        <v>102</v>
      </c>
      <c r="K432" s="27" t="s">
        <v>117</v>
      </c>
      <c r="L432" s="27" t="s">
        <v>126</v>
      </c>
      <c r="M432" s="27" t="s">
        <v>1558</v>
      </c>
      <c r="N432" s="27" t="s">
        <v>136</v>
      </c>
      <c r="O432" s="27" t="s">
        <v>361</v>
      </c>
      <c r="P432" s="27" t="s">
        <v>1451</v>
      </c>
      <c r="Q432" s="349" t="s">
        <v>1453</v>
      </c>
      <c r="R432" s="349" t="s">
        <v>1454</v>
      </c>
      <c r="S432" s="27" t="s">
        <v>1455</v>
      </c>
      <c r="T432" s="27" t="s">
        <v>1472</v>
      </c>
      <c r="U432" s="27" t="s">
        <v>1456</v>
      </c>
      <c r="V432" s="27" t="s">
        <v>1457</v>
      </c>
      <c r="W432" s="349" t="s">
        <v>1468</v>
      </c>
      <c r="X432" s="349" t="s">
        <v>1469</v>
      </c>
      <c r="Y432" t="s">
        <v>1470</v>
      </c>
      <c r="Z432" t="s">
        <v>1471</v>
      </c>
      <c r="AA432" t="s">
        <v>1458</v>
      </c>
      <c r="AB432" t="s">
        <v>1473</v>
      </c>
      <c r="AC432" t="s">
        <v>1467</v>
      </c>
      <c r="AD432" t="s">
        <v>1459</v>
      </c>
      <c r="AE432" t="s">
        <v>1460</v>
      </c>
      <c r="AF432" t="s">
        <v>1461</v>
      </c>
      <c r="AG432" t="s">
        <v>1462</v>
      </c>
      <c r="AH432" s="27" t="s">
        <v>1474</v>
      </c>
      <c r="AI432" s="27" t="s">
        <v>1507</v>
      </c>
      <c r="AJ432" s="349" t="s">
        <v>1463</v>
      </c>
      <c r="AK432" s="349" t="s">
        <v>1464</v>
      </c>
      <c r="AL432" s="27" t="s">
        <v>1466</v>
      </c>
      <c r="AM432" s="27" t="s">
        <v>1465</v>
      </c>
      <c r="AO432" s="439" t="s">
        <v>62</v>
      </c>
      <c r="AP432" s="440" t="s">
        <v>94</v>
      </c>
      <c r="AQ432" s="439" t="s">
        <v>62</v>
      </c>
      <c r="AR432" s="440" t="s">
        <v>94</v>
      </c>
      <c r="AS432" s="439" t="s">
        <v>62</v>
      </c>
      <c r="AT432" s="440" t="s">
        <v>94</v>
      </c>
      <c r="AU432" s="439" t="s">
        <v>62</v>
      </c>
      <c r="AV432" s="440" t="s">
        <v>94</v>
      </c>
    </row>
    <row r="433" spans="2:48" s="42" customFormat="1" ht="15.75" thickBot="1" x14ac:dyDescent="0.3">
      <c r="B433" s="243" t="s">
        <v>1682</v>
      </c>
      <c r="C433" s="435">
        <v>1</v>
      </c>
      <c r="D433" s="436">
        <v>2</v>
      </c>
      <c r="E433" s="438">
        <v>3</v>
      </c>
      <c r="F433" s="438">
        <v>4</v>
      </c>
      <c r="G433" s="437">
        <v>5</v>
      </c>
      <c r="H433" s="436">
        <v>6</v>
      </c>
      <c r="I433" s="438">
        <v>7</v>
      </c>
      <c r="J433" s="436">
        <v>8</v>
      </c>
      <c r="K433" s="435">
        <v>9</v>
      </c>
      <c r="L433" s="436">
        <v>10</v>
      </c>
      <c r="M433" s="436">
        <v>11</v>
      </c>
      <c r="N433" s="436">
        <v>12</v>
      </c>
      <c r="O433" s="435">
        <v>13</v>
      </c>
      <c r="P433" s="438">
        <v>14</v>
      </c>
      <c r="Q433" s="436">
        <v>15</v>
      </c>
      <c r="R433" s="436">
        <v>16</v>
      </c>
      <c r="S433" s="435">
        <v>17</v>
      </c>
      <c r="T433" s="436">
        <v>18</v>
      </c>
      <c r="U433" s="436">
        <v>19</v>
      </c>
      <c r="V433" s="436">
        <v>20</v>
      </c>
      <c r="W433" s="435">
        <v>21</v>
      </c>
      <c r="X433" s="436">
        <v>22</v>
      </c>
      <c r="Y433" s="436">
        <v>23</v>
      </c>
      <c r="Z433" s="436">
        <v>24</v>
      </c>
      <c r="AA433" s="435">
        <v>25</v>
      </c>
      <c r="AB433" s="436">
        <v>26</v>
      </c>
      <c r="AC433" s="436">
        <v>27</v>
      </c>
      <c r="AD433" s="436">
        <v>28</v>
      </c>
      <c r="AE433" s="435">
        <v>29</v>
      </c>
      <c r="AF433" s="436">
        <v>30</v>
      </c>
      <c r="AG433" s="436">
        <v>31</v>
      </c>
      <c r="AH433" s="436">
        <v>32</v>
      </c>
      <c r="AI433" s="435">
        <v>33</v>
      </c>
      <c r="AJ433" s="436">
        <v>34</v>
      </c>
      <c r="AK433" s="436">
        <v>35</v>
      </c>
      <c r="AL433" s="436">
        <v>36</v>
      </c>
      <c r="AM433" s="435">
        <v>37</v>
      </c>
      <c r="AO433" s="441">
        <v>3</v>
      </c>
      <c r="AP433" s="442">
        <v>4</v>
      </c>
      <c r="AQ433" s="441">
        <v>3</v>
      </c>
      <c r="AR433" s="442">
        <v>4</v>
      </c>
      <c r="AS433" s="441">
        <v>3</v>
      </c>
      <c r="AT433" s="442">
        <v>4</v>
      </c>
      <c r="AU433" s="441">
        <v>3</v>
      </c>
      <c r="AV433" s="442">
        <v>4</v>
      </c>
    </row>
    <row r="434" spans="2:48" s="27" customFormat="1" x14ac:dyDescent="0.25">
      <c r="B434" s="398">
        <v>1</v>
      </c>
      <c r="C434" s="301">
        <v>1</v>
      </c>
      <c r="D434" s="46">
        <v>1</v>
      </c>
      <c r="E434" s="133" t="s">
        <v>1528</v>
      </c>
      <c r="F434" s="133" t="s">
        <v>1528</v>
      </c>
      <c r="G434" s="133" t="s">
        <v>1528</v>
      </c>
      <c r="H434" s="46">
        <v>1</v>
      </c>
      <c r="I434" s="133" t="s">
        <v>1528</v>
      </c>
      <c r="J434" s="133">
        <v>1</v>
      </c>
      <c r="K434" s="133">
        <v>1</v>
      </c>
      <c r="L434" s="133">
        <v>1</v>
      </c>
      <c r="M434" s="133">
        <v>1</v>
      </c>
      <c r="N434" s="133">
        <v>1</v>
      </c>
      <c r="O434" s="46">
        <v>1</v>
      </c>
      <c r="P434" s="133">
        <v>1</v>
      </c>
      <c r="Q434" s="351">
        <v>1</v>
      </c>
      <c r="R434" s="351">
        <v>1</v>
      </c>
      <c r="S434" s="46">
        <v>1</v>
      </c>
      <c r="T434" s="46">
        <v>1</v>
      </c>
      <c r="U434" s="46">
        <v>1</v>
      </c>
      <c r="V434" s="46">
        <v>1</v>
      </c>
      <c r="W434" s="351">
        <v>1</v>
      </c>
      <c r="X434" s="351">
        <v>1</v>
      </c>
      <c r="Y434" s="46">
        <v>1</v>
      </c>
      <c r="Z434" s="46">
        <v>1</v>
      </c>
      <c r="AA434" s="46">
        <v>1</v>
      </c>
      <c r="AB434" s="46">
        <v>1</v>
      </c>
      <c r="AC434" s="46">
        <v>1</v>
      </c>
      <c r="AD434" s="46">
        <v>1</v>
      </c>
      <c r="AE434" s="46">
        <v>1</v>
      </c>
      <c r="AF434" s="46">
        <v>1</v>
      </c>
      <c r="AG434" s="46">
        <v>1</v>
      </c>
      <c r="AH434" s="46">
        <v>1</v>
      </c>
      <c r="AI434" s="46">
        <v>1</v>
      </c>
      <c r="AJ434" s="351">
        <v>1</v>
      </c>
      <c r="AK434" s="351">
        <v>1</v>
      </c>
      <c r="AL434" s="46">
        <v>1</v>
      </c>
      <c r="AM434" s="47">
        <v>1</v>
      </c>
      <c r="AO434" s="176">
        <v>2</v>
      </c>
      <c r="AP434" s="136">
        <v>2</v>
      </c>
      <c r="AQ434" s="176">
        <v>1</v>
      </c>
      <c r="AR434" s="136">
        <v>1</v>
      </c>
      <c r="AS434" s="443" t="s">
        <v>1713</v>
      </c>
      <c r="AT434" s="136" t="s">
        <v>1713</v>
      </c>
      <c r="AU434" s="443">
        <v>3</v>
      </c>
      <c r="AV434" s="136">
        <v>3</v>
      </c>
    </row>
    <row r="435" spans="2:48" s="27" customFormat="1" x14ac:dyDescent="0.25">
      <c r="B435" s="399">
        <v>2</v>
      </c>
      <c r="C435" s="179">
        <v>1</v>
      </c>
      <c r="D435" s="28">
        <v>1</v>
      </c>
      <c r="E435" s="28" t="s">
        <v>1528</v>
      </c>
      <c r="F435" s="28" t="s">
        <v>1528</v>
      </c>
      <c r="G435" s="28" t="s">
        <v>1528</v>
      </c>
      <c r="H435" s="28">
        <v>1</v>
      </c>
      <c r="I435" s="28" t="s">
        <v>1528</v>
      </c>
      <c r="J435" s="28">
        <v>1</v>
      </c>
      <c r="K435" s="28">
        <v>1</v>
      </c>
      <c r="L435" s="28">
        <v>1</v>
      </c>
      <c r="M435" s="28">
        <v>1</v>
      </c>
      <c r="N435" s="28">
        <v>1</v>
      </c>
      <c r="O435" s="28">
        <v>1</v>
      </c>
      <c r="P435" s="28">
        <v>1</v>
      </c>
      <c r="Q435" s="352">
        <v>1</v>
      </c>
      <c r="R435" s="352">
        <v>1</v>
      </c>
      <c r="S435" s="28">
        <v>1</v>
      </c>
      <c r="T435" s="28">
        <v>1</v>
      </c>
      <c r="U435" s="28">
        <v>1</v>
      </c>
      <c r="V435" s="28">
        <v>1</v>
      </c>
      <c r="W435" s="352">
        <v>1</v>
      </c>
      <c r="X435" s="352">
        <v>1</v>
      </c>
      <c r="Y435" s="28">
        <v>1</v>
      </c>
      <c r="Z435" s="28">
        <v>1</v>
      </c>
      <c r="AA435" s="28">
        <v>1</v>
      </c>
      <c r="AB435" s="28">
        <v>1</v>
      </c>
      <c r="AC435" s="28">
        <v>1</v>
      </c>
      <c r="AD435" s="28">
        <v>1</v>
      </c>
      <c r="AE435" s="28">
        <v>1</v>
      </c>
      <c r="AF435" s="28">
        <v>1</v>
      </c>
      <c r="AG435" s="28">
        <v>1</v>
      </c>
      <c r="AH435" s="28">
        <v>1</v>
      </c>
      <c r="AI435" s="28">
        <v>1</v>
      </c>
      <c r="AJ435" s="352">
        <v>1</v>
      </c>
      <c r="AK435" s="352">
        <v>1</v>
      </c>
      <c r="AL435" s="28">
        <v>1</v>
      </c>
      <c r="AM435" s="30">
        <v>1</v>
      </c>
      <c r="AO435" s="176">
        <v>2</v>
      </c>
      <c r="AP435" s="136">
        <v>2</v>
      </c>
      <c r="AQ435" s="176">
        <v>1</v>
      </c>
      <c r="AR435" s="136">
        <v>1</v>
      </c>
      <c r="AS435" s="176" t="s">
        <v>1713</v>
      </c>
      <c r="AT435" s="136" t="s">
        <v>1713</v>
      </c>
      <c r="AU435" s="176">
        <v>3</v>
      </c>
      <c r="AV435" s="136">
        <v>3</v>
      </c>
    </row>
    <row r="436" spans="2:48" s="27" customFormat="1" x14ac:dyDescent="0.25">
      <c r="B436" s="399">
        <v>3</v>
      </c>
      <c r="C436" s="179">
        <v>1</v>
      </c>
      <c r="D436" s="28">
        <v>1</v>
      </c>
      <c r="E436" s="28" t="s">
        <v>1528</v>
      </c>
      <c r="F436" s="28" t="s">
        <v>1528</v>
      </c>
      <c r="G436" s="28" t="s">
        <v>1528</v>
      </c>
      <c r="H436" s="28">
        <v>1</v>
      </c>
      <c r="I436" s="28" t="s">
        <v>1528</v>
      </c>
      <c r="J436" s="28">
        <v>1</v>
      </c>
      <c r="K436" s="28">
        <v>1</v>
      </c>
      <c r="L436" s="28">
        <v>1</v>
      </c>
      <c r="M436" s="28">
        <v>1</v>
      </c>
      <c r="N436" s="28">
        <v>1</v>
      </c>
      <c r="O436" s="28">
        <v>1</v>
      </c>
      <c r="P436" s="28">
        <v>1</v>
      </c>
      <c r="Q436" s="352">
        <v>1</v>
      </c>
      <c r="R436" s="352">
        <v>1</v>
      </c>
      <c r="S436" s="28">
        <v>1</v>
      </c>
      <c r="T436" s="28">
        <v>1</v>
      </c>
      <c r="U436" s="28">
        <v>1</v>
      </c>
      <c r="V436" s="28">
        <v>1</v>
      </c>
      <c r="W436" s="352">
        <v>1</v>
      </c>
      <c r="X436" s="352">
        <v>1</v>
      </c>
      <c r="Y436" s="28">
        <v>1</v>
      </c>
      <c r="Z436" s="28">
        <v>1</v>
      </c>
      <c r="AA436" s="28">
        <v>1</v>
      </c>
      <c r="AB436" s="28">
        <v>1</v>
      </c>
      <c r="AC436" s="28">
        <v>1</v>
      </c>
      <c r="AD436" s="28">
        <v>1</v>
      </c>
      <c r="AE436" s="28">
        <v>1</v>
      </c>
      <c r="AF436" s="28">
        <v>1</v>
      </c>
      <c r="AG436" s="28">
        <v>1</v>
      </c>
      <c r="AH436" s="28">
        <v>1</v>
      </c>
      <c r="AI436" s="28">
        <v>1</v>
      </c>
      <c r="AJ436" s="352">
        <v>1</v>
      </c>
      <c r="AK436" s="352">
        <v>1</v>
      </c>
      <c r="AL436" s="28">
        <v>1</v>
      </c>
      <c r="AM436" s="30">
        <v>1</v>
      </c>
      <c r="AO436" s="176">
        <v>2</v>
      </c>
      <c r="AP436" s="136">
        <v>2</v>
      </c>
      <c r="AQ436" s="176">
        <v>1</v>
      </c>
      <c r="AR436" s="136">
        <v>1</v>
      </c>
      <c r="AS436" s="176" t="s">
        <v>1713</v>
      </c>
      <c r="AT436" s="136" t="s">
        <v>1713</v>
      </c>
      <c r="AU436" s="176">
        <v>3</v>
      </c>
      <c r="AV436" s="136">
        <v>3</v>
      </c>
    </row>
    <row r="437" spans="2:48" s="27" customFormat="1" x14ac:dyDescent="0.25">
      <c r="B437" s="399">
        <v>4</v>
      </c>
      <c r="C437" s="179">
        <v>1</v>
      </c>
      <c r="D437" s="28">
        <v>1</v>
      </c>
      <c r="E437" s="28" t="s">
        <v>1528</v>
      </c>
      <c r="F437" s="28" t="s">
        <v>1528</v>
      </c>
      <c r="G437" s="28" t="s">
        <v>1528</v>
      </c>
      <c r="H437" s="28">
        <v>1</v>
      </c>
      <c r="I437" s="28" t="s">
        <v>1528</v>
      </c>
      <c r="J437" s="28">
        <v>1</v>
      </c>
      <c r="K437" s="28">
        <v>1</v>
      </c>
      <c r="L437" s="28">
        <v>1</v>
      </c>
      <c r="M437" s="28">
        <v>1</v>
      </c>
      <c r="N437" s="28">
        <v>1</v>
      </c>
      <c r="O437" s="28">
        <v>1</v>
      </c>
      <c r="P437" s="28" t="s">
        <v>1527</v>
      </c>
      <c r="Q437" s="352">
        <v>1</v>
      </c>
      <c r="R437" s="352">
        <v>1</v>
      </c>
      <c r="S437" s="28">
        <v>1</v>
      </c>
      <c r="T437" s="28">
        <v>1</v>
      </c>
      <c r="U437" s="28">
        <v>1</v>
      </c>
      <c r="V437" s="28">
        <v>1</v>
      </c>
      <c r="W437" s="352">
        <v>1</v>
      </c>
      <c r="X437" s="352">
        <v>1</v>
      </c>
      <c r="Y437" s="28">
        <v>1</v>
      </c>
      <c r="Z437" s="28">
        <v>1</v>
      </c>
      <c r="AA437" s="28">
        <v>1</v>
      </c>
      <c r="AB437" s="28">
        <v>1</v>
      </c>
      <c r="AC437" s="28">
        <v>1</v>
      </c>
      <c r="AD437" s="28">
        <v>1</v>
      </c>
      <c r="AE437" s="28">
        <v>1</v>
      </c>
      <c r="AF437" s="28">
        <v>1</v>
      </c>
      <c r="AG437" s="28">
        <v>1</v>
      </c>
      <c r="AH437" s="28">
        <v>1</v>
      </c>
      <c r="AI437" s="28">
        <v>1</v>
      </c>
      <c r="AJ437" s="352">
        <v>1</v>
      </c>
      <c r="AK437" s="352">
        <v>1</v>
      </c>
      <c r="AL437" s="28">
        <v>1</v>
      </c>
      <c r="AM437" s="30">
        <v>1</v>
      </c>
      <c r="AO437" s="176">
        <v>2</v>
      </c>
      <c r="AP437" s="136">
        <v>2</v>
      </c>
      <c r="AQ437" s="176">
        <v>1</v>
      </c>
      <c r="AR437" s="136">
        <v>1</v>
      </c>
      <c r="AS437" s="176" t="s">
        <v>1713</v>
      </c>
      <c r="AT437" s="136" t="s">
        <v>1713</v>
      </c>
      <c r="AU437" s="176">
        <v>3</v>
      </c>
      <c r="AV437" s="136">
        <v>3</v>
      </c>
    </row>
    <row r="438" spans="2:48" s="27" customFormat="1" x14ac:dyDescent="0.25">
      <c r="B438" s="399">
        <v>5</v>
      </c>
      <c r="C438" s="179">
        <v>1</v>
      </c>
      <c r="D438" s="28">
        <v>1</v>
      </c>
      <c r="E438" s="28" t="s">
        <v>1528</v>
      </c>
      <c r="F438" s="28" t="s">
        <v>1528</v>
      </c>
      <c r="G438" s="28" t="s">
        <v>1528</v>
      </c>
      <c r="H438" s="28">
        <v>1</v>
      </c>
      <c r="I438" s="28" t="s">
        <v>1528</v>
      </c>
      <c r="J438" s="28">
        <v>1</v>
      </c>
      <c r="K438" s="28">
        <v>1</v>
      </c>
      <c r="L438" s="28">
        <v>1</v>
      </c>
      <c r="M438" s="28">
        <v>1</v>
      </c>
      <c r="N438" s="28">
        <v>1</v>
      </c>
      <c r="O438" s="28">
        <v>1</v>
      </c>
      <c r="P438" s="28" t="s">
        <v>1527</v>
      </c>
      <c r="Q438" s="352">
        <v>1</v>
      </c>
      <c r="R438" s="352">
        <v>1</v>
      </c>
      <c r="S438" s="28">
        <v>1</v>
      </c>
      <c r="T438" s="28">
        <v>1</v>
      </c>
      <c r="U438" s="28">
        <v>1</v>
      </c>
      <c r="V438" s="28">
        <v>1</v>
      </c>
      <c r="W438" s="352">
        <v>1</v>
      </c>
      <c r="X438" s="352">
        <v>1</v>
      </c>
      <c r="Y438" s="28">
        <v>1</v>
      </c>
      <c r="Z438" s="28">
        <v>1</v>
      </c>
      <c r="AA438" s="28">
        <v>1</v>
      </c>
      <c r="AB438" s="28">
        <v>1</v>
      </c>
      <c r="AC438" s="28">
        <v>1</v>
      </c>
      <c r="AD438" s="28">
        <v>1</v>
      </c>
      <c r="AE438" s="28">
        <v>1</v>
      </c>
      <c r="AF438" s="28">
        <v>1</v>
      </c>
      <c r="AG438" s="28">
        <v>1</v>
      </c>
      <c r="AH438" s="28">
        <v>1</v>
      </c>
      <c r="AI438" s="28">
        <v>1</v>
      </c>
      <c r="AJ438" s="352">
        <v>1</v>
      </c>
      <c r="AK438" s="352">
        <v>1</v>
      </c>
      <c r="AL438" s="28">
        <v>1</v>
      </c>
      <c r="AM438" s="30">
        <v>1</v>
      </c>
      <c r="AO438" s="176">
        <v>2</v>
      </c>
      <c r="AP438" s="136">
        <v>2</v>
      </c>
      <c r="AQ438" s="176">
        <v>1</v>
      </c>
      <c r="AR438" s="136">
        <v>1</v>
      </c>
      <c r="AS438" s="176" t="s">
        <v>1713</v>
      </c>
      <c r="AT438" s="136" t="s">
        <v>1713</v>
      </c>
      <c r="AU438" s="176">
        <v>3</v>
      </c>
      <c r="AV438" s="136">
        <v>3</v>
      </c>
    </row>
    <row r="439" spans="2:48" s="27" customFormat="1" x14ac:dyDescent="0.25">
      <c r="B439" s="399">
        <v>6</v>
      </c>
      <c r="C439" s="179">
        <v>1</v>
      </c>
      <c r="D439" s="28">
        <v>1</v>
      </c>
      <c r="E439" s="28" t="s">
        <v>1528</v>
      </c>
      <c r="F439" s="28" t="s">
        <v>1528</v>
      </c>
      <c r="G439" s="28" t="s">
        <v>1528</v>
      </c>
      <c r="H439" s="28" t="s">
        <v>1528</v>
      </c>
      <c r="I439" s="28">
        <v>2</v>
      </c>
      <c r="J439" s="28">
        <v>1</v>
      </c>
      <c r="K439" s="28">
        <v>1</v>
      </c>
      <c r="L439" s="28">
        <v>1</v>
      </c>
      <c r="M439" s="28">
        <v>1</v>
      </c>
      <c r="N439" s="28">
        <v>1</v>
      </c>
      <c r="O439" s="28">
        <v>1</v>
      </c>
      <c r="P439" s="28" t="s">
        <v>1528</v>
      </c>
      <c r="Q439" s="352">
        <v>1</v>
      </c>
      <c r="R439" s="352">
        <v>1</v>
      </c>
      <c r="S439" s="28">
        <v>1</v>
      </c>
      <c r="T439" s="28">
        <v>1</v>
      </c>
      <c r="U439" s="28">
        <v>1</v>
      </c>
      <c r="V439" s="28">
        <v>1</v>
      </c>
      <c r="W439" s="352">
        <v>1</v>
      </c>
      <c r="X439" s="352">
        <v>1</v>
      </c>
      <c r="Y439" s="28">
        <v>1</v>
      </c>
      <c r="Z439" s="28">
        <v>1</v>
      </c>
      <c r="AA439" s="28">
        <v>1</v>
      </c>
      <c r="AB439" s="28">
        <v>1</v>
      </c>
      <c r="AC439" s="28">
        <v>1</v>
      </c>
      <c r="AD439" s="28">
        <v>1</v>
      </c>
      <c r="AE439" s="28">
        <v>1</v>
      </c>
      <c r="AF439" s="28">
        <v>1</v>
      </c>
      <c r="AG439" s="28">
        <v>1</v>
      </c>
      <c r="AH439" s="28">
        <v>1</v>
      </c>
      <c r="AI439" s="28">
        <v>1</v>
      </c>
      <c r="AJ439" s="352">
        <v>1</v>
      </c>
      <c r="AK439" s="352">
        <v>1</v>
      </c>
      <c r="AL439" s="28">
        <v>1</v>
      </c>
      <c r="AM439" s="30">
        <v>1</v>
      </c>
      <c r="AO439" s="176">
        <v>2</v>
      </c>
      <c r="AP439" s="136">
        <v>2</v>
      </c>
      <c r="AQ439" s="176">
        <v>1</v>
      </c>
      <c r="AR439" s="136">
        <v>1</v>
      </c>
      <c r="AS439" s="176" t="s">
        <v>1713</v>
      </c>
      <c r="AT439" s="136" t="s">
        <v>1713</v>
      </c>
      <c r="AU439" s="176">
        <v>3</v>
      </c>
      <c r="AV439" s="136">
        <v>3</v>
      </c>
    </row>
    <row r="440" spans="2:48" s="27" customFormat="1" x14ac:dyDescent="0.25">
      <c r="B440" s="399">
        <v>7</v>
      </c>
      <c r="C440" s="179">
        <v>1</v>
      </c>
      <c r="D440" s="28">
        <v>1</v>
      </c>
      <c r="E440" s="28">
        <v>2</v>
      </c>
      <c r="F440" s="28">
        <f t="shared" ref="F440:F445" si="42">E440</f>
        <v>2</v>
      </c>
      <c r="G440" s="28">
        <v>2</v>
      </c>
      <c r="H440" s="28" t="s">
        <v>1528</v>
      </c>
      <c r="I440" s="28">
        <v>2</v>
      </c>
      <c r="J440" s="28">
        <v>1</v>
      </c>
      <c r="K440" s="28">
        <v>1</v>
      </c>
      <c r="L440" s="28">
        <v>1</v>
      </c>
      <c r="M440" s="28">
        <v>1</v>
      </c>
      <c r="N440" s="28">
        <v>1</v>
      </c>
      <c r="O440" s="28" t="s">
        <v>1528</v>
      </c>
      <c r="P440" s="28" t="s">
        <v>1528</v>
      </c>
      <c r="Q440" s="352" t="s">
        <v>1528</v>
      </c>
      <c r="R440" s="352">
        <v>1</v>
      </c>
      <c r="S440" s="28">
        <v>1</v>
      </c>
      <c r="T440" s="28">
        <v>1</v>
      </c>
      <c r="U440" s="28">
        <v>1</v>
      </c>
      <c r="V440" s="28">
        <v>1</v>
      </c>
      <c r="W440" s="352" t="s">
        <v>1528</v>
      </c>
      <c r="X440" s="352">
        <v>1</v>
      </c>
      <c r="Y440" s="28">
        <v>1</v>
      </c>
      <c r="Z440" s="28">
        <v>1</v>
      </c>
      <c r="AA440" s="28" t="s">
        <v>1528</v>
      </c>
      <c r="AB440" s="28" t="s">
        <v>1528</v>
      </c>
      <c r="AC440" s="28" t="s">
        <v>1528</v>
      </c>
      <c r="AD440" s="28" t="s">
        <v>1528</v>
      </c>
      <c r="AE440" s="28">
        <v>1</v>
      </c>
      <c r="AF440" s="28">
        <v>1</v>
      </c>
      <c r="AG440" s="28">
        <v>1</v>
      </c>
      <c r="AH440" s="28">
        <v>1</v>
      </c>
      <c r="AI440" s="28">
        <v>1</v>
      </c>
      <c r="AJ440" s="352" t="s">
        <v>1528</v>
      </c>
      <c r="AK440" s="352" t="s">
        <v>1528</v>
      </c>
      <c r="AL440" s="28">
        <v>1</v>
      </c>
      <c r="AM440" s="30" t="s">
        <v>1528</v>
      </c>
      <c r="AO440" s="179">
        <v>3</v>
      </c>
      <c r="AP440" s="30">
        <v>3</v>
      </c>
      <c r="AQ440" s="179" t="s">
        <v>1528</v>
      </c>
      <c r="AR440" s="30" t="s">
        <v>1528</v>
      </c>
      <c r="AS440" s="179">
        <v>1</v>
      </c>
      <c r="AT440" s="30">
        <v>1</v>
      </c>
      <c r="AU440" s="179">
        <v>4</v>
      </c>
      <c r="AV440" s="30">
        <v>4</v>
      </c>
    </row>
    <row r="441" spans="2:48" s="27" customFormat="1" x14ac:dyDescent="0.25">
      <c r="B441" s="399">
        <v>8</v>
      </c>
      <c r="C441" s="179">
        <v>1</v>
      </c>
      <c r="D441" s="28">
        <v>1</v>
      </c>
      <c r="E441" s="28">
        <v>2</v>
      </c>
      <c r="F441" s="28">
        <f t="shared" si="42"/>
        <v>2</v>
      </c>
      <c r="G441" s="28">
        <v>2</v>
      </c>
      <c r="H441" s="28" t="s">
        <v>1528</v>
      </c>
      <c r="I441" s="28">
        <v>2</v>
      </c>
      <c r="J441" s="28">
        <v>1</v>
      </c>
      <c r="K441" s="28">
        <v>1</v>
      </c>
      <c r="L441" s="28">
        <v>1</v>
      </c>
      <c r="M441" s="28">
        <v>1</v>
      </c>
      <c r="N441" s="28">
        <v>1</v>
      </c>
      <c r="O441" s="28" t="s">
        <v>1528</v>
      </c>
      <c r="P441" s="28" t="s">
        <v>1528</v>
      </c>
      <c r="Q441" s="352" t="s">
        <v>1528</v>
      </c>
      <c r="R441" s="352" t="s">
        <v>1528</v>
      </c>
      <c r="S441" s="28">
        <v>1</v>
      </c>
      <c r="T441" s="28">
        <v>1</v>
      </c>
      <c r="U441" s="28">
        <v>1</v>
      </c>
      <c r="V441" s="28">
        <v>1</v>
      </c>
      <c r="W441" s="352" t="s">
        <v>1528</v>
      </c>
      <c r="X441" s="352" t="s">
        <v>1528</v>
      </c>
      <c r="Y441" s="28">
        <v>1</v>
      </c>
      <c r="Z441" s="28">
        <v>1</v>
      </c>
      <c r="AA441" s="28" t="s">
        <v>1528</v>
      </c>
      <c r="AB441" s="28" t="s">
        <v>1528</v>
      </c>
      <c r="AC441" s="28" t="s">
        <v>1528</v>
      </c>
      <c r="AD441" s="28" t="s">
        <v>1528</v>
      </c>
      <c r="AE441" s="28" t="s">
        <v>1528</v>
      </c>
      <c r="AF441" s="28">
        <v>1</v>
      </c>
      <c r="AG441" s="28">
        <v>1</v>
      </c>
      <c r="AH441" s="28">
        <v>1</v>
      </c>
      <c r="AI441" s="28">
        <v>1</v>
      </c>
      <c r="AJ441" s="352" t="s">
        <v>1528</v>
      </c>
      <c r="AK441" s="352" t="s">
        <v>1528</v>
      </c>
      <c r="AL441" s="28">
        <v>1</v>
      </c>
      <c r="AM441" s="30" t="s">
        <v>1528</v>
      </c>
      <c r="AO441" s="179">
        <v>3</v>
      </c>
      <c r="AP441" s="30">
        <v>3</v>
      </c>
      <c r="AQ441" s="179" t="s">
        <v>1528</v>
      </c>
      <c r="AR441" s="30" t="s">
        <v>1528</v>
      </c>
      <c r="AS441" s="179">
        <v>1</v>
      </c>
      <c r="AT441" s="30">
        <v>1</v>
      </c>
      <c r="AU441" s="179">
        <v>4</v>
      </c>
      <c r="AV441" s="30">
        <v>4</v>
      </c>
    </row>
    <row r="442" spans="2:48" s="27" customFormat="1" x14ac:dyDescent="0.25">
      <c r="B442" s="399">
        <v>9</v>
      </c>
      <c r="C442" s="179">
        <v>1</v>
      </c>
      <c r="D442" s="28">
        <v>1</v>
      </c>
      <c r="E442" s="28">
        <v>2</v>
      </c>
      <c r="F442" s="28">
        <f t="shared" si="42"/>
        <v>2</v>
      </c>
      <c r="G442" s="28">
        <v>2</v>
      </c>
      <c r="H442" s="28" t="s">
        <v>1528</v>
      </c>
      <c r="I442" s="28">
        <v>2</v>
      </c>
      <c r="J442" s="28">
        <v>1</v>
      </c>
      <c r="K442" s="28">
        <v>1</v>
      </c>
      <c r="L442" s="28">
        <v>1</v>
      </c>
      <c r="M442" s="28">
        <v>1</v>
      </c>
      <c r="N442" s="28">
        <v>1</v>
      </c>
      <c r="O442" s="28" t="s">
        <v>1528</v>
      </c>
      <c r="P442" s="28">
        <v>2</v>
      </c>
      <c r="Q442" s="352" t="s">
        <v>1528</v>
      </c>
      <c r="R442" s="352" t="s">
        <v>1528</v>
      </c>
      <c r="S442" s="28">
        <v>1</v>
      </c>
      <c r="T442" s="28">
        <v>1</v>
      </c>
      <c r="U442" s="28">
        <v>1</v>
      </c>
      <c r="V442" s="28">
        <v>1</v>
      </c>
      <c r="W442" s="352" t="s">
        <v>1528</v>
      </c>
      <c r="X442" s="352" t="s">
        <v>1528</v>
      </c>
      <c r="Y442" s="28">
        <v>1</v>
      </c>
      <c r="Z442" s="28">
        <v>1</v>
      </c>
      <c r="AA442" s="28" t="s">
        <v>1528</v>
      </c>
      <c r="AB442" s="28" t="s">
        <v>1528</v>
      </c>
      <c r="AC442" s="28" t="s">
        <v>1528</v>
      </c>
      <c r="AD442" s="28" t="s">
        <v>1528</v>
      </c>
      <c r="AE442" s="28" t="s">
        <v>1528</v>
      </c>
      <c r="AF442" s="28">
        <v>1</v>
      </c>
      <c r="AG442" s="28">
        <v>1</v>
      </c>
      <c r="AH442" s="28">
        <v>1</v>
      </c>
      <c r="AI442" s="28">
        <v>1</v>
      </c>
      <c r="AJ442" s="352" t="s">
        <v>1528</v>
      </c>
      <c r="AK442" s="352" t="s">
        <v>1528</v>
      </c>
      <c r="AL442" s="28">
        <v>1</v>
      </c>
      <c r="AM442" s="30" t="s">
        <v>1528</v>
      </c>
      <c r="AO442" s="179">
        <v>3</v>
      </c>
      <c r="AP442" s="30">
        <v>3</v>
      </c>
      <c r="AQ442" s="179" t="s">
        <v>1528</v>
      </c>
      <c r="AR442" s="30" t="s">
        <v>1528</v>
      </c>
      <c r="AS442" s="179">
        <v>1</v>
      </c>
      <c r="AT442" s="30">
        <v>1</v>
      </c>
      <c r="AU442" s="179">
        <v>4</v>
      </c>
      <c r="AV442" s="30">
        <v>4</v>
      </c>
    </row>
    <row r="443" spans="2:48" s="27" customFormat="1" x14ac:dyDescent="0.25">
      <c r="B443" s="399">
        <v>10</v>
      </c>
      <c r="C443" s="179">
        <v>1</v>
      </c>
      <c r="D443" s="28">
        <v>1</v>
      </c>
      <c r="E443" s="28">
        <v>2</v>
      </c>
      <c r="F443" s="28">
        <f t="shared" si="42"/>
        <v>2</v>
      </c>
      <c r="G443" s="28">
        <v>2</v>
      </c>
      <c r="H443" s="28" t="s">
        <v>1528</v>
      </c>
      <c r="I443" s="28">
        <v>2</v>
      </c>
      <c r="J443" s="28">
        <v>1</v>
      </c>
      <c r="K443" s="28">
        <v>1</v>
      </c>
      <c r="L443" s="28">
        <v>1</v>
      </c>
      <c r="M443" s="28">
        <v>1</v>
      </c>
      <c r="N443" s="28">
        <v>1</v>
      </c>
      <c r="O443" s="28" t="s">
        <v>1528</v>
      </c>
      <c r="P443" s="28">
        <v>2</v>
      </c>
      <c r="Q443" s="352" t="s">
        <v>1528</v>
      </c>
      <c r="R443" s="352" t="s">
        <v>1528</v>
      </c>
      <c r="S443" s="28">
        <v>1</v>
      </c>
      <c r="T443" s="28">
        <v>1</v>
      </c>
      <c r="U443" s="28">
        <v>1</v>
      </c>
      <c r="V443" s="28">
        <v>1</v>
      </c>
      <c r="W443" s="352" t="s">
        <v>1528</v>
      </c>
      <c r="X443" s="352" t="s">
        <v>1528</v>
      </c>
      <c r="Y443" s="28">
        <v>1</v>
      </c>
      <c r="Z443" s="28">
        <v>1</v>
      </c>
      <c r="AA443" s="28" t="s">
        <v>1528</v>
      </c>
      <c r="AB443" s="28" t="s">
        <v>1528</v>
      </c>
      <c r="AC443" s="28" t="s">
        <v>1528</v>
      </c>
      <c r="AD443" s="28" t="s">
        <v>1528</v>
      </c>
      <c r="AE443" s="28" t="s">
        <v>1528</v>
      </c>
      <c r="AF443" s="28">
        <v>1</v>
      </c>
      <c r="AG443" s="28">
        <v>1</v>
      </c>
      <c r="AH443" s="28">
        <v>1</v>
      </c>
      <c r="AI443" s="28">
        <v>1</v>
      </c>
      <c r="AJ443" s="352" t="s">
        <v>1528</v>
      </c>
      <c r="AK443" s="352" t="s">
        <v>1528</v>
      </c>
      <c r="AL443" s="28">
        <v>1</v>
      </c>
      <c r="AM443" s="30" t="s">
        <v>1528</v>
      </c>
      <c r="AO443" s="179">
        <v>3</v>
      </c>
      <c r="AP443" s="30">
        <v>3</v>
      </c>
      <c r="AQ443" s="179" t="s">
        <v>1528</v>
      </c>
      <c r="AR443" s="30" t="s">
        <v>1528</v>
      </c>
      <c r="AS443" s="179">
        <v>1</v>
      </c>
      <c r="AT443" s="30">
        <v>1</v>
      </c>
      <c r="AU443" s="179">
        <v>4</v>
      </c>
      <c r="AV443" s="30">
        <v>4</v>
      </c>
    </row>
    <row r="444" spans="2:48" s="27" customFormat="1" x14ac:dyDescent="0.25">
      <c r="B444" s="399">
        <v>11</v>
      </c>
      <c r="C444" s="179">
        <v>1</v>
      </c>
      <c r="D444" s="28">
        <v>1</v>
      </c>
      <c r="E444" s="28">
        <v>2</v>
      </c>
      <c r="F444" s="28">
        <f t="shared" si="42"/>
        <v>2</v>
      </c>
      <c r="G444" s="28">
        <v>2</v>
      </c>
      <c r="H444" s="28">
        <v>2</v>
      </c>
      <c r="I444" s="28" t="s">
        <v>1529</v>
      </c>
      <c r="J444" s="28">
        <v>1</v>
      </c>
      <c r="K444" s="28">
        <v>1</v>
      </c>
      <c r="L444" s="28">
        <v>1</v>
      </c>
      <c r="M444" s="28">
        <v>1</v>
      </c>
      <c r="N444" s="28">
        <v>1</v>
      </c>
      <c r="O444" s="28" t="s">
        <v>1528</v>
      </c>
      <c r="P444" s="28" t="s">
        <v>1529</v>
      </c>
      <c r="Q444" s="352" t="s">
        <v>1528</v>
      </c>
      <c r="R444" s="352" t="s">
        <v>1528</v>
      </c>
      <c r="S444" s="28">
        <v>1</v>
      </c>
      <c r="T444" s="28">
        <v>1</v>
      </c>
      <c r="U444" s="28">
        <v>1</v>
      </c>
      <c r="V444" s="28">
        <v>1</v>
      </c>
      <c r="W444" s="352" t="s">
        <v>1528</v>
      </c>
      <c r="X444" s="352" t="s">
        <v>1528</v>
      </c>
      <c r="Y444" s="28">
        <v>1</v>
      </c>
      <c r="Z444" s="28">
        <v>1</v>
      </c>
      <c r="AA444" s="28" t="s">
        <v>1528</v>
      </c>
      <c r="AB444" s="28" t="s">
        <v>1528</v>
      </c>
      <c r="AC444" s="28" t="s">
        <v>1528</v>
      </c>
      <c r="AD444" s="28" t="s">
        <v>1528</v>
      </c>
      <c r="AE444" s="28" t="s">
        <v>1528</v>
      </c>
      <c r="AF444" s="28">
        <v>1</v>
      </c>
      <c r="AG444" s="28">
        <v>1</v>
      </c>
      <c r="AH444" s="28">
        <v>1</v>
      </c>
      <c r="AI444" s="28">
        <v>1</v>
      </c>
      <c r="AJ444" s="352" t="s">
        <v>1528</v>
      </c>
      <c r="AK444" s="352" t="s">
        <v>1528</v>
      </c>
      <c r="AL444" s="28">
        <v>1</v>
      </c>
      <c r="AM444" s="30" t="s">
        <v>1528</v>
      </c>
      <c r="AO444" s="179">
        <v>3</v>
      </c>
      <c r="AP444" s="30">
        <v>3</v>
      </c>
      <c r="AQ444" s="179" t="s">
        <v>1528</v>
      </c>
      <c r="AR444" s="30" t="s">
        <v>1528</v>
      </c>
      <c r="AS444" s="179">
        <v>1</v>
      </c>
      <c r="AT444" s="30">
        <v>1</v>
      </c>
      <c r="AU444" s="179">
        <v>4</v>
      </c>
      <c r="AV444" s="30">
        <v>4</v>
      </c>
    </row>
    <row r="445" spans="2:48" s="27" customFormat="1" x14ac:dyDescent="0.25">
      <c r="B445" s="399">
        <v>12</v>
      </c>
      <c r="C445" s="179">
        <v>1</v>
      </c>
      <c r="D445" s="28">
        <v>1</v>
      </c>
      <c r="E445" s="28">
        <v>2</v>
      </c>
      <c r="F445" s="28">
        <f t="shared" si="42"/>
        <v>2</v>
      </c>
      <c r="G445" s="28">
        <f t="shared" ref="G445" si="43">E445</f>
        <v>2</v>
      </c>
      <c r="H445" s="28">
        <v>2</v>
      </c>
      <c r="I445" s="28" t="s">
        <v>1529</v>
      </c>
      <c r="J445" s="28">
        <v>1</v>
      </c>
      <c r="K445" s="28">
        <v>1</v>
      </c>
      <c r="L445" s="28">
        <v>1</v>
      </c>
      <c r="M445" s="28">
        <v>1</v>
      </c>
      <c r="N445" s="28">
        <v>1</v>
      </c>
      <c r="O445" s="28" t="s">
        <v>1528</v>
      </c>
      <c r="P445" s="28" t="s">
        <v>1529</v>
      </c>
      <c r="Q445" s="352" t="s">
        <v>1528</v>
      </c>
      <c r="R445" s="352" t="s">
        <v>1528</v>
      </c>
      <c r="S445" s="28">
        <v>1</v>
      </c>
      <c r="T445" s="28">
        <v>1</v>
      </c>
      <c r="U445" s="28">
        <v>1</v>
      </c>
      <c r="V445" s="28">
        <v>1</v>
      </c>
      <c r="W445" s="352" t="s">
        <v>1528</v>
      </c>
      <c r="X445" s="352" t="s">
        <v>1528</v>
      </c>
      <c r="Y445" s="28">
        <v>1</v>
      </c>
      <c r="Z445" s="28">
        <v>1</v>
      </c>
      <c r="AA445" s="28" t="s">
        <v>1528</v>
      </c>
      <c r="AB445" s="28" t="s">
        <v>1528</v>
      </c>
      <c r="AC445" s="28" t="s">
        <v>1528</v>
      </c>
      <c r="AD445" s="28" t="s">
        <v>1528</v>
      </c>
      <c r="AE445" s="28" t="s">
        <v>1528</v>
      </c>
      <c r="AF445" s="28">
        <v>1</v>
      </c>
      <c r="AG445" s="28">
        <v>1</v>
      </c>
      <c r="AH445" s="28">
        <v>1</v>
      </c>
      <c r="AI445" s="28">
        <v>1</v>
      </c>
      <c r="AJ445" s="352" t="s">
        <v>1528</v>
      </c>
      <c r="AK445" s="352" t="s">
        <v>1528</v>
      </c>
      <c r="AL445" s="28">
        <v>1</v>
      </c>
      <c r="AM445" s="30" t="s">
        <v>1528</v>
      </c>
      <c r="AO445" s="179">
        <v>3</v>
      </c>
      <c r="AP445" s="30">
        <v>3</v>
      </c>
      <c r="AQ445" s="179" t="s">
        <v>1528</v>
      </c>
      <c r="AR445" s="30" t="s">
        <v>1528</v>
      </c>
      <c r="AS445" s="179">
        <v>1</v>
      </c>
      <c r="AT445" s="30">
        <v>1</v>
      </c>
      <c r="AU445" s="179">
        <v>4</v>
      </c>
      <c r="AV445" s="30">
        <v>4</v>
      </c>
    </row>
    <row r="446" spans="2:48" s="27" customFormat="1" x14ac:dyDescent="0.25">
      <c r="B446" s="399">
        <v>13</v>
      </c>
      <c r="C446" s="179">
        <v>1</v>
      </c>
      <c r="D446" s="28">
        <v>1</v>
      </c>
      <c r="E446" s="28" t="s">
        <v>1529</v>
      </c>
      <c r="F446" s="28" t="s">
        <v>1529</v>
      </c>
      <c r="G446" s="28" t="s">
        <v>1529</v>
      </c>
      <c r="H446" s="28">
        <v>2</v>
      </c>
      <c r="I446" s="28" t="s">
        <v>1529</v>
      </c>
      <c r="J446" s="28">
        <v>1</v>
      </c>
      <c r="K446" s="28">
        <v>1</v>
      </c>
      <c r="L446" s="28">
        <v>1</v>
      </c>
      <c r="M446" s="28">
        <v>1</v>
      </c>
      <c r="N446" s="28">
        <v>1</v>
      </c>
      <c r="O446" s="28" t="s">
        <v>1528</v>
      </c>
      <c r="P446" s="28" t="s">
        <v>1529</v>
      </c>
      <c r="Q446" s="352">
        <v>2</v>
      </c>
      <c r="R446" s="352" t="s">
        <v>1528</v>
      </c>
      <c r="S446" s="28">
        <v>1</v>
      </c>
      <c r="T446" s="28">
        <v>1</v>
      </c>
      <c r="U446" s="28">
        <v>1</v>
      </c>
      <c r="V446" s="28">
        <v>1</v>
      </c>
      <c r="W446" s="352">
        <v>2</v>
      </c>
      <c r="X446" s="352" t="s">
        <v>1528</v>
      </c>
      <c r="Y446" s="28">
        <v>1</v>
      </c>
      <c r="Z446" s="28">
        <v>1</v>
      </c>
      <c r="AA446" s="28">
        <v>2</v>
      </c>
      <c r="AB446" s="28">
        <v>2</v>
      </c>
      <c r="AC446" s="28">
        <v>2</v>
      </c>
      <c r="AD446" s="28">
        <v>2</v>
      </c>
      <c r="AE446" s="28" t="s">
        <v>1528</v>
      </c>
      <c r="AF446" s="28">
        <v>1</v>
      </c>
      <c r="AG446" s="28">
        <v>1</v>
      </c>
      <c r="AH446" s="28">
        <v>1</v>
      </c>
      <c r="AI446" s="28">
        <v>1</v>
      </c>
      <c r="AJ446" s="352">
        <v>2</v>
      </c>
      <c r="AK446" s="352">
        <v>2</v>
      </c>
      <c r="AL446" s="28">
        <v>1</v>
      </c>
      <c r="AM446" s="30">
        <v>2</v>
      </c>
      <c r="AO446" s="179">
        <v>4</v>
      </c>
      <c r="AP446" s="30">
        <v>4</v>
      </c>
      <c r="AQ446" s="179">
        <v>2</v>
      </c>
      <c r="AR446" s="30">
        <v>2</v>
      </c>
      <c r="AS446" s="179" t="s">
        <v>1528</v>
      </c>
      <c r="AT446" s="30" t="s">
        <v>1528</v>
      </c>
      <c r="AU446" s="179">
        <v>5</v>
      </c>
      <c r="AV446" s="30">
        <v>5</v>
      </c>
    </row>
    <row r="447" spans="2:48" s="27" customFormat="1" x14ac:dyDescent="0.25">
      <c r="B447" s="399">
        <v>14</v>
      </c>
      <c r="C447" s="179">
        <v>1</v>
      </c>
      <c r="D447" s="28">
        <v>1</v>
      </c>
      <c r="E447" s="28" t="s">
        <v>1529</v>
      </c>
      <c r="F447" s="28" t="s">
        <v>1529</v>
      </c>
      <c r="G447" s="28" t="s">
        <v>1529</v>
      </c>
      <c r="H447" s="28">
        <v>2</v>
      </c>
      <c r="I447" s="28" t="s">
        <v>1529</v>
      </c>
      <c r="J447" s="28">
        <v>1</v>
      </c>
      <c r="K447" s="28">
        <v>1</v>
      </c>
      <c r="L447" s="28">
        <v>1</v>
      </c>
      <c r="M447" s="28">
        <v>1</v>
      </c>
      <c r="N447" s="28">
        <v>1</v>
      </c>
      <c r="O447" s="28" t="s">
        <v>1528</v>
      </c>
      <c r="P447" s="28">
        <v>3</v>
      </c>
      <c r="Q447" s="352">
        <v>2</v>
      </c>
      <c r="R447" s="352" t="s">
        <v>1528</v>
      </c>
      <c r="S447" s="28">
        <v>1</v>
      </c>
      <c r="T447" s="28">
        <v>1</v>
      </c>
      <c r="U447" s="28">
        <v>1</v>
      </c>
      <c r="V447" s="28">
        <v>1</v>
      </c>
      <c r="W447" s="352">
        <v>2</v>
      </c>
      <c r="X447" s="352" t="s">
        <v>1528</v>
      </c>
      <c r="Y447" s="28">
        <v>1</v>
      </c>
      <c r="Z447" s="28">
        <v>1</v>
      </c>
      <c r="AA447" s="28">
        <v>2</v>
      </c>
      <c r="AB447" s="28">
        <v>2</v>
      </c>
      <c r="AC447" s="28">
        <v>2</v>
      </c>
      <c r="AD447" s="28">
        <v>2</v>
      </c>
      <c r="AE447" s="28" t="s">
        <v>1528</v>
      </c>
      <c r="AF447" s="28">
        <v>1</v>
      </c>
      <c r="AG447" s="28">
        <v>1</v>
      </c>
      <c r="AH447" s="28">
        <v>1</v>
      </c>
      <c r="AI447" s="28">
        <v>1</v>
      </c>
      <c r="AJ447" s="352">
        <v>2</v>
      </c>
      <c r="AK447" s="352">
        <v>2</v>
      </c>
      <c r="AL447" s="28">
        <v>1</v>
      </c>
      <c r="AM447" s="30">
        <v>2</v>
      </c>
      <c r="AO447" s="179">
        <v>4</v>
      </c>
      <c r="AP447" s="30">
        <v>4</v>
      </c>
      <c r="AQ447" s="179">
        <v>2</v>
      </c>
      <c r="AR447" s="30">
        <v>2</v>
      </c>
      <c r="AS447" s="179" t="s">
        <v>1528</v>
      </c>
      <c r="AT447" s="30" t="s">
        <v>1528</v>
      </c>
      <c r="AU447" s="179">
        <v>5</v>
      </c>
      <c r="AV447" s="30">
        <v>5</v>
      </c>
    </row>
    <row r="448" spans="2:48" s="27" customFormat="1" x14ac:dyDescent="0.25">
      <c r="B448" s="399">
        <v>15</v>
      </c>
      <c r="C448" s="179">
        <v>1</v>
      </c>
      <c r="D448" s="28">
        <v>1</v>
      </c>
      <c r="E448" s="28" t="s">
        <v>1529</v>
      </c>
      <c r="F448" s="28" t="s">
        <v>1529</v>
      </c>
      <c r="G448" s="28" t="s">
        <v>1529</v>
      </c>
      <c r="H448" s="28">
        <v>2</v>
      </c>
      <c r="I448" s="28" t="s">
        <v>1529</v>
      </c>
      <c r="J448" s="28">
        <v>1</v>
      </c>
      <c r="K448" s="28">
        <v>1</v>
      </c>
      <c r="L448" s="28">
        <v>1</v>
      </c>
      <c r="M448" s="28">
        <v>1</v>
      </c>
      <c r="N448" s="28">
        <v>1</v>
      </c>
      <c r="O448" s="28" t="s">
        <v>1528</v>
      </c>
      <c r="P448" s="28">
        <v>3</v>
      </c>
      <c r="Q448" s="352">
        <v>2</v>
      </c>
      <c r="R448" s="352">
        <v>2</v>
      </c>
      <c r="S448" s="28">
        <v>1</v>
      </c>
      <c r="T448" s="28">
        <v>1</v>
      </c>
      <c r="U448" s="28">
        <v>1</v>
      </c>
      <c r="V448" s="28">
        <v>1</v>
      </c>
      <c r="W448" s="352">
        <v>2</v>
      </c>
      <c r="X448" s="352">
        <v>2</v>
      </c>
      <c r="Y448" s="28">
        <v>1</v>
      </c>
      <c r="Z448" s="28">
        <v>1</v>
      </c>
      <c r="AA448" s="28">
        <v>2</v>
      </c>
      <c r="AB448" s="28">
        <v>2</v>
      </c>
      <c r="AC448" s="28">
        <v>2</v>
      </c>
      <c r="AD448" s="28">
        <v>2</v>
      </c>
      <c r="AE448" s="28">
        <v>2</v>
      </c>
      <c r="AF448" s="28">
        <v>1</v>
      </c>
      <c r="AG448" s="28">
        <v>1</v>
      </c>
      <c r="AH448" s="28">
        <v>1</v>
      </c>
      <c r="AI448" s="28">
        <v>1</v>
      </c>
      <c r="AJ448" s="352">
        <v>2</v>
      </c>
      <c r="AK448" s="352">
        <v>2</v>
      </c>
      <c r="AL448" s="28">
        <v>1</v>
      </c>
      <c r="AM448" s="30">
        <v>2</v>
      </c>
      <c r="AO448" s="179">
        <v>4</v>
      </c>
      <c r="AP448" s="30">
        <v>4</v>
      </c>
      <c r="AQ448" s="179">
        <v>2</v>
      </c>
      <c r="AR448" s="30">
        <v>2</v>
      </c>
      <c r="AS448" s="179" t="s">
        <v>1528</v>
      </c>
      <c r="AT448" s="30" t="s">
        <v>1528</v>
      </c>
      <c r="AU448" s="179">
        <v>5</v>
      </c>
      <c r="AV448" s="30">
        <v>5</v>
      </c>
    </row>
    <row r="449" spans="2:48" s="27" customFormat="1" x14ac:dyDescent="0.25">
      <c r="B449" s="399">
        <v>16</v>
      </c>
      <c r="C449" s="179">
        <v>1</v>
      </c>
      <c r="D449" s="28">
        <v>1</v>
      </c>
      <c r="E449" s="28" t="s">
        <v>1529</v>
      </c>
      <c r="F449" s="28" t="s">
        <v>1529</v>
      </c>
      <c r="G449" s="28" t="s">
        <v>1529</v>
      </c>
      <c r="H449" s="28">
        <v>2</v>
      </c>
      <c r="I449" s="28">
        <v>3</v>
      </c>
      <c r="J449" s="28">
        <v>1</v>
      </c>
      <c r="K449" s="28">
        <v>1</v>
      </c>
      <c r="L449" s="28">
        <v>1</v>
      </c>
      <c r="M449" s="28">
        <v>1</v>
      </c>
      <c r="N449" s="295">
        <v>1</v>
      </c>
      <c r="O449" s="28" t="s">
        <v>1528</v>
      </c>
      <c r="P449" s="28">
        <v>4</v>
      </c>
      <c r="Q449" s="352">
        <v>2</v>
      </c>
      <c r="R449" s="352">
        <v>2</v>
      </c>
      <c r="S449" s="28">
        <v>1</v>
      </c>
      <c r="T449" s="28">
        <v>1</v>
      </c>
      <c r="U449" s="28">
        <v>1</v>
      </c>
      <c r="V449" s="28">
        <v>1</v>
      </c>
      <c r="W449" s="352">
        <v>2</v>
      </c>
      <c r="X449" s="352">
        <v>2</v>
      </c>
      <c r="Y449" s="28">
        <v>1</v>
      </c>
      <c r="Z449" s="28">
        <v>1</v>
      </c>
      <c r="AA449" s="28">
        <v>2</v>
      </c>
      <c r="AB449" s="28">
        <v>2</v>
      </c>
      <c r="AC449" s="28">
        <v>2</v>
      </c>
      <c r="AD449" s="28">
        <v>2</v>
      </c>
      <c r="AE449" s="28">
        <v>2</v>
      </c>
      <c r="AF449" s="28">
        <v>1</v>
      </c>
      <c r="AG449" s="28">
        <v>1</v>
      </c>
      <c r="AH449" s="28">
        <v>1</v>
      </c>
      <c r="AI449" s="28">
        <v>1</v>
      </c>
      <c r="AJ449" s="352">
        <v>2</v>
      </c>
      <c r="AK449" s="352">
        <v>2</v>
      </c>
      <c r="AL449" s="28">
        <v>1</v>
      </c>
      <c r="AM449" s="30">
        <v>2</v>
      </c>
      <c r="AO449" s="179">
        <v>4</v>
      </c>
      <c r="AP449" s="30">
        <v>4</v>
      </c>
      <c r="AQ449" s="179">
        <v>2</v>
      </c>
      <c r="AR449" s="30">
        <v>2</v>
      </c>
      <c r="AS449" s="179" t="s">
        <v>1528</v>
      </c>
      <c r="AT449" s="30" t="s">
        <v>1528</v>
      </c>
      <c r="AU449" s="179">
        <v>5</v>
      </c>
      <c r="AV449" s="30">
        <v>5</v>
      </c>
    </row>
    <row r="450" spans="2:48" s="27" customFormat="1" x14ac:dyDescent="0.25">
      <c r="B450" s="399">
        <v>17</v>
      </c>
      <c r="C450" s="179">
        <v>1</v>
      </c>
      <c r="D450" s="28">
        <v>1</v>
      </c>
      <c r="E450" s="28" t="s">
        <v>1529</v>
      </c>
      <c r="F450" s="28" t="s">
        <v>1529</v>
      </c>
      <c r="G450" s="28" t="s">
        <v>1529</v>
      </c>
      <c r="H450" s="28">
        <v>2</v>
      </c>
      <c r="I450" s="28">
        <v>3</v>
      </c>
      <c r="J450" s="28">
        <v>1</v>
      </c>
      <c r="K450" s="28">
        <v>1</v>
      </c>
      <c r="L450" s="28">
        <v>1</v>
      </c>
      <c r="M450" s="28">
        <v>1</v>
      </c>
      <c r="N450" s="295">
        <v>1</v>
      </c>
      <c r="O450" s="28" t="s">
        <v>1528</v>
      </c>
      <c r="P450" s="28">
        <v>4</v>
      </c>
      <c r="Q450" s="352">
        <v>2</v>
      </c>
      <c r="R450" s="352">
        <v>2</v>
      </c>
      <c r="S450" s="28">
        <v>1</v>
      </c>
      <c r="T450" s="28">
        <v>1</v>
      </c>
      <c r="U450" s="28">
        <v>1</v>
      </c>
      <c r="V450" s="28">
        <v>1</v>
      </c>
      <c r="W450" s="352">
        <v>2</v>
      </c>
      <c r="X450" s="352">
        <v>2</v>
      </c>
      <c r="Y450" s="28">
        <v>1</v>
      </c>
      <c r="Z450" s="28">
        <v>1</v>
      </c>
      <c r="AA450" s="28">
        <v>2</v>
      </c>
      <c r="AB450" s="28">
        <v>2</v>
      </c>
      <c r="AC450" s="28">
        <v>2</v>
      </c>
      <c r="AD450" s="28">
        <v>2</v>
      </c>
      <c r="AE450" s="28">
        <v>2</v>
      </c>
      <c r="AF450" s="28">
        <v>1</v>
      </c>
      <c r="AG450" s="28">
        <v>1</v>
      </c>
      <c r="AH450" s="28">
        <v>1</v>
      </c>
      <c r="AI450" s="28">
        <v>1</v>
      </c>
      <c r="AJ450" s="352">
        <v>2</v>
      </c>
      <c r="AK450" s="352">
        <v>2</v>
      </c>
      <c r="AL450" s="28">
        <v>1</v>
      </c>
      <c r="AM450" s="30">
        <v>2</v>
      </c>
      <c r="AO450" s="179">
        <v>4</v>
      </c>
      <c r="AP450" s="30">
        <v>4</v>
      </c>
      <c r="AQ450" s="179">
        <v>2</v>
      </c>
      <c r="AR450" s="30">
        <v>2</v>
      </c>
      <c r="AS450" s="179" t="s">
        <v>1528</v>
      </c>
      <c r="AT450" s="30" t="s">
        <v>1528</v>
      </c>
      <c r="AU450" s="179">
        <v>5</v>
      </c>
      <c r="AV450" s="30">
        <v>5</v>
      </c>
    </row>
    <row r="451" spans="2:48" s="27" customFormat="1" x14ac:dyDescent="0.25">
      <c r="B451" s="399">
        <v>18</v>
      </c>
      <c r="C451" s="179">
        <v>1</v>
      </c>
      <c r="D451" s="28">
        <v>1</v>
      </c>
      <c r="E451" s="28" t="s">
        <v>1529</v>
      </c>
      <c r="F451" s="28" t="s">
        <v>1529</v>
      </c>
      <c r="G451" s="28" t="s">
        <v>1529</v>
      </c>
      <c r="H451" s="28">
        <v>2</v>
      </c>
      <c r="I451" s="28">
        <v>3</v>
      </c>
      <c r="J451" s="28">
        <v>1</v>
      </c>
      <c r="K451" s="28">
        <v>1</v>
      </c>
      <c r="L451" s="28">
        <v>1</v>
      </c>
      <c r="M451" s="28">
        <v>1</v>
      </c>
      <c r="N451" s="295">
        <v>1</v>
      </c>
      <c r="O451" s="28" t="s">
        <v>1528</v>
      </c>
      <c r="P451" s="28">
        <v>4</v>
      </c>
      <c r="Q451" s="352">
        <v>2</v>
      </c>
      <c r="R451" s="352">
        <v>2</v>
      </c>
      <c r="S451" s="28">
        <v>1</v>
      </c>
      <c r="T451" s="28">
        <v>1</v>
      </c>
      <c r="U451" s="28">
        <v>1</v>
      </c>
      <c r="V451" s="28">
        <v>1</v>
      </c>
      <c r="W451" s="352">
        <v>2</v>
      </c>
      <c r="X451" s="352">
        <v>2</v>
      </c>
      <c r="Y451" s="28">
        <v>1</v>
      </c>
      <c r="Z451" s="28">
        <v>1</v>
      </c>
      <c r="AA451" s="28">
        <v>2</v>
      </c>
      <c r="AB451" s="28">
        <v>2</v>
      </c>
      <c r="AC451" s="28">
        <v>2</v>
      </c>
      <c r="AD451" s="28">
        <v>2</v>
      </c>
      <c r="AE451" s="28">
        <v>2</v>
      </c>
      <c r="AF451" s="28">
        <v>1</v>
      </c>
      <c r="AG451" s="28">
        <v>1</v>
      </c>
      <c r="AH451" s="28">
        <v>1</v>
      </c>
      <c r="AI451" s="28">
        <v>1</v>
      </c>
      <c r="AJ451" s="352">
        <v>2</v>
      </c>
      <c r="AK451" s="352">
        <v>2</v>
      </c>
      <c r="AL451" s="28">
        <v>1</v>
      </c>
      <c r="AM451" s="30">
        <v>2</v>
      </c>
      <c r="AO451" s="179">
        <v>4</v>
      </c>
      <c r="AP451" s="30">
        <v>4</v>
      </c>
      <c r="AQ451" s="179">
        <v>2</v>
      </c>
      <c r="AR451" s="30">
        <v>2</v>
      </c>
      <c r="AS451" s="179" t="s">
        <v>1528</v>
      </c>
      <c r="AT451" s="30" t="s">
        <v>1528</v>
      </c>
      <c r="AU451" s="179">
        <v>5</v>
      </c>
      <c r="AV451" s="30">
        <v>5</v>
      </c>
    </row>
    <row r="452" spans="2:48" s="27" customFormat="1" x14ac:dyDescent="0.25">
      <c r="B452" s="399">
        <v>19</v>
      </c>
      <c r="C452" s="179">
        <v>1</v>
      </c>
      <c r="D452" s="28">
        <v>1</v>
      </c>
      <c r="E452" s="28" t="s">
        <v>1529</v>
      </c>
      <c r="F452" s="28" t="s">
        <v>1529</v>
      </c>
      <c r="G452" s="28">
        <v>3</v>
      </c>
      <c r="H452" s="28">
        <v>2</v>
      </c>
      <c r="I452" s="28">
        <v>3</v>
      </c>
      <c r="J452" s="28">
        <v>1</v>
      </c>
      <c r="K452" s="28">
        <v>1</v>
      </c>
      <c r="L452" s="28">
        <v>1</v>
      </c>
      <c r="M452" s="28">
        <v>1</v>
      </c>
      <c r="N452" s="295">
        <v>1</v>
      </c>
      <c r="O452" s="28" t="s">
        <v>1528</v>
      </c>
      <c r="P452" s="28">
        <v>4</v>
      </c>
      <c r="Q452" s="352">
        <v>2</v>
      </c>
      <c r="R452" s="352">
        <v>2</v>
      </c>
      <c r="S452" s="28">
        <v>1</v>
      </c>
      <c r="T452" s="28">
        <v>1</v>
      </c>
      <c r="U452" s="28">
        <v>1</v>
      </c>
      <c r="V452" s="28">
        <v>1</v>
      </c>
      <c r="W452" s="352">
        <v>2</v>
      </c>
      <c r="X452" s="352">
        <v>2</v>
      </c>
      <c r="Y452" s="28">
        <v>1</v>
      </c>
      <c r="Z452" s="28">
        <v>1</v>
      </c>
      <c r="AA452" s="28">
        <v>2</v>
      </c>
      <c r="AB452" s="28">
        <v>2</v>
      </c>
      <c r="AC452" s="28">
        <v>2</v>
      </c>
      <c r="AD452" s="28">
        <v>2</v>
      </c>
      <c r="AE452" s="28">
        <v>2</v>
      </c>
      <c r="AF452" s="28">
        <v>1</v>
      </c>
      <c r="AG452" s="28">
        <v>1</v>
      </c>
      <c r="AH452" s="28">
        <v>1</v>
      </c>
      <c r="AI452" s="28">
        <v>1</v>
      </c>
      <c r="AJ452" s="352">
        <v>2</v>
      </c>
      <c r="AK452" s="352">
        <v>2</v>
      </c>
      <c r="AL452" s="28">
        <v>1</v>
      </c>
      <c r="AM452" s="30">
        <v>2</v>
      </c>
      <c r="AO452" s="179">
        <v>4</v>
      </c>
      <c r="AP452" s="30">
        <v>4</v>
      </c>
      <c r="AQ452" s="179">
        <v>2</v>
      </c>
      <c r="AR452" s="30">
        <v>2</v>
      </c>
      <c r="AS452" s="179" t="s">
        <v>1528</v>
      </c>
      <c r="AT452" s="30" t="s">
        <v>1528</v>
      </c>
      <c r="AU452" s="179">
        <v>5</v>
      </c>
      <c r="AV452" s="30">
        <v>5</v>
      </c>
    </row>
    <row r="453" spans="2:48" s="27" customFormat="1" x14ac:dyDescent="0.25">
      <c r="B453" s="399">
        <v>20</v>
      </c>
      <c r="C453" s="179">
        <v>1</v>
      </c>
      <c r="D453" s="28">
        <v>1</v>
      </c>
      <c r="E453" s="28" t="s">
        <v>1529</v>
      </c>
      <c r="F453" s="28" t="s">
        <v>1529</v>
      </c>
      <c r="G453" s="28">
        <v>3</v>
      </c>
      <c r="H453" s="28">
        <v>2</v>
      </c>
      <c r="I453" s="28">
        <v>3</v>
      </c>
      <c r="J453" s="28">
        <v>1</v>
      </c>
      <c r="K453" s="28">
        <v>1</v>
      </c>
      <c r="L453" s="28">
        <v>1</v>
      </c>
      <c r="M453" s="28">
        <v>1</v>
      </c>
      <c r="N453" s="295">
        <v>1</v>
      </c>
      <c r="O453" s="28" t="s">
        <v>1528</v>
      </c>
      <c r="P453" s="28">
        <v>4</v>
      </c>
      <c r="Q453" s="352">
        <v>2</v>
      </c>
      <c r="R453" s="352">
        <v>2</v>
      </c>
      <c r="S453" s="28">
        <v>1</v>
      </c>
      <c r="T453" s="28">
        <v>1</v>
      </c>
      <c r="U453" s="28">
        <v>1</v>
      </c>
      <c r="V453" s="28">
        <v>1</v>
      </c>
      <c r="W453" s="352">
        <v>2</v>
      </c>
      <c r="X453" s="352">
        <v>2</v>
      </c>
      <c r="Y453" s="28">
        <v>1</v>
      </c>
      <c r="Z453" s="28">
        <v>1</v>
      </c>
      <c r="AA453" s="28">
        <v>2</v>
      </c>
      <c r="AB453" s="28">
        <v>2</v>
      </c>
      <c r="AC453" s="28">
        <v>2</v>
      </c>
      <c r="AD453" s="28">
        <v>2</v>
      </c>
      <c r="AE453" s="28">
        <v>2</v>
      </c>
      <c r="AF453" s="28">
        <v>1</v>
      </c>
      <c r="AG453" s="28">
        <v>1</v>
      </c>
      <c r="AH453" s="28">
        <v>1</v>
      </c>
      <c r="AI453" s="28">
        <v>1</v>
      </c>
      <c r="AJ453" s="352">
        <v>2</v>
      </c>
      <c r="AK453" s="352">
        <v>2</v>
      </c>
      <c r="AL453" s="28">
        <v>1</v>
      </c>
      <c r="AM453" s="30">
        <v>2</v>
      </c>
      <c r="AO453" s="179">
        <v>4</v>
      </c>
      <c r="AP453" s="30">
        <v>4</v>
      </c>
      <c r="AQ453" s="179">
        <v>2</v>
      </c>
      <c r="AR453" s="30">
        <v>2</v>
      </c>
      <c r="AS453" s="179" t="s">
        <v>1528</v>
      </c>
      <c r="AT453" s="30" t="s">
        <v>1528</v>
      </c>
      <c r="AU453" s="179">
        <v>5</v>
      </c>
      <c r="AV453" s="30">
        <v>5</v>
      </c>
    </row>
    <row r="454" spans="2:48" s="27" customFormat="1" x14ac:dyDescent="0.25">
      <c r="B454" s="399">
        <v>21</v>
      </c>
      <c r="C454" s="179">
        <v>1</v>
      </c>
      <c r="D454" s="28">
        <v>1</v>
      </c>
      <c r="E454" s="28" t="s">
        <v>1529</v>
      </c>
      <c r="F454" s="28" t="s">
        <v>1529</v>
      </c>
      <c r="G454" s="28">
        <v>3</v>
      </c>
      <c r="H454" s="28">
        <v>2</v>
      </c>
      <c r="I454" s="28">
        <v>3</v>
      </c>
      <c r="J454" s="28">
        <v>1</v>
      </c>
      <c r="K454" s="28">
        <v>1</v>
      </c>
      <c r="L454" s="28">
        <v>1</v>
      </c>
      <c r="M454" s="28">
        <v>1</v>
      </c>
      <c r="N454" s="295">
        <v>1</v>
      </c>
      <c r="O454" s="28" t="s">
        <v>1528</v>
      </c>
      <c r="P454" s="28">
        <v>4</v>
      </c>
      <c r="Q454" s="352">
        <v>2</v>
      </c>
      <c r="R454" s="352">
        <v>2</v>
      </c>
      <c r="S454" s="28">
        <v>1</v>
      </c>
      <c r="T454" s="28">
        <v>1</v>
      </c>
      <c r="U454" s="28">
        <v>1</v>
      </c>
      <c r="V454" s="28">
        <v>1</v>
      </c>
      <c r="W454" s="352">
        <v>2</v>
      </c>
      <c r="X454" s="352">
        <v>2</v>
      </c>
      <c r="Y454" s="28">
        <v>1</v>
      </c>
      <c r="Z454" s="28">
        <v>1</v>
      </c>
      <c r="AA454" s="28">
        <v>2</v>
      </c>
      <c r="AB454" s="28">
        <v>2</v>
      </c>
      <c r="AC454" s="28">
        <v>2</v>
      </c>
      <c r="AD454" s="28">
        <v>2</v>
      </c>
      <c r="AE454" s="28">
        <v>2</v>
      </c>
      <c r="AF454" s="28">
        <v>1</v>
      </c>
      <c r="AG454" s="28">
        <v>1</v>
      </c>
      <c r="AH454" s="28">
        <v>1</v>
      </c>
      <c r="AI454" s="28">
        <v>1</v>
      </c>
      <c r="AJ454" s="352">
        <v>2</v>
      </c>
      <c r="AK454" s="352">
        <v>2</v>
      </c>
      <c r="AL454" s="28">
        <v>1</v>
      </c>
      <c r="AM454" s="30">
        <v>2</v>
      </c>
      <c r="AO454" s="179">
        <v>4</v>
      </c>
      <c r="AP454" s="30">
        <v>4</v>
      </c>
      <c r="AQ454" s="179">
        <v>2</v>
      </c>
      <c r="AR454" s="30">
        <v>2</v>
      </c>
      <c r="AS454" s="179" t="s">
        <v>1528</v>
      </c>
      <c r="AT454" s="30" t="s">
        <v>1528</v>
      </c>
      <c r="AU454" s="179">
        <v>5</v>
      </c>
      <c r="AV454" s="30">
        <v>5</v>
      </c>
    </row>
    <row r="455" spans="2:48" s="27" customFormat="1" x14ac:dyDescent="0.25">
      <c r="B455" s="399">
        <v>22</v>
      </c>
      <c r="C455" s="179">
        <v>1</v>
      </c>
      <c r="D455" s="28">
        <v>1</v>
      </c>
      <c r="E455" s="28" t="s">
        <v>1529</v>
      </c>
      <c r="F455" s="28" t="s">
        <v>1529</v>
      </c>
      <c r="G455" s="28">
        <v>3</v>
      </c>
      <c r="H455" s="28">
        <v>2</v>
      </c>
      <c r="I455" s="28">
        <v>3</v>
      </c>
      <c r="J455" s="28">
        <v>1</v>
      </c>
      <c r="K455" s="28">
        <v>1</v>
      </c>
      <c r="L455" s="28">
        <v>1</v>
      </c>
      <c r="M455" s="28">
        <v>1</v>
      </c>
      <c r="N455" s="295">
        <v>1</v>
      </c>
      <c r="O455" s="28" t="s">
        <v>1528</v>
      </c>
      <c r="P455" s="28">
        <v>4</v>
      </c>
      <c r="Q455" s="352">
        <v>2</v>
      </c>
      <c r="R455" s="352">
        <v>2</v>
      </c>
      <c r="S455" s="28">
        <v>1</v>
      </c>
      <c r="T455" s="28">
        <v>1</v>
      </c>
      <c r="U455" s="28">
        <v>1</v>
      </c>
      <c r="V455" s="28">
        <v>1</v>
      </c>
      <c r="W455" s="352">
        <v>2</v>
      </c>
      <c r="X455" s="352">
        <v>2</v>
      </c>
      <c r="Y455" s="28">
        <v>1</v>
      </c>
      <c r="Z455" s="28">
        <v>1</v>
      </c>
      <c r="AA455" s="28">
        <v>2</v>
      </c>
      <c r="AB455" s="28">
        <v>2</v>
      </c>
      <c r="AC455" s="28">
        <v>2</v>
      </c>
      <c r="AD455" s="28">
        <v>2</v>
      </c>
      <c r="AE455" s="28">
        <v>2</v>
      </c>
      <c r="AF455" s="28">
        <v>1</v>
      </c>
      <c r="AG455" s="28">
        <v>1</v>
      </c>
      <c r="AH455" s="28">
        <v>1</v>
      </c>
      <c r="AI455" s="28">
        <v>1</v>
      </c>
      <c r="AJ455" s="352">
        <v>2</v>
      </c>
      <c r="AK455" s="352">
        <v>2</v>
      </c>
      <c r="AL455" s="28">
        <v>1</v>
      </c>
      <c r="AM455" s="30">
        <v>2</v>
      </c>
      <c r="AO455" s="179">
        <v>4</v>
      </c>
      <c r="AP455" s="30">
        <v>4</v>
      </c>
      <c r="AQ455" s="179">
        <v>2</v>
      </c>
      <c r="AR455" s="30">
        <v>2</v>
      </c>
      <c r="AS455" s="179" t="s">
        <v>1528</v>
      </c>
      <c r="AT455" s="30" t="s">
        <v>1528</v>
      </c>
      <c r="AU455" s="179">
        <v>5</v>
      </c>
      <c r="AV455" s="30">
        <v>5</v>
      </c>
    </row>
    <row r="456" spans="2:48" s="27" customFormat="1" x14ac:dyDescent="0.25">
      <c r="B456" s="399">
        <v>23</v>
      </c>
      <c r="C456" s="179">
        <v>1</v>
      </c>
      <c r="D456" s="28">
        <v>1</v>
      </c>
      <c r="E456" s="28" t="s">
        <v>1529</v>
      </c>
      <c r="F456" s="28" t="s">
        <v>1529</v>
      </c>
      <c r="G456" s="28">
        <v>3</v>
      </c>
      <c r="H456" s="28">
        <v>2</v>
      </c>
      <c r="I456" s="28">
        <v>3</v>
      </c>
      <c r="J456" s="28">
        <v>1</v>
      </c>
      <c r="K456" s="28">
        <v>1</v>
      </c>
      <c r="L456" s="28">
        <v>1</v>
      </c>
      <c r="M456" s="28">
        <v>1</v>
      </c>
      <c r="N456" s="295">
        <v>1</v>
      </c>
      <c r="O456" s="28" t="s">
        <v>1528</v>
      </c>
      <c r="P456" s="28">
        <v>4</v>
      </c>
      <c r="Q456" s="352">
        <v>2</v>
      </c>
      <c r="R456" s="352">
        <v>2</v>
      </c>
      <c r="S456" s="28">
        <v>1</v>
      </c>
      <c r="T456" s="28">
        <v>1</v>
      </c>
      <c r="U456" s="28">
        <v>1</v>
      </c>
      <c r="V456" s="28">
        <v>1</v>
      </c>
      <c r="W456" s="352">
        <v>2</v>
      </c>
      <c r="X456" s="352">
        <v>2</v>
      </c>
      <c r="Y456" s="28">
        <v>1</v>
      </c>
      <c r="Z456" s="28">
        <v>1</v>
      </c>
      <c r="AA456" s="28">
        <v>2</v>
      </c>
      <c r="AB456" s="28">
        <v>2</v>
      </c>
      <c r="AC456" s="28">
        <v>2</v>
      </c>
      <c r="AD456" s="28">
        <v>2</v>
      </c>
      <c r="AE456" s="28">
        <v>2</v>
      </c>
      <c r="AF456" s="28">
        <v>1</v>
      </c>
      <c r="AG456" s="28">
        <v>1</v>
      </c>
      <c r="AH456" s="28">
        <v>1</v>
      </c>
      <c r="AI456" s="28">
        <v>1</v>
      </c>
      <c r="AJ456" s="352">
        <v>2</v>
      </c>
      <c r="AK456" s="352">
        <v>2</v>
      </c>
      <c r="AL456" s="28">
        <v>1</v>
      </c>
      <c r="AM456" s="30">
        <v>2</v>
      </c>
      <c r="AO456" s="179">
        <v>4</v>
      </c>
      <c r="AP456" s="30">
        <v>4</v>
      </c>
      <c r="AQ456" s="179">
        <v>2</v>
      </c>
      <c r="AR456" s="30">
        <v>2</v>
      </c>
      <c r="AS456" s="179" t="s">
        <v>1528</v>
      </c>
      <c r="AT456" s="30" t="s">
        <v>1528</v>
      </c>
      <c r="AU456" s="179">
        <v>5</v>
      </c>
      <c r="AV456" s="30">
        <v>5</v>
      </c>
    </row>
    <row r="457" spans="2:48" s="27" customFormat="1" x14ac:dyDescent="0.25">
      <c r="B457" s="399">
        <v>24</v>
      </c>
      <c r="C457" s="179">
        <v>1</v>
      </c>
      <c r="D457" s="28">
        <v>1</v>
      </c>
      <c r="E457" s="28" t="s">
        <v>1529</v>
      </c>
      <c r="F457" s="28" t="s">
        <v>1529</v>
      </c>
      <c r="G457" s="28">
        <v>3</v>
      </c>
      <c r="H457" s="28">
        <v>2</v>
      </c>
      <c r="I457" s="28">
        <v>3</v>
      </c>
      <c r="J457" s="28">
        <v>1</v>
      </c>
      <c r="K457" s="28">
        <v>1</v>
      </c>
      <c r="L457" s="28">
        <v>1</v>
      </c>
      <c r="M457" s="28">
        <v>1</v>
      </c>
      <c r="N457" s="295">
        <v>1</v>
      </c>
      <c r="O457" s="28" t="s">
        <v>1528</v>
      </c>
      <c r="P457" s="28">
        <v>4</v>
      </c>
      <c r="Q457" s="352">
        <v>2</v>
      </c>
      <c r="R457" s="352">
        <v>2</v>
      </c>
      <c r="S457" s="28">
        <v>1</v>
      </c>
      <c r="T457" s="28">
        <v>1</v>
      </c>
      <c r="U457" s="28">
        <v>1</v>
      </c>
      <c r="V457" s="28">
        <v>1</v>
      </c>
      <c r="W457" s="352">
        <v>2</v>
      </c>
      <c r="X457" s="352">
        <v>2</v>
      </c>
      <c r="Y457" s="28">
        <v>1</v>
      </c>
      <c r="Z457" s="28">
        <v>1</v>
      </c>
      <c r="AA457" s="28">
        <v>2</v>
      </c>
      <c r="AB457" s="28">
        <v>2</v>
      </c>
      <c r="AC457" s="28">
        <v>2</v>
      </c>
      <c r="AD457" s="28">
        <v>2</v>
      </c>
      <c r="AE457" s="28">
        <v>2</v>
      </c>
      <c r="AF457" s="28">
        <v>1</v>
      </c>
      <c r="AG457" s="28">
        <v>1</v>
      </c>
      <c r="AH457" s="28">
        <v>1</v>
      </c>
      <c r="AI457" s="28">
        <v>1</v>
      </c>
      <c r="AJ457" s="352">
        <v>2</v>
      </c>
      <c r="AK457" s="352">
        <v>2</v>
      </c>
      <c r="AL457" s="28">
        <v>1</v>
      </c>
      <c r="AM457" s="30">
        <v>2</v>
      </c>
      <c r="AO457" s="179">
        <v>4</v>
      </c>
      <c r="AP457" s="30">
        <v>4</v>
      </c>
      <c r="AQ457" s="179">
        <v>2</v>
      </c>
      <c r="AR457" s="30">
        <v>2</v>
      </c>
      <c r="AS457" s="179" t="s">
        <v>1528</v>
      </c>
      <c r="AT457" s="30" t="s">
        <v>1528</v>
      </c>
      <c r="AU457" s="179">
        <v>5</v>
      </c>
      <c r="AV457" s="30">
        <v>5</v>
      </c>
    </row>
    <row r="458" spans="2:48" s="27" customFormat="1" x14ac:dyDescent="0.25">
      <c r="B458" s="399">
        <v>25</v>
      </c>
      <c r="C458" s="179">
        <v>1</v>
      </c>
      <c r="D458" s="28">
        <v>1</v>
      </c>
      <c r="E458" s="28" t="s">
        <v>1529</v>
      </c>
      <c r="F458" s="28" t="s">
        <v>1529</v>
      </c>
      <c r="G458" s="28">
        <v>3</v>
      </c>
      <c r="H458" s="28">
        <v>2</v>
      </c>
      <c r="I458" s="28">
        <v>3</v>
      </c>
      <c r="J458" s="28">
        <v>1</v>
      </c>
      <c r="K458" s="28">
        <v>1</v>
      </c>
      <c r="L458" s="28">
        <v>1</v>
      </c>
      <c r="M458" s="28">
        <v>1</v>
      </c>
      <c r="N458" s="295">
        <v>1</v>
      </c>
      <c r="O458" s="28" t="s">
        <v>1528</v>
      </c>
      <c r="P458" s="28">
        <v>4</v>
      </c>
      <c r="Q458" s="352">
        <v>2</v>
      </c>
      <c r="R458" s="352">
        <v>2</v>
      </c>
      <c r="S458" s="28">
        <v>1</v>
      </c>
      <c r="T458" s="28">
        <v>1</v>
      </c>
      <c r="U458" s="28">
        <v>1</v>
      </c>
      <c r="V458" s="28">
        <v>1</v>
      </c>
      <c r="W458" s="352">
        <v>2</v>
      </c>
      <c r="X458" s="352">
        <v>2</v>
      </c>
      <c r="Y458" s="28">
        <v>1</v>
      </c>
      <c r="Z458" s="28">
        <v>1</v>
      </c>
      <c r="AA458" s="28">
        <v>2</v>
      </c>
      <c r="AB458" s="28">
        <v>2</v>
      </c>
      <c r="AC458" s="28">
        <v>2</v>
      </c>
      <c r="AD458" s="28">
        <v>2</v>
      </c>
      <c r="AE458" s="28">
        <v>2</v>
      </c>
      <c r="AF458" s="28">
        <v>1</v>
      </c>
      <c r="AG458" s="28">
        <v>1</v>
      </c>
      <c r="AH458" s="28">
        <v>1</v>
      </c>
      <c r="AI458" s="28">
        <v>1</v>
      </c>
      <c r="AJ458" s="352">
        <v>2</v>
      </c>
      <c r="AK458" s="352">
        <v>2</v>
      </c>
      <c r="AL458" s="28">
        <v>1</v>
      </c>
      <c r="AM458" s="30">
        <v>2</v>
      </c>
      <c r="AO458" s="179">
        <v>4</v>
      </c>
      <c r="AP458" s="30">
        <v>4</v>
      </c>
      <c r="AQ458" s="179">
        <v>2</v>
      </c>
      <c r="AR458" s="30">
        <v>2</v>
      </c>
      <c r="AS458" s="179" t="s">
        <v>1528</v>
      </c>
      <c r="AT458" s="30" t="s">
        <v>1528</v>
      </c>
      <c r="AU458" s="179">
        <v>5</v>
      </c>
      <c r="AV458" s="30">
        <v>5</v>
      </c>
    </row>
    <row r="459" spans="2:48" s="27" customFormat="1" x14ac:dyDescent="0.25">
      <c r="B459" s="399">
        <v>26</v>
      </c>
      <c r="C459" s="179">
        <v>1</v>
      </c>
      <c r="D459" s="28">
        <v>1</v>
      </c>
      <c r="E459" s="28" t="s">
        <v>1529</v>
      </c>
      <c r="F459" s="28" t="s">
        <v>1529</v>
      </c>
      <c r="G459" s="28">
        <v>3</v>
      </c>
      <c r="H459" s="28">
        <v>2</v>
      </c>
      <c r="I459" s="28">
        <v>3</v>
      </c>
      <c r="J459" s="28">
        <v>1</v>
      </c>
      <c r="K459" s="28">
        <v>1</v>
      </c>
      <c r="L459" s="28">
        <v>1</v>
      </c>
      <c r="M459" s="28">
        <v>1</v>
      </c>
      <c r="N459" s="295">
        <v>1</v>
      </c>
      <c r="O459" s="28" t="s">
        <v>1528</v>
      </c>
      <c r="P459" s="28">
        <v>4</v>
      </c>
      <c r="Q459" s="352">
        <v>2</v>
      </c>
      <c r="R459" s="352">
        <v>2</v>
      </c>
      <c r="S459" s="28">
        <v>1</v>
      </c>
      <c r="T459" s="28">
        <v>1</v>
      </c>
      <c r="U459" s="28">
        <v>1</v>
      </c>
      <c r="V459" s="28">
        <v>1</v>
      </c>
      <c r="W459" s="352">
        <v>2</v>
      </c>
      <c r="X459" s="352">
        <v>2</v>
      </c>
      <c r="Y459" s="28">
        <v>1</v>
      </c>
      <c r="Z459" s="28">
        <v>1</v>
      </c>
      <c r="AA459" s="28">
        <v>2</v>
      </c>
      <c r="AB459" s="28">
        <v>2</v>
      </c>
      <c r="AC459" s="28">
        <v>2</v>
      </c>
      <c r="AD459" s="28">
        <v>2</v>
      </c>
      <c r="AE459" s="28">
        <v>2</v>
      </c>
      <c r="AF459" s="28">
        <v>1</v>
      </c>
      <c r="AG459" s="28">
        <v>1</v>
      </c>
      <c r="AH459" s="28">
        <v>1</v>
      </c>
      <c r="AI459" s="28">
        <v>1</v>
      </c>
      <c r="AJ459" s="352">
        <v>2</v>
      </c>
      <c r="AK459" s="352">
        <v>2</v>
      </c>
      <c r="AL459" s="28">
        <v>1</v>
      </c>
      <c r="AM459" s="30">
        <v>2</v>
      </c>
      <c r="AO459" s="179">
        <v>4</v>
      </c>
      <c r="AP459" s="30">
        <v>4</v>
      </c>
      <c r="AQ459" s="179">
        <v>2</v>
      </c>
      <c r="AR459" s="30">
        <v>2</v>
      </c>
      <c r="AS459" s="179" t="s">
        <v>1528</v>
      </c>
      <c r="AT459" s="30" t="s">
        <v>1528</v>
      </c>
      <c r="AU459" s="179">
        <v>5</v>
      </c>
      <c r="AV459" s="30">
        <v>5</v>
      </c>
    </row>
    <row r="460" spans="2:48" s="27" customFormat="1" x14ac:dyDescent="0.25">
      <c r="B460" s="399">
        <v>27</v>
      </c>
      <c r="C460" s="179">
        <v>1</v>
      </c>
      <c r="D460" s="28">
        <v>1</v>
      </c>
      <c r="E460" s="28" t="s">
        <v>1529</v>
      </c>
      <c r="F460" s="28" t="s">
        <v>1529</v>
      </c>
      <c r="G460" s="28">
        <v>3</v>
      </c>
      <c r="H460" s="28">
        <v>2</v>
      </c>
      <c r="I460" s="28">
        <v>3</v>
      </c>
      <c r="J460" s="28">
        <v>1</v>
      </c>
      <c r="K460" s="28">
        <v>1</v>
      </c>
      <c r="L460" s="28">
        <v>1</v>
      </c>
      <c r="M460" s="28">
        <v>1</v>
      </c>
      <c r="N460" s="295">
        <v>1</v>
      </c>
      <c r="O460" s="28" t="s">
        <v>1528</v>
      </c>
      <c r="P460" s="28">
        <v>4</v>
      </c>
      <c r="Q460" s="352">
        <v>2</v>
      </c>
      <c r="R460" s="352">
        <v>2</v>
      </c>
      <c r="S460" s="28">
        <v>1</v>
      </c>
      <c r="T460" s="28">
        <v>1</v>
      </c>
      <c r="U460" s="28">
        <v>1</v>
      </c>
      <c r="V460" s="28">
        <v>1</v>
      </c>
      <c r="W460" s="352">
        <v>2</v>
      </c>
      <c r="X460" s="352">
        <v>2</v>
      </c>
      <c r="Y460" s="28">
        <v>1</v>
      </c>
      <c r="Z460" s="28">
        <v>1</v>
      </c>
      <c r="AA460" s="28">
        <v>2</v>
      </c>
      <c r="AB460" s="28">
        <v>2</v>
      </c>
      <c r="AC460" s="28">
        <v>2</v>
      </c>
      <c r="AD460" s="28">
        <v>2</v>
      </c>
      <c r="AE460" s="28">
        <v>2</v>
      </c>
      <c r="AF460" s="28">
        <v>1</v>
      </c>
      <c r="AG460" s="28">
        <v>1</v>
      </c>
      <c r="AH460" s="28">
        <v>1</v>
      </c>
      <c r="AI460" s="28">
        <v>1</v>
      </c>
      <c r="AJ460" s="352">
        <v>2</v>
      </c>
      <c r="AK460" s="352">
        <v>2</v>
      </c>
      <c r="AL460" s="28">
        <v>1</v>
      </c>
      <c r="AM460" s="30">
        <v>2</v>
      </c>
      <c r="AO460" s="179">
        <v>4</v>
      </c>
      <c r="AP460" s="30">
        <v>4</v>
      </c>
      <c r="AQ460" s="179">
        <v>2</v>
      </c>
      <c r="AR460" s="30">
        <v>2</v>
      </c>
      <c r="AS460" s="179" t="s">
        <v>1528</v>
      </c>
      <c r="AT460" s="30" t="s">
        <v>1528</v>
      </c>
      <c r="AU460" s="179">
        <v>5</v>
      </c>
      <c r="AV460" s="30">
        <v>5</v>
      </c>
    </row>
    <row r="461" spans="2:48" s="27" customFormat="1" x14ac:dyDescent="0.25">
      <c r="B461" s="399">
        <v>28</v>
      </c>
      <c r="C461" s="179">
        <v>1</v>
      </c>
      <c r="D461" s="28">
        <v>1</v>
      </c>
      <c r="E461" s="28" t="s">
        <v>1529</v>
      </c>
      <c r="F461" s="28" t="s">
        <v>1529</v>
      </c>
      <c r="G461" s="28">
        <v>3</v>
      </c>
      <c r="H461" s="28">
        <v>2</v>
      </c>
      <c r="I461" s="28">
        <v>3</v>
      </c>
      <c r="J461" s="28">
        <v>1</v>
      </c>
      <c r="K461" s="28">
        <v>1</v>
      </c>
      <c r="L461" s="28">
        <v>1</v>
      </c>
      <c r="M461" s="28">
        <v>1</v>
      </c>
      <c r="N461" s="295">
        <v>1</v>
      </c>
      <c r="O461" s="28" t="s">
        <v>1528</v>
      </c>
      <c r="P461" s="28">
        <v>4</v>
      </c>
      <c r="Q461" s="352">
        <v>2</v>
      </c>
      <c r="R461" s="352">
        <v>2</v>
      </c>
      <c r="S461" s="28">
        <v>1</v>
      </c>
      <c r="T461" s="28">
        <v>1</v>
      </c>
      <c r="U461" s="28">
        <v>1</v>
      </c>
      <c r="V461" s="28">
        <v>1</v>
      </c>
      <c r="W461" s="352">
        <v>2</v>
      </c>
      <c r="X461" s="352">
        <v>2</v>
      </c>
      <c r="Y461" s="28">
        <v>1</v>
      </c>
      <c r="Z461" s="28">
        <v>1</v>
      </c>
      <c r="AA461" s="28">
        <v>2</v>
      </c>
      <c r="AB461" s="28">
        <v>2</v>
      </c>
      <c r="AC461" s="28">
        <v>2</v>
      </c>
      <c r="AD461" s="28">
        <v>2</v>
      </c>
      <c r="AE461" s="28">
        <v>2</v>
      </c>
      <c r="AF461" s="28">
        <v>1</v>
      </c>
      <c r="AG461" s="28">
        <v>1</v>
      </c>
      <c r="AH461" s="28">
        <v>1</v>
      </c>
      <c r="AI461" s="28">
        <v>1</v>
      </c>
      <c r="AJ461" s="352">
        <v>2</v>
      </c>
      <c r="AK461" s="352">
        <v>2</v>
      </c>
      <c r="AL461" s="28">
        <v>1</v>
      </c>
      <c r="AM461" s="30">
        <v>2</v>
      </c>
      <c r="AO461" s="179">
        <v>4</v>
      </c>
      <c r="AP461" s="30">
        <v>4</v>
      </c>
      <c r="AQ461" s="179">
        <v>2</v>
      </c>
      <c r="AR461" s="30">
        <v>2</v>
      </c>
      <c r="AS461" s="179" t="s">
        <v>1528</v>
      </c>
      <c r="AT461" s="30" t="s">
        <v>1528</v>
      </c>
      <c r="AU461" s="179">
        <v>5</v>
      </c>
      <c r="AV461" s="30">
        <v>5</v>
      </c>
    </row>
    <row r="462" spans="2:48" s="27" customFormat="1" x14ac:dyDescent="0.25">
      <c r="B462" s="399">
        <v>29</v>
      </c>
      <c r="C462" s="179">
        <v>1</v>
      </c>
      <c r="D462" s="28">
        <v>1</v>
      </c>
      <c r="E462" s="28" t="s">
        <v>1529</v>
      </c>
      <c r="F462" s="28" t="s">
        <v>1529</v>
      </c>
      <c r="G462" s="28">
        <v>3</v>
      </c>
      <c r="H462" s="28">
        <v>2</v>
      </c>
      <c r="I462" s="28">
        <v>3</v>
      </c>
      <c r="J462" s="28">
        <v>1</v>
      </c>
      <c r="K462" s="28">
        <v>1</v>
      </c>
      <c r="L462" s="28">
        <v>1</v>
      </c>
      <c r="M462" s="28">
        <v>1</v>
      </c>
      <c r="N462" s="295">
        <v>1</v>
      </c>
      <c r="O462" s="28" t="s">
        <v>1528</v>
      </c>
      <c r="P462" s="28">
        <v>4</v>
      </c>
      <c r="Q462" s="352">
        <v>2</v>
      </c>
      <c r="R462" s="352">
        <v>2</v>
      </c>
      <c r="S462" s="28">
        <v>1</v>
      </c>
      <c r="T462" s="28">
        <v>1</v>
      </c>
      <c r="U462" s="28">
        <v>1</v>
      </c>
      <c r="V462" s="28">
        <v>1</v>
      </c>
      <c r="W462" s="352">
        <v>2</v>
      </c>
      <c r="X462" s="352">
        <v>2</v>
      </c>
      <c r="Y462" s="28">
        <v>1</v>
      </c>
      <c r="Z462" s="28">
        <v>1</v>
      </c>
      <c r="AA462" s="28">
        <v>2</v>
      </c>
      <c r="AB462" s="28">
        <v>2</v>
      </c>
      <c r="AC462" s="28">
        <v>2</v>
      </c>
      <c r="AD462" s="28">
        <v>2</v>
      </c>
      <c r="AE462" s="28">
        <v>2</v>
      </c>
      <c r="AF462" s="28">
        <v>1</v>
      </c>
      <c r="AG462" s="28">
        <v>1</v>
      </c>
      <c r="AH462" s="28">
        <v>1</v>
      </c>
      <c r="AI462" s="28">
        <v>1</v>
      </c>
      <c r="AJ462" s="352">
        <v>2</v>
      </c>
      <c r="AK462" s="352">
        <v>2</v>
      </c>
      <c r="AL462" s="28">
        <v>1</v>
      </c>
      <c r="AM462" s="30">
        <v>2</v>
      </c>
      <c r="AO462" s="179">
        <v>4</v>
      </c>
      <c r="AP462" s="30">
        <v>4</v>
      </c>
      <c r="AQ462" s="179">
        <v>2</v>
      </c>
      <c r="AR462" s="30">
        <v>2</v>
      </c>
      <c r="AS462" s="179" t="s">
        <v>1528</v>
      </c>
      <c r="AT462" s="30" t="s">
        <v>1528</v>
      </c>
      <c r="AU462" s="179">
        <v>5</v>
      </c>
      <c r="AV462" s="30">
        <v>5</v>
      </c>
    </row>
    <row r="463" spans="2:48" s="27" customFormat="1" x14ac:dyDescent="0.25">
      <c r="B463" s="399">
        <v>30</v>
      </c>
      <c r="C463" s="179">
        <v>1</v>
      </c>
      <c r="D463" s="28">
        <v>1</v>
      </c>
      <c r="E463" s="28" t="s">
        <v>1529</v>
      </c>
      <c r="F463" s="28" t="s">
        <v>1529</v>
      </c>
      <c r="G463" s="28">
        <v>3</v>
      </c>
      <c r="H463" s="28">
        <v>2</v>
      </c>
      <c r="I463" s="28">
        <v>3</v>
      </c>
      <c r="J463" s="28">
        <v>1</v>
      </c>
      <c r="K463" s="28">
        <v>1</v>
      </c>
      <c r="L463" s="28">
        <v>1</v>
      </c>
      <c r="M463" s="28">
        <v>1</v>
      </c>
      <c r="N463" s="295">
        <v>1</v>
      </c>
      <c r="O463" s="28" t="s">
        <v>1528</v>
      </c>
      <c r="P463" s="28">
        <v>4</v>
      </c>
      <c r="Q463" s="352">
        <v>2</v>
      </c>
      <c r="R463" s="352">
        <v>2</v>
      </c>
      <c r="S463" s="28">
        <v>1</v>
      </c>
      <c r="T463" s="28">
        <v>1</v>
      </c>
      <c r="U463" s="28">
        <v>1</v>
      </c>
      <c r="V463" s="28">
        <v>1</v>
      </c>
      <c r="W463" s="352">
        <v>2</v>
      </c>
      <c r="X463" s="352">
        <v>2</v>
      </c>
      <c r="Y463" s="28">
        <v>1</v>
      </c>
      <c r="Z463" s="28">
        <v>1</v>
      </c>
      <c r="AA463" s="28">
        <v>2</v>
      </c>
      <c r="AB463" s="28">
        <v>2</v>
      </c>
      <c r="AC463" s="28">
        <v>2</v>
      </c>
      <c r="AD463" s="28">
        <v>2</v>
      </c>
      <c r="AE463" s="28">
        <v>2</v>
      </c>
      <c r="AF463" s="28">
        <v>1</v>
      </c>
      <c r="AG463" s="28">
        <v>1</v>
      </c>
      <c r="AH463" s="28">
        <v>1</v>
      </c>
      <c r="AI463" s="28">
        <v>1</v>
      </c>
      <c r="AJ463" s="352">
        <v>2</v>
      </c>
      <c r="AK463" s="352">
        <v>2</v>
      </c>
      <c r="AL463" s="28">
        <v>1</v>
      </c>
      <c r="AM463" s="30">
        <v>2</v>
      </c>
      <c r="AO463" s="179">
        <v>4</v>
      </c>
      <c r="AP463" s="30">
        <v>4</v>
      </c>
      <c r="AQ463" s="179">
        <v>2</v>
      </c>
      <c r="AR463" s="30">
        <v>2</v>
      </c>
      <c r="AS463" s="179" t="s">
        <v>1528</v>
      </c>
      <c r="AT463" s="30" t="s">
        <v>1528</v>
      </c>
      <c r="AU463" s="179">
        <v>5</v>
      </c>
      <c r="AV463" s="30">
        <v>5</v>
      </c>
    </row>
    <row r="464" spans="2:48" s="27" customFormat="1" x14ac:dyDescent="0.25">
      <c r="B464" s="399">
        <v>31</v>
      </c>
      <c r="C464" s="179">
        <v>1</v>
      </c>
      <c r="D464" s="28">
        <v>1</v>
      </c>
      <c r="E464" s="28" t="s">
        <v>1529</v>
      </c>
      <c r="F464" s="28" t="s">
        <v>1529</v>
      </c>
      <c r="G464" s="28">
        <v>3</v>
      </c>
      <c r="H464" s="28">
        <v>2</v>
      </c>
      <c r="I464" s="28">
        <v>3</v>
      </c>
      <c r="J464" s="28">
        <v>1</v>
      </c>
      <c r="K464" s="28">
        <v>1</v>
      </c>
      <c r="L464" s="28">
        <v>1</v>
      </c>
      <c r="M464" s="28">
        <v>1</v>
      </c>
      <c r="N464" s="295">
        <v>1</v>
      </c>
      <c r="O464" s="28" t="s">
        <v>1528</v>
      </c>
      <c r="P464" s="28">
        <v>4</v>
      </c>
      <c r="Q464" s="352">
        <v>2</v>
      </c>
      <c r="R464" s="352">
        <v>2</v>
      </c>
      <c r="S464" s="28">
        <v>1</v>
      </c>
      <c r="T464" s="28">
        <v>1</v>
      </c>
      <c r="U464" s="28">
        <v>1</v>
      </c>
      <c r="V464" s="28">
        <v>1</v>
      </c>
      <c r="W464" s="352">
        <v>2</v>
      </c>
      <c r="X464" s="352">
        <v>2</v>
      </c>
      <c r="Y464" s="28">
        <v>1</v>
      </c>
      <c r="Z464" s="28">
        <v>1</v>
      </c>
      <c r="AA464" s="28">
        <v>2</v>
      </c>
      <c r="AB464" s="28">
        <v>2</v>
      </c>
      <c r="AC464" s="28">
        <v>2</v>
      </c>
      <c r="AD464" s="28">
        <v>2</v>
      </c>
      <c r="AE464" s="28">
        <v>2</v>
      </c>
      <c r="AF464" s="28">
        <v>1</v>
      </c>
      <c r="AG464" s="28">
        <v>1</v>
      </c>
      <c r="AH464" s="28">
        <v>1</v>
      </c>
      <c r="AI464" s="28">
        <v>1</v>
      </c>
      <c r="AJ464" s="352">
        <v>2</v>
      </c>
      <c r="AK464" s="352">
        <v>2</v>
      </c>
      <c r="AL464" s="28">
        <v>1</v>
      </c>
      <c r="AM464" s="30">
        <v>2</v>
      </c>
      <c r="AO464" s="179">
        <v>4</v>
      </c>
      <c r="AP464" s="30">
        <v>4</v>
      </c>
      <c r="AQ464" s="179">
        <v>2</v>
      </c>
      <c r="AR464" s="30">
        <v>2</v>
      </c>
      <c r="AS464" s="179" t="s">
        <v>1528</v>
      </c>
      <c r="AT464" s="30" t="s">
        <v>1528</v>
      </c>
      <c r="AU464" s="179">
        <v>5</v>
      </c>
      <c r="AV464" s="30">
        <v>5</v>
      </c>
    </row>
    <row r="465" spans="2:48" s="27" customFormat="1" x14ac:dyDescent="0.25">
      <c r="B465" s="399">
        <v>32</v>
      </c>
      <c r="C465" s="179">
        <v>1</v>
      </c>
      <c r="D465" s="28">
        <v>1</v>
      </c>
      <c r="E465" s="28" t="s">
        <v>1529</v>
      </c>
      <c r="F465" s="28" t="s">
        <v>1529</v>
      </c>
      <c r="G465" s="28">
        <v>3</v>
      </c>
      <c r="H465" s="28">
        <v>2</v>
      </c>
      <c r="I465" s="28">
        <v>3</v>
      </c>
      <c r="J465" s="28">
        <v>1</v>
      </c>
      <c r="K465" s="28">
        <v>1</v>
      </c>
      <c r="L465" s="28">
        <v>1</v>
      </c>
      <c r="M465" s="28">
        <v>1</v>
      </c>
      <c r="N465" s="295">
        <v>1</v>
      </c>
      <c r="O465" s="28" t="s">
        <v>1528</v>
      </c>
      <c r="P465" s="28">
        <v>4</v>
      </c>
      <c r="Q465" s="352">
        <v>2</v>
      </c>
      <c r="R465" s="352">
        <v>2</v>
      </c>
      <c r="S465" s="28">
        <v>1</v>
      </c>
      <c r="T465" s="28">
        <v>1</v>
      </c>
      <c r="U465" s="28">
        <v>1</v>
      </c>
      <c r="V465" s="28">
        <v>1</v>
      </c>
      <c r="W465" s="352">
        <v>2</v>
      </c>
      <c r="X465" s="352">
        <v>2</v>
      </c>
      <c r="Y465" s="28">
        <v>1</v>
      </c>
      <c r="Z465" s="28">
        <v>1</v>
      </c>
      <c r="AA465" s="28">
        <v>2</v>
      </c>
      <c r="AB465" s="28">
        <v>2</v>
      </c>
      <c r="AC465" s="28">
        <v>2</v>
      </c>
      <c r="AD465" s="28">
        <v>2</v>
      </c>
      <c r="AE465" s="28">
        <v>2</v>
      </c>
      <c r="AF465" s="28">
        <v>1</v>
      </c>
      <c r="AG465" s="28">
        <v>1</v>
      </c>
      <c r="AH465" s="28">
        <v>1</v>
      </c>
      <c r="AI465" s="28">
        <v>1</v>
      </c>
      <c r="AJ465" s="352">
        <v>2</v>
      </c>
      <c r="AK465" s="352">
        <v>2</v>
      </c>
      <c r="AL465" s="28">
        <v>1</v>
      </c>
      <c r="AM465" s="30">
        <v>2</v>
      </c>
      <c r="AO465" s="179">
        <v>4</v>
      </c>
      <c r="AP465" s="30">
        <v>4</v>
      </c>
      <c r="AQ465" s="179">
        <v>2</v>
      </c>
      <c r="AR465" s="30">
        <v>2</v>
      </c>
      <c r="AS465" s="179" t="s">
        <v>1528</v>
      </c>
      <c r="AT465" s="30" t="s">
        <v>1528</v>
      </c>
      <c r="AU465" s="179">
        <v>5</v>
      </c>
      <c r="AV465" s="30">
        <v>5</v>
      </c>
    </row>
    <row r="466" spans="2:48" s="27" customFormat="1" x14ac:dyDescent="0.25">
      <c r="B466" s="399">
        <v>33</v>
      </c>
      <c r="C466" s="179">
        <v>1</v>
      </c>
      <c r="D466" s="28">
        <v>1</v>
      </c>
      <c r="E466" s="28" t="s">
        <v>1529</v>
      </c>
      <c r="F466" s="28" t="s">
        <v>1529</v>
      </c>
      <c r="G466" s="28">
        <v>3</v>
      </c>
      <c r="H466" s="28">
        <v>2</v>
      </c>
      <c r="I466" s="28">
        <v>3</v>
      </c>
      <c r="J466" s="28">
        <v>1</v>
      </c>
      <c r="K466" s="28">
        <v>1</v>
      </c>
      <c r="L466" s="28">
        <v>1</v>
      </c>
      <c r="M466" s="28">
        <v>1</v>
      </c>
      <c r="N466" s="295">
        <v>1</v>
      </c>
      <c r="O466" s="28" t="s">
        <v>1528</v>
      </c>
      <c r="P466" s="28">
        <v>4</v>
      </c>
      <c r="Q466" s="352">
        <v>2</v>
      </c>
      <c r="R466" s="352">
        <v>2</v>
      </c>
      <c r="S466" s="28">
        <v>1</v>
      </c>
      <c r="T466" s="28">
        <v>1</v>
      </c>
      <c r="U466" s="28">
        <v>1</v>
      </c>
      <c r="V466" s="28">
        <v>1</v>
      </c>
      <c r="W466" s="352">
        <v>2</v>
      </c>
      <c r="X466" s="352">
        <v>2</v>
      </c>
      <c r="Y466" s="28">
        <v>1</v>
      </c>
      <c r="Z466" s="28">
        <v>1</v>
      </c>
      <c r="AA466" s="28">
        <v>2</v>
      </c>
      <c r="AB466" s="28">
        <v>2</v>
      </c>
      <c r="AC466" s="28">
        <v>2</v>
      </c>
      <c r="AD466" s="28">
        <v>2</v>
      </c>
      <c r="AE466" s="28">
        <v>2</v>
      </c>
      <c r="AF466" s="28">
        <v>1</v>
      </c>
      <c r="AG466" s="28">
        <v>1</v>
      </c>
      <c r="AH466" s="28">
        <v>1</v>
      </c>
      <c r="AI466" s="28">
        <v>1</v>
      </c>
      <c r="AJ466" s="352">
        <v>2</v>
      </c>
      <c r="AK466" s="352">
        <v>2</v>
      </c>
      <c r="AL466" s="28">
        <v>1</v>
      </c>
      <c r="AM466" s="30">
        <v>2</v>
      </c>
      <c r="AO466" s="179">
        <v>4</v>
      </c>
      <c r="AP466" s="30">
        <v>4</v>
      </c>
      <c r="AQ466" s="179">
        <v>2</v>
      </c>
      <c r="AR466" s="30">
        <v>2</v>
      </c>
      <c r="AS466" s="179" t="s">
        <v>1528</v>
      </c>
      <c r="AT466" s="30" t="s">
        <v>1528</v>
      </c>
      <c r="AU466" s="179">
        <v>5</v>
      </c>
      <c r="AV466" s="30">
        <v>5</v>
      </c>
    </row>
    <row r="467" spans="2:48" s="27" customFormat="1" x14ac:dyDescent="0.25">
      <c r="B467" s="399">
        <v>34</v>
      </c>
      <c r="C467" s="179">
        <v>1</v>
      </c>
      <c r="D467" s="28">
        <v>1</v>
      </c>
      <c r="E467" s="28" t="s">
        <v>1529</v>
      </c>
      <c r="F467" s="28" t="s">
        <v>1529</v>
      </c>
      <c r="G467" s="28">
        <v>3</v>
      </c>
      <c r="H467" s="28">
        <v>2</v>
      </c>
      <c r="I467" s="28">
        <v>3</v>
      </c>
      <c r="J467" s="28">
        <v>1</v>
      </c>
      <c r="K467" s="28">
        <v>1</v>
      </c>
      <c r="L467" s="28">
        <v>1</v>
      </c>
      <c r="M467" s="28">
        <v>1</v>
      </c>
      <c r="N467" s="295">
        <v>1</v>
      </c>
      <c r="O467" s="28" t="s">
        <v>1528</v>
      </c>
      <c r="P467" s="28">
        <v>4</v>
      </c>
      <c r="Q467" s="352">
        <v>2</v>
      </c>
      <c r="R467" s="352">
        <v>2</v>
      </c>
      <c r="S467" s="28">
        <v>1</v>
      </c>
      <c r="T467" s="28">
        <v>1</v>
      </c>
      <c r="U467" s="28">
        <v>1</v>
      </c>
      <c r="V467" s="28">
        <v>1</v>
      </c>
      <c r="W467" s="352">
        <v>2</v>
      </c>
      <c r="X467" s="352">
        <v>2</v>
      </c>
      <c r="Y467" s="28">
        <v>1</v>
      </c>
      <c r="Z467" s="28">
        <v>1</v>
      </c>
      <c r="AA467" s="28">
        <v>2</v>
      </c>
      <c r="AB467" s="28">
        <v>2</v>
      </c>
      <c r="AC467" s="28">
        <v>2</v>
      </c>
      <c r="AD467" s="28">
        <v>2</v>
      </c>
      <c r="AE467" s="28">
        <v>2</v>
      </c>
      <c r="AF467" s="28">
        <v>1</v>
      </c>
      <c r="AG467" s="28">
        <v>1</v>
      </c>
      <c r="AH467" s="28">
        <v>1</v>
      </c>
      <c r="AI467" s="28">
        <v>1</v>
      </c>
      <c r="AJ467" s="352">
        <v>2</v>
      </c>
      <c r="AK467" s="352">
        <v>2</v>
      </c>
      <c r="AL467" s="28">
        <v>1</v>
      </c>
      <c r="AM467" s="30">
        <v>2</v>
      </c>
      <c r="AO467" s="179">
        <v>4</v>
      </c>
      <c r="AP467" s="30">
        <v>4</v>
      </c>
      <c r="AQ467" s="179">
        <v>2</v>
      </c>
      <c r="AR467" s="30">
        <v>2</v>
      </c>
      <c r="AS467" s="179" t="s">
        <v>1528</v>
      </c>
      <c r="AT467" s="30" t="s">
        <v>1528</v>
      </c>
      <c r="AU467" s="179">
        <v>5</v>
      </c>
      <c r="AV467" s="30">
        <v>5</v>
      </c>
    </row>
    <row r="468" spans="2:48" s="27" customFormat="1" x14ac:dyDescent="0.25">
      <c r="B468" s="399">
        <v>35</v>
      </c>
      <c r="C468" s="179">
        <v>1</v>
      </c>
      <c r="D468" s="28">
        <v>1</v>
      </c>
      <c r="E468" s="28" t="s">
        <v>1529</v>
      </c>
      <c r="F468" s="28" t="s">
        <v>1529</v>
      </c>
      <c r="G468" s="28">
        <v>3</v>
      </c>
      <c r="H468" s="28">
        <v>2</v>
      </c>
      <c r="I468" s="28">
        <v>3</v>
      </c>
      <c r="J468" s="28">
        <v>1</v>
      </c>
      <c r="K468" s="28">
        <v>1</v>
      </c>
      <c r="L468" s="28">
        <v>1</v>
      </c>
      <c r="M468" s="28">
        <v>1</v>
      </c>
      <c r="N468" s="295">
        <v>1</v>
      </c>
      <c r="O468" s="28" t="s">
        <v>1528</v>
      </c>
      <c r="P468" s="28">
        <v>4</v>
      </c>
      <c r="Q468" s="352">
        <v>2</v>
      </c>
      <c r="R468" s="352">
        <v>2</v>
      </c>
      <c r="S468" s="28">
        <v>1</v>
      </c>
      <c r="T468" s="28">
        <v>1</v>
      </c>
      <c r="U468" s="28">
        <v>1</v>
      </c>
      <c r="V468" s="28">
        <v>1</v>
      </c>
      <c r="W468" s="352">
        <v>2</v>
      </c>
      <c r="X468" s="352">
        <v>2</v>
      </c>
      <c r="Y468" s="28">
        <v>1</v>
      </c>
      <c r="Z468" s="28">
        <v>1</v>
      </c>
      <c r="AA468" s="28">
        <v>2</v>
      </c>
      <c r="AB468" s="28">
        <v>2</v>
      </c>
      <c r="AC468" s="28">
        <v>2</v>
      </c>
      <c r="AD468" s="28">
        <v>2</v>
      </c>
      <c r="AE468" s="28">
        <v>2</v>
      </c>
      <c r="AF468" s="28">
        <v>1</v>
      </c>
      <c r="AG468" s="28">
        <v>1</v>
      </c>
      <c r="AH468" s="28">
        <v>1</v>
      </c>
      <c r="AI468" s="28">
        <v>1</v>
      </c>
      <c r="AJ468" s="352">
        <v>2</v>
      </c>
      <c r="AK468" s="352">
        <v>2</v>
      </c>
      <c r="AL468" s="28">
        <v>1</v>
      </c>
      <c r="AM468" s="30">
        <v>2</v>
      </c>
      <c r="AO468" s="179">
        <v>4</v>
      </c>
      <c r="AP468" s="30">
        <v>4</v>
      </c>
      <c r="AQ468" s="179">
        <v>2</v>
      </c>
      <c r="AR468" s="30">
        <v>2</v>
      </c>
      <c r="AS468" s="179" t="s">
        <v>1528</v>
      </c>
      <c r="AT468" s="30" t="s">
        <v>1528</v>
      </c>
      <c r="AU468" s="179">
        <v>5</v>
      </c>
      <c r="AV468" s="30">
        <v>5</v>
      </c>
    </row>
    <row r="469" spans="2:48" s="27" customFormat="1" ht="15.75" thickBot="1" x14ac:dyDescent="0.3">
      <c r="B469" s="400">
        <v>36</v>
      </c>
      <c r="C469" s="213">
        <v>1</v>
      </c>
      <c r="D469" s="32">
        <v>1</v>
      </c>
      <c r="E469" s="32" t="s">
        <v>1529</v>
      </c>
      <c r="F469" s="32" t="s">
        <v>1529</v>
      </c>
      <c r="G469" s="32">
        <v>3</v>
      </c>
      <c r="H469" s="32">
        <v>2</v>
      </c>
      <c r="I469" s="32">
        <v>3</v>
      </c>
      <c r="J469" s="32">
        <v>1</v>
      </c>
      <c r="K469" s="32">
        <v>1</v>
      </c>
      <c r="L469" s="32">
        <v>1</v>
      </c>
      <c r="M469" s="32">
        <v>1</v>
      </c>
      <c r="N469" s="296">
        <v>1</v>
      </c>
      <c r="O469" s="32" t="s">
        <v>1528</v>
      </c>
      <c r="P469" s="32">
        <v>4</v>
      </c>
      <c r="Q469" s="353">
        <v>2</v>
      </c>
      <c r="R469" s="353">
        <v>2</v>
      </c>
      <c r="S469" s="32">
        <v>1</v>
      </c>
      <c r="T469" s="32">
        <v>1</v>
      </c>
      <c r="U469" s="32">
        <v>1</v>
      </c>
      <c r="V469" s="32">
        <v>1</v>
      </c>
      <c r="W469" s="353">
        <v>2</v>
      </c>
      <c r="X469" s="353">
        <v>2</v>
      </c>
      <c r="Y469" s="32">
        <v>1</v>
      </c>
      <c r="Z469" s="32">
        <v>1</v>
      </c>
      <c r="AA469" s="32">
        <v>2</v>
      </c>
      <c r="AB469" s="32">
        <v>2</v>
      </c>
      <c r="AC469" s="32">
        <v>2</v>
      </c>
      <c r="AD469" s="32">
        <v>2</v>
      </c>
      <c r="AE469" s="32">
        <v>2</v>
      </c>
      <c r="AF469" s="32">
        <v>1</v>
      </c>
      <c r="AG469" s="32">
        <v>1</v>
      </c>
      <c r="AH469" s="32">
        <v>1</v>
      </c>
      <c r="AI469" s="32">
        <v>1</v>
      </c>
      <c r="AJ469" s="353">
        <v>2</v>
      </c>
      <c r="AK469" s="353">
        <v>2</v>
      </c>
      <c r="AL469" s="32">
        <v>1</v>
      </c>
      <c r="AM469" s="33">
        <v>2</v>
      </c>
      <c r="AO469" s="213">
        <v>4</v>
      </c>
      <c r="AP469" s="33">
        <v>4</v>
      </c>
      <c r="AQ469" s="213">
        <v>2</v>
      </c>
      <c r="AR469" s="33">
        <v>2</v>
      </c>
      <c r="AS469" s="213" t="s">
        <v>1528</v>
      </c>
      <c r="AT469" s="33" t="s">
        <v>1528</v>
      </c>
      <c r="AU469" s="213">
        <v>5</v>
      </c>
      <c r="AV469" s="33">
        <v>5</v>
      </c>
    </row>
    <row r="470" spans="2:48" s="27" customFormat="1" x14ac:dyDescent="0.25">
      <c r="B470" s="26"/>
      <c r="Z470"/>
      <c r="AA470"/>
      <c r="AB470"/>
      <c r="AC470"/>
      <c r="AD470"/>
      <c r="AE470"/>
      <c r="AF470"/>
      <c r="AG470"/>
      <c r="AH470"/>
    </row>
    <row r="471" spans="2:48" s="27" customFormat="1" ht="19.5" thickBot="1" x14ac:dyDescent="0.35">
      <c r="B471" s="121" t="s">
        <v>1683</v>
      </c>
      <c r="Z471"/>
      <c r="AA471"/>
      <c r="AB471"/>
      <c r="AC471"/>
      <c r="AD471"/>
      <c r="AE471"/>
      <c r="AF471"/>
      <c r="AG471"/>
      <c r="AH471"/>
    </row>
    <row r="472" spans="2:48" s="42" customFormat="1" ht="15.75" thickBot="1" x14ac:dyDescent="0.3">
      <c r="B472" s="243" t="s">
        <v>411</v>
      </c>
      <c r="C472" s="242" t="s">
        <v>63</v>
      </c>
      <c r="D472" s="138" t="s">
        <v>64</v>
      </c>
      <c r="E472" s="138" t="s">
        <v>65</v>
      </c>
      <c r="F472" s="138" t="s">
        <v>66</v>
      </c>
      <c r="G472" s="138" t="s">
        <v>67</v>
      </c>
      <c r="H472" s="138" t="s">
        <v>68</v>
      </c>
      <c r="I472" s="138" t="s">
        <v>247</v>
      </c>
      <c r="J472" s="138" t="s">
        <v>69</v>
      </c>
      <c r="K472" s="138" t="s">
        <v>70</v>
      </c>
      <c r="L472" s="138" t="s">
        <v>333</v>
      </c>
      <c r="M472" s="138" t="s">
        <v>334</v>
      </c>
      <c r="N472" s="138"/>
      <c r="O472" s="138" t="s">
        <v>1568</v>
      </c>
      <c r="P472" s="305" t="s">
        <v>1625</v>
      </c>
      <c r="Q472" s="139" t="s">
        <v>1569</v>
      </c>
      <c r="AA472" s="26"/>
      <c r="AB472" s="26"/>
      <c r="AC472" s="26"/>
      <c r="AD472" s="26"/>
      <c r="AE472" s="26"/>
      <c r="AF472" s="26"/>
      <c r="AG472" s="26"/>
      <c r="AH472" s="26"/>
      <c r="AI472" s="26"/>
    </row>
    <row r="473" spans="2:48" s="27" customFormat="1" x14ac:dyDescent="0.25">
      <c r="B473" s="398">
        <v>1</v>
      </c>
      <c r="C473" s="397" t="s">
        <v>193</v>
      </c>
      <c r="D473" s="133" t="s">
        <v>193</v>
      </c>
      <c r="E473" s="133" t="s">
        <v>195</v>
      </c>
      <c r="F473" s="133" t="str">
        <f t="shared" ref="F473:F508" si="44">E473</f>
        <v>1D10</v>
      </c>
      <c r="G473" s="133" t="s">
        <v>412</v>
      </c>
      <c r="H473" s="133" t="s">
        <v>197</v>
      </c>
      <c r="I473" s="133" t="str">
        <f t="shared" ref="I473:I508" si="45">H473</f>
        <v>1D4</v>
      </c>
      <c r="J473" s="133" t="s">
        <v>191</v>
      </c>
      <c r="K473" s="133" t="str">
        <f t="shared" ref="K473:K487" si="46">J473</f>
        <v>1D6</v>
      </c>
      <c r="L473" s="133" t="s">
        <v>209</v>
      </c>
      <c r="M473" s="133" t="s">
        <v>195</v>
      </c>
      <c r="N473" s="133"/>
      <c r="O473" s="133" t="s">
        <v>410</v>
      </c>
      <c r="P473" s="173" t="s">
        <v>1258</v>
      </c>
      <c r="Q473" s="136" t="s">
        <v>191</v>
      </c>
      <c r="AA473"/>
      <c r="AB473"/>
      <c r="AC473"/>
      <c r="AD473"/>
      <c r="AE473"/>
      <c r="AF473"/>
      <c r="AG473"/>
      <c r="AH473"/>
      <c r="AI473"/>
    </row>
    <row r="474" spans="2:48" s="27" customFormat="1" x14ac:dyDescent="0.25">
      <c r="B474" s="399">
        <v>2</v>
      </c>
      <c r="C474" s="295" t="s">
        <v>412</v>
      </c>
      <c r="D474" s="28" t="s">
        <v>412</v>
      </c>
      <c r="E474" s="28" t="s">
        <v>425</v>
      </c>
      <c r="F474" s="28" t="str">
        <f t="shared" si="44"/>
        <v>2D10</v>
      </c>
      <c r="G474" s="28" t="s">
        <v>207</v>
      </c>
      <c r="H474" s="28" t="s">
        <v>204</v>
      </c>
      <c r="I474" s="28" t="str">
        <f t="shared" si="45"/>
        <v>2D4</v>
      </c>
      <c r="J474" s="28" t="s">
        <v>209</v>
      </c>
      <c r="K474" s="28" t="str">
        <f t="shared" si="46"/>
        <v>2D6</v>
      </c>
      <c r="L474" s="28" t="s">
        <v>221</v>
      </c>
      <c r="M474" s="28" t="s">
        <v>425</v>
      </c>
      <c r="N474" s="28"/>
      <c r="O474" s="28" t="s">
        <v>425</v>
      </c>
      <c r="P474" s="36" t="s">
        <v>1626</v>
      </c>
      <c r="Q474" s="30" t="s">
        <v>209</v>
      </c>
      <c r="AA474"/>
      <c r="AB474"/>
      <c r="AC474"/>
      <c r="AD474"/>
      <c r="AE474"/>
      <c r="AF474"/>
      <c r="AG474"/>
      <c r="AH474"/>
      <c r="AI474"/>
    </row>
    <row r="475" spans="2:48" s="27" customFormat="1" x14ac:dyDescent="0.25">
      <c r="B475" s="399">
        <v>3</v>
      </c>
      <c r="C475" s="295" t="s">
        <v>207</v>
      </c>
      <c r="D475" s="28" t="s">
        <v>207</v>
      </c>
      <c r="E475" s="28" t="s">
        <v>426</v>
      </c>
      <c r="F475" s="28" t="str">
        <f t="shared" si="44"/>
        <v>3D10</v>
      </c>
      <c r="G475" s="28" t="s">
        <v>413</v>
      </c>
      <c r="H475" s="28" t="s">
        <v>212</v>
      </c>
      <c r="I475" s="28" t="str">
        <f t="shared" si="45"/>
        <v>3D4</v>
      </c>
      <c r="J475" s="28" t="s">
        <v>221</v>
      </c>
      <c r="K475" s="28" t="str">
        <f t="shared" si="46"/>
        <v>3D6</v>
      </c>
      <c r="L475" s="28" t="s">
        <v>576</v>
      </c>
      <c r="M475" s="28" t="s">
        <v>426</v>
      </c>
      <c r="N475" s="28"/>
      <c r="O475" s="28" t="s">
        <v>426</v>
      </c>
      <c r="P475" s="36" t="s">
        <v>1627</v>
      </c>
      <c r="Q475" s="30" t="s">
        <v>221</v>
      </c>
      <c r="AA475"/>
      <c r="AB475"/>
      <c r="AC475"/>
      <c r="AD475"/>
      <c r="AE475"/>
      <c r="AF475"/>
      <c r="AG475"/>
      <c r="AH475"/>
      <c r="AI475"/>
    </row>
    <row r="476" spans="2:48" s="27" customFormat="1" x14ac:dyDescent="0.25">
      <c r="B476" s="399">
        <v>4</v>
      </c>
      <c r="C476" s="295" t="s">
        <v>413</v>
      </c>
      <c r="D476" s="28" t="s">
        <v>413</v>
      </c>
      <c r="E476" s="28" t="s">
        <v>427</v>
      </c>
      <c r="F476" s="28" t="str">
        <f t="shared" si="44"/>
        <v>4D10</v>
      </c>
      <c r="G476" s="28" t="s">
        <v>414</v>
      </c>
      <c r="H476" s="28" t="s">
        <v>405</v>
      </c>
      <c r="I476" s="28" t="str">
        <f t="shared" si="45"/>
        <v>4D4</v>
      </c>
      <c r="J476" s="28" t="s">
        <v>576</v>
      </c>
      <c r="K476" s="28" t="str">
        <f t="shared" si="46"/>
        <v>4D6</v>
      </c>
      <c r="L476" s="28" t="s">
        <v>408</v>
      </c>
      <c r="M476" s="28" t="s">
        <v>427</v>
      </c>
      <c r="N476" s="28"/>
      <c r="O476" s="28" t="s">
        <v>427</v>
      </c>
      <c r="P476" s="36" t="s">
        <v>1628</v>
      </c>
      <c r="Q476" s="30" t="s">
        <v>576</v>
      </c>
      <c r="AA476"/>
      <c r="AB476"/>
      <c r="AC476"/>
      <c r="AD476"/>
      <c r="AE476"/>
      <c r="AF476"/>
      <c r="AG476"/>
      <c r="AH476"/>
      <c r="AI476"/>
    </row>
    <row r="477" spans="2:48" s="27" customFormat="1" x14ac:dyDescent="0.25">
      <c r="B477" s="399">
        <v>5</v>
      </c>
      <c r="C477" s="295" t="s">
        <v>414</v>
      </c>
      <c r="D477" s="28" t="s">
        <v>414</v>
      </c>
      <c r="E477" s="28" t="s">
        <v>428</v>
      </c>
      <c r="F477" s="28" t="str">
        <f t="shared" si="44"/>
        <v>5D10</v>
      </c>
      <c r="G477" s="28" t="s">
        <v>415</v>
      </c>
      <c r="H477" s="28" t="s">
        <v>406</v>
      </c>
      <c r="I477" s="28" t="str">
        <f t="shared" si="45"/>
        <v>5D4</v>
      </c>
      <c r="J477" s="28" t="s">
        <v>408</v>
      </c>
      <c r="K477" s="28" t="str">
        <f t="shared" si="46"/>
        <v>5D6</v>
      </c>
      <c r="L477" s="28" t="s">
        <v>577</v>
      </c>
      <c r="M477" s="28" t="s">
        <v>428</v>
      </c>
      <c r="N477" s="28"/>
      <c r="O477" s="28" t="s">
        <v>428</v>
      </c>
      <c r="P477" s="36" t="s">
        <v>1629</v>
      </c>
      <c r="Q477" s="30" t="s">
        <v>408</v>
      </c>
      <c r="AA477"/>
      <c r="AB477"/>
      <c r="AC477"/>
      <c r="AD477"/>
      <c r="AE477"/>
      <c r="AF477"/>
      <c r="AG477"/>
      <c r="AH477"/>
      <c r="AI477"/>
    </row>
    <row r="478" spans="2:48" s="27" customFormat="1" x14ac:dyDescent="0.25">
      <c r="B478" s="399">
        <v>6</v>
      </c>
      <c r="C478" s="295" t="s">
        <v>415</v>
      </c>
      <c r="D478" s="28" t="s">
        <v>415</v>
      </c>
      <c r="E478" s="28" t="s">
        <v>429</v>
      </c>
      <c r="F478" s="28" t="str">
        <f t="shared" si="44"/>
        <v>6D10</v>
      </c>
      <c r="G478" s="28" t="s">
        <v>416</v>
      </c>
      <c r="H478" s="28" t="s">
        <v>407</v>
      </c>
      <c r="I478" s="28" t="str">
        <f t="shared" si="45"/>
        <v>6D4</v>
      </c>
      <c r="J478" s="28" t="s">
        <v>577</v>
      </c>
      <c r="K478" s="28" t="str">
        <f t="shared" si="46"/>
        <v>6D6</v>
      </c>
      <c r="L478" s="28" t="s">
        <v>578</v>
      </c>
      <c r="M478" s="28" t="s">
        <v>429</v>
      </c>
      <c r="N478" s="28"/>
      <c r="O478" s="28" t="s">
        <v>429</v>
      </c>
      <c r="P478" s="36" t="s">
        <v>1630</v>
      </c>
      <c r="Q478" s="30" t="s">
        <v>577</v>
      </c>
      <c r="AA478"/>
      <c r="AB478"/>
      <c r="AC478"/>
      <c r="AD478"/>
      <c r="AE478"/>
      <c r="AF478"/>
      <c r="AG478"/>
      <c r="AH478"/>
      <c r="AI478"/>
    </row>
    <row r="479" spans="2:48" s="27" customFormat="1" x14ac:dyDescent="0.25">
      <c r="B479" s="399">
        <v>7</v>
      </c>
      <c r="C479" s="295" t="s">
        <v>416</v>
      </c>
      <c r="D479" s="28" t="s">
        <v>416</v>
      </c>
      <c r="E479" s="28" t="s">
        <v>430</v>
      </c>
      <c r="F479" s="28" t="str">
        <f t="shared" si="44"/>
        <v>7D10</v>
      </c>
      <c r="G479" s="28" t="s">
        <v>417</v>
      </c>
      <c r="H479" s="28" t="s">
        <v>550</v>
      </c>
      <c r="I479" s="28" t="str">
        <f t="shared" si="45"/>
        <v>7D4</v>
      </c>
      <c r="J479" s="28" t="s">
        <v>578</v>
      </c>
      <c r="K479" s="28" t="str">
        <f t="shared" si="46"/>
        <v>7D6</v>
      </c>
      <c r="L479" s="28" t="s">
        <v>494</v>
      </c>
      <c r="M479" s="28" t="s">
        <v>430</v>
      </c>
      <c r="N479" s="28"/>
      <c r="O479" s="28" t="s">
        <v>430</v>
      </c>
      <c r="P479" s="36" t="s">
        <v>1631</v>
      </c>
      <c r="Q479" s="30" t="s">
        <v>578</v>
      </c>
      <c r="AA479"/>
      <c r="AB479"/>
      <c r="AC479"/>
      <c r="AD479"/>
      <c r="AE479"/>
      <c r="AF479"/>
      <c r="AG479"/>
      <c r="AH479"/>
      <c r="AI479"/>
    </row>
    <row r="480" spans="2:48" s="27" customFormat="1" x14ac:dyDescent="0.25">
      <c r="B480" s="399">
        <v>8</v>
      </c>
      <c r="C480" s="295" t="s">
        <v>417</v>
      </c>
      <c r="D480" s="28" t="s">
        <v>417</v>
      </c>
      <c r="E480" s="28" t="s">
        <v>431</v>
      </c>
      <c r="F480" s="28" t="str">
        <f t="shared" si="44"/>
        <v>8D10</v>
      </c>
      <c r="G480" s="28" t="s">
        <v>418</v>
      </c>
      <c r="H480" s="28" t="s">
        <v>409</v>
      </c>
      <c r="I480" s="28" t="str">
        <f t="shared" si="45"/>
        <v>8D4</v>
      </c>
      <c r="J480" s="28" t="s">
        <v>494</v>
      </c>
      <c r="K480" s="28" t="str">
        <f t="shared" si="46"/>
        <v>8D6</v>
      </c>
      <c r="L480" s="28" t="s">
        <v>495</v>
      </c>
      <c r="M480" s="28" t="s">
        <v>433</v>
      </c>
      <c r="N480" s="28"/>
      <c r="O480" s="28" t="s">
        <v>431</v>
      </c>
      <c r="P480" s="36" t="s">
        <v>1632</v>
      </c>
      <c r="Q480" s="30" t="s">
        <v>494</v>
      </c>
      <c r="AA480"/>
      <c r="AB480"/>
      <c r="AC480"/>
      <c r="AD480"/>
      <c r="AE480"/>
      <c r="AF480"/>
      <c r="AG480"/>
      <c r="AH480"/>
      <c r="AI480"/>
    </row>
    <row r="481" spans="2:35" s="27" customFormat="1" x14ac:dyDescent="0.25">
      <c r="B481" s="399">
        <v>9</v>
      </c>
      <c r="C481" s="295" t="s">
        <v>418</v>
      </c>
      <c r="D481" s="28" t="s">
        <v>418</v>
      </c>
      <c r="E481" s="28" t="s">
        <v>432</v>
      </c>
      <c r="F481" s="28" t="str">
        <f t="shared" si="44"/>
        <v>9D10</v>
      </c>
      <c r="G481" s="28" t="s">
        <v>419</v>
      </c>
      <c r="H481" s="28" t="s">
        <v>551</v>
      </c>
      <c r="I481" s="28" t="str">
        <f t="shared" si="45"/>
        <v>9D4</v>
      </c>
      <c r="J481" s="28" t="s">
        <v>495</v>
      </c>
      <c r="K481" s="28" t="str">
        <f t="shared" si="46"/>
        <v>9D6</v>
      </c>
      <c r="L481" s="28" t="s">
        <v>496</v>
      </c>
      <c r="M481" s="28" t="s">
        <v>434</v>
      </c>
      <c r="N481" s="28"/>
      <c r="O481" s="28" t="s">
        <v>432</v>
      </c>
      <c r="P481" s="36" t="s">
        <v>1633</v>
      </c>
      <c r="Q481" s="30" t="s">
        <v>495</v>
      </c>
      <c r="AA481"/>
      <c r="AB481"/>
      <c r="AC481"/>
      <c r="AD481"/>
      <c r="AE481"/>
      <c r="AF481"/>
      <c r="AG481"/>
      <c r="AH481"/>
      <c r="AI481"/>
    </row>
    <row r="482" spans="2:35" s="27" customFormat="1" x14ac:dyDescent="0.25">
      <c r="B482" s="399">
        <v>10</v>
      </c>
      <c r="C482" s="295" t="s">
        <v>459</v>
      </c>
      <c r="D482" s="28" t="s">
        <v>419</v>
      </c>
      <c r="E482" s="28" t="s">
        <v>497</v>
      </c>
      <c r="F482" s="28" t="str">
        <f t="shared" si="44"/>
        <v>9D10+3</v>
      </c>
      <c r="G482" s="28" t="s">
        <v>420</v>
      </c>
      <c r="H482" s="28" t="s">
        <v>552</v>
      </c>
      <c r="I482" s="28" t="str">
        <f t="shared" si="45"/>
        <v>10D4</v>
      </c>
      <c r="J482" s="28" t="s">
        <v>496</v>
      </c>
      <c r="K482" s="28" t="str">
        <f t="shared" si="46"/>
        <v>10D6</v>
      </c>
      <c r="L482" s="28" t="s">
        <v>1246</v>
      </c>
      <c r="M482" s="28" t="s">
        <v>435</v>
      </c>
      <c r="N482" s="28"/>
      <c r="O482" s="28" t="s">
        <v>1577</v>
      </c>
      <c r="P482" s="36" t="s">
        <v>1634</v>
      </c>
      <c r="Q482" s="30" t="s">
        <v>496</v>
      </c>
      <c r="AA482"/>
      <c r="AB482"/>
      <c r="AC482"/>
      <c r="AD482"/>
      <c r="AE482"/>
      <c r="AF482"/>
      <c r="AG482"/>
      <c r="AH482"/>
      <c r="AI482"/>
    </row>
    <row r="483" spans="2:35" s="27" customFormat="1" x14ac:dyDescent="0.25">
      <c r="B483" s="399">
        <v>11</v>
      </c>
      <c r="C483" s="295" t="s">
        <v>460</v>
      </c>
      <c r="D483" s="28" t="s">
        <v>420</v>
      </c>
      <c r="E483" s="28" t="s">
        <v>498</v>
      </c>
      <c r="F483" s="28" t="str">
        <f t="shared" si="44"/>
        <v>9D10+6</v>
      </c>
      <c r="G483" s="28" t="s">
        <v>524</v>
      </c>
      <c r="H483" s="28" t="s">
        <v>553</v>
      </c>
      <c r="I483" s="28" t="str">
        <f t="shared" si="45"/>
        <v>11D4</v>
      </c>
      <c r="J483" s="28" t="s">
        <v>579</v>
      </c>
      <c r="K483" s="28" t="str">
        <f t="shared" si="46"/>
        <v>10D6+2</v>
      </c>
      <c r="L483" s="28" t="s">
        <v>1247</v>
      </c>
      <c r="M483" s="28" t="s">
        <v>436</v>
      </c>
      <c r="N483" s="28"/>
      <c r="O483" s="28" t="s">
        <v>1578</v>
      </c>
      <c r="P483" s="36" t="s">
        <v>1635</v>
      </c>
      <c r="Q483" s="30" t="s">
        <v>579</v>
      </c>
      <c r="AA483"/>
      <c r="AB483"/>
      <c r="AC483"/>
      <c r="AD483"/>
      <c r="AE483"/>
      <c r="AF483"/>
      <c r="AG483"/>
      <c r="AH483"/>
      <c r="AI483"/>
    </row>
    <row r="484" spans="2:35" s="27" customFormat="1" x14ac:dyDescent="0.25">
      <c r="B484" s="399">
        <v>12</v>
      </c>
      <c r="C484" s="295" t="s">
        <v>461</v>
      </c>
      <c r="D484" s="28" t="s">
        <v>421</v>
      </c>
      <c r="E484" s="28" t="s">
        <v>499</v>
      </c>
      <c r="F484" s="28" t="str">
        <f t="shared" si="44"/>
        <v>9D10+9</v>
      </c>
      <c r="G484" s="28" t="s">
        <v>525</v>
      </c>
      <c r="H484" s="28" t="s">
        <v>554</v>
      </c>
      <c r="I484" s="28" t="str">
        <f t="shared" si="45"/>
        <v>11D4+1</v>
      </c>
      <c r="J484" s="28" t="s">
        <v>580</v>
      </c>
      <c r="K484" s="28" t="str">
        <f t="shared" si="46"/>
        <v>10D6+4</v>
      </c>
      <c r="L484" s="28" t="s">
        <v>1248</v>
      </c>
      <c r="M484" s="28" t="s">
        <v>437</v>
      </c>
      <c r="N484" s="28"/>
      <c r="O484" s="28" t="s">
        <v>1579</v>
      </c>
      <c r="P484" s="36" t="s">
        <v>1636</v>
      </c>
      <c r="Q484" s="30" t="s">
        <v>580</v>
      </c>
      <c r="AA484"/>
      <c r="AB484"/>
      <c r="AC484"/>
      <c r="AD484"/>
      <c r="AE484"/>
      <c r="AF484"/>
      <c r="AG484"/>
      <c r="AH484"/>
      <c r="AI484"/>
    </row>
    <row r="485" spans="2:35" s="27" customFormat="1" x14ac:dyDescent="0.25">
      <c r="B485" s="399">
        <v>13</v>
      </c>
      <c r="C485" s="295" t="s">
        <v>462</v>
      </c>
      <c r="D485" s="28" t="s">
        <v>422</v>
      </c>
      <c r="E485" s="28" t="s">
        <v>500</v>
      </c>
      <c r="F485" s="28" t="str">
        <f t="shared" si="44"/>
        <v>9D10+12</v>
      </c>
      <c r="G485" s="28" t="s">
        <v>526</v>
      </c>
      <c r="H485" s="28" t="s">
        <v>555</v>
      </c>
      <c r="I485" s="28" t="str">
        <f t="shared" si="45"/>
        <v>11D4+2</v>
      </c>
      <c r="J485" s="28" t="s">
        <v>581</v>
      </c>
      <c r="K485" s="28" t="str">
        <f t="shared" si="46"/>
        <v>10D6+6</v>
      </c>
      <c r="L485" s="28" t="s">
        <v>1249</v>
      </c>
      <c r="M485" s="28" t="s">
        <v>438</v>
      </c>
      <c r="N485" s="28"/>
      <c r="O485" s="28" t="s">
        <v>1580</v>
      </c>
      <c r="P485" s="36" t="s">
        <v>1637</v>
      </c>
      <c r="Q485" s="30" t="s">
        <v>581</v>
      </c>
      <c r="AA485"/>
      <c r="AB485"/>
      <c r="AC485"/>
      <c r="AD485"/>
      <c r="AE485"/>
      <c r="AF485"/>
      <c r="AG485"/>
      <c r="AH485"/>
      <c r="AI485"/>
    </row>
    <row r="486" spans="2:35" s="27" customFormat="1" x14ac:dyDescent="0.25">
      <c r="B486" s="399">
        <v>14</v>
      </c>
      <c r="C486" s="295" t="s">
        <v>463</v>
      </c>
      <c r="D486" s="28" t="s">
        <v>423</v>
      </c>
      <c r="E486" s="28" t="s">
        <v>501</v>
      </c>
      <c r="F486" s="28" t="str">
        <f t="shared" si="44"/>
        <v>9D10+15</v>
      </c>
      <c r="G486" s="28" t="s">
        <v>527</v>
      </c>
      <c r="H486" s="28" t="s">
        <v>556</v>
      </c>
      <c r="I486" s="28" t="str">
        <f t="shared" si="45"/>
        <v>11D4+3</v>
      </c>
      <c r="J486" s="28" t="s">
        <v>582</v>
      </c>
      <c r="K486" s="28" t="str">
        <f t="shared" si="46"/>
        <v>10D6+8</v>
      </c>
      <c r="L486" s="28" t="s">
        <v>1250</v>
      </c>
      <c r="M486" s="28" t="s">
        <v>439</v>
      </c>
      <c r="N486" s="28"/>
      <c r="O486" s="28" t="s">
        <v>1581</v>
      </c>
      <c r="P486" s="36" t="s">
        <v>1638</v>
      </c>
      <c r="Q486" s="30" t="s">
        <v>582</v>
      </c>
      <c r="AA486"/>
      <c r="AB486"/>
      <c r="AC486"/>
      <c r="AD486"/>
      <c r="AE486"/>
      <c r="AF486"/>
      <c r="AG486"/>
      <c r="AH486"/>
      <c r="AI486"/>
    </row>
    <row r="487" spans="2:35" s="27" customFormat="1" x14ac:dyDescent="0.25">
      <c r="B487" s="399">
        <v>15</v>
      </c>
      <c r="C487" s="295" t="s">
        <v>464</v>
      </c>
      <c r="D487" s="28" t="s">
        <v>424</v>
      </c>
      <c r="E487" s="28" t="s">
        <v>502</v>
      </c>
      <c r="F487" s="28" t="str">
        <f t="shared" si="44"/>
        <v>9D10+18</v>
      </c>
      <c r="G487" s="28" t="s">
        <v>528</v>
      </c>
      <c r="H487" s="28" t="s">
        <v>557</v>
      </c>
      <c r="I487" s="28" t="str">
        <f t="shared" si="45"/>
        <v>11D4+4</v>
      </c>
      <c r="J487" s="28" t="s">
        <v>583</v>
      </c>
      <c r="K487" s="28" t="str">
        <f t="shared" si="46"/>
        <v>10D6+10</v>
      </c>
      <c r="L487" s="28" t="s">
        <v>1253</v>
      </c>
      <c r="M487" s="28" t="s">
        <v>440</v>
      </c>
      <c r="N487" s="28"/>
      <c r="O487" s="28" t="s">
        <v>1582</v>
      </c>
      <c r="P487" s="36" t="s">
        <v>1639</v>
      </c>
      <c r="Q487" s="30" t="s">
        <v>583</v>
      </c>
      <c r="AA487"/>
      <c r="AB487"/>
      <c r="AC487"/>
      <c r="AD487"/>
      <c r="AE487"/>
      <c r="AF487"/>
      <c r="AG487"/>
      <c r="AH487"/>
      <c r="AI487"/>
    </row>
    <row r="488" spans="2:35" s="27" customFormat="1" x14ac:dyDescent="0.25">
      <c r="B488" s="399">
        <v>16</v>
      </c>
      <c r="C488" s="295" t="s">
        <v>465</v>
      </c>
      <c r="D488" s="28" t="s">
        <v>486</v>
      </c>
      <c r="E488" s="28" t="s">
        <v>503</v>
      </c>
      <c r="F488" s="28" t="str">
        <f t="shared" si="44"/>
        <v>9D10+21</v>
      </c>
      <c r="G488" s="28" t="s">
        <v>529</v>
      </c>
      <c r="H488" s="28" t="s">
        <v>558</v>
      </c>
      <c r="I488" s="28" t="str">
        <f t="shared" si="45"/>
        <v>11D4+5</v>
      </c>
      <c r="J488" s="28" t="s">
        <v>584</v>
      </c>
      <c r="K488" s="28"/>
      <c r="L488" s="28" t="s">
        <v>1254</v>
      </c>
      <c r="M488" s="28" t="s">
        <v>441</v>
      </c>
      <c r="N488" s="28"/>
      <c r="O488" s="28" t="s">
        <v>1583</v>
      </c>
      <c r="P488" s="36" t="s">
        <v>1640</v>
      </c>
      <c r="Q488" s="30" t="s">
        <v>584</v>
      </c>
      <c r="AA488"/>
      <c r="AB488"/>
      <c r="AC488"/>
      <c r="AD488"/>
      <c r="AE488"/>
      <c r="AF488"/>
      <c r="AG488"/>
      <c r="AH488"/>
      <c r="AI488"/>
    </row>
    <row r="489" spans="2:35" s="27" customFormat="1" x14ac:dyDescent="0.25">
      <c r="B489" s="399">
        <v>17</v>
      </c>
      <c r="C489" s="295" t="s">
        <v>466</v>
      </c>
      <c r="D489" s="28" t="s">
        <v>487</v>
      </c>
      <c r="E489" s="28" t="s">
        <v>504</v>
      </c>
      <c r="F489" s="28" t="str">
        <f t="shared" si="44"/>
        <v>9D10+24</v>
      </c>
      <c r="G489" s="28" t="s">
        <v>530</v>
      </c>
      <c r="H489" s="28" t="s">
        <v>559</v>
      </c>
      <c r="I489" s="28" t="str">
        <f t="shared" si="45"/>
        <v>11D4+6</v>
      </c>
      <c r="J489" s="28" t="s">
        <v>585</v>
      </c>
      <c r="K489" s="28"/>
      <c r="L489" s="28" t="s">
        <v>1251</v>
      </c>
      <c r="M489" s="28" t="s">
        <v>442</v>
      </c>
      <c r="N489" s="28"/>
      <c r="O489" s="28" t="s">
        <v>1584</v>
      </c>
      <c r="P489" s="36" t="s">
        <v>1641</v>
      </c>
      <c r="Q489" s="30" t="s">
        <v>585</v>
      </c>
      <c r="AA489"/>
      <c r="AB489"/>
      <c r="AC489"/>
      <c r="AD489"/>
      <c r="AE489"/>
      <c r="AF489"/>
      <c r="AG489"/>
      <c r="AH489"/>
      <c r="AI489"/>
    </row>
    <row r="490" spans="2:35" s="27" customFormat="1" x14ac:dyDescent="0.25">
      <c r="B490" s="399">
        <v>18</v>
      </c>
      <c r="C490" s="295" t="s">
        <v>467</v>
      </c>
      <c r="D490" s="28" t="s">
        <v>488</v>
      </c>
      <c r="E490" s="28" t="s">
        <v>505</v>
      </c>
      <c r="F490" s="28" t="str">
        <f t="shared" si="44"/>
        <v>9D10+27</v>
      </c>
      <c r="G490" s="28" t="s">
        <v>531</v>
      </c>
      <c r="H490" s="28" t="s">
        <v>561</v>
      </c>
      <c r="I490" s="28" t="str">
        <f t="shared" si="45"/>
        <v>11D4+17</v>
      </c>
      <c r="J490" s="28" t="s">
        <v>586</v>
      </c>
      <c r="K490" s="28"/>
      <c r="L490" s="28" t="s">
        <v>1255</v>
      </c>
      <c r="M490" s="28" t="s">
        <v>443</v>
      </c>
      <c r="N490" s="28"/>
      <c r="O490" s="28" t="s">
        <v>1585</v>
      </c>
      <c r="P490" s="36" t="s">
        <v>1642</v>
      </c>
      <c r="Q490" s="30" t="s">
        <v>586</v>
      </c>
      <c r="AA490"/>
      <c r="AB490"/>
      <c r="AC490"/>
      <c r="AD490"/>
      <c r="AE490"/>
      <c r="AF490"/>
      <c r="AG490"/>
      <c r="AH490"/>
      <c r="AI490"/>
    </row>
    <row r="491" spans="2:35" s="27" customFormat="1" x14ac:dyDescent="0.25">
      <c r="B491" s="399">
        <v>19</v>
      </c>
      <c r="C491" s="295" t="s">
        <v>468</v>
      </c>
      <c r="D491" s="28" t="s">
        <v>489</v>
      </c>
      <c r="E491" s="28" t="s">
        <v>506</v>
      </c>
      <c r="F491" s="28" t="str">
        <f t="shared" si="44"/>
        <v>9D10+30</v>
      </c>
      <c r="G491" s="28" t="s">
        <v>532</v>
      </c>
      <c r="H491" s="28" t="s">
        <v>562</v>
      </c>
      <c r="I491" s="28" t="str">
        <f t="shared" si="45"/>
        <v>11D4+18</v>
      </c>
      <c r="J491" s="28" t="s">
        <v>587</v>
      </c>
      <c r="K491" s="28"/>
      <c r="L491" s="28" t="s">
        <v>1256</v>
      </c>
      <c r="M491" s="28" t="s">
        <v>444</v>
      </c>
      <c r="N491" s="28"/>
      <c r="O491" s="28" t="s">
        <v>1586</v>
      </c>
      <c r="P491" s="36" t="s">
        <v>1643</v>
      </c>
      <c r="Q491" s="30" t="s">
        <v>587</v>
      </c>
      <c r="AA491"/>
      <c r="AB491"/>
      <c r="AC491"/>
      <c r="AD491"/>
      <c r="AE491"/>
      <c r="AF491"/>
      <c r="AG491"/>
      <c r="AH491"/>
      <c r="AI491"/>
    </row>
    <row r="492" spans="2:35" s="27" customFormat="1" x14ac:dyDescent="0.25">
      <c r="B492" s="399">
        <v>20</v>
      </c>
      <c r="C492" s="295" t="s">
        <v>469</v>
      </c>
      <c r="D492" s="28" t="s">
        <v>490</v>
      </c>
      <c r="E492" s="28" t="s">
        <v>507</v>
      </c>
      <c r="F492" s="28" t="str">
        <f t="shared" si="44"/>
        <v>9D10+33</v>
      </c>
      <c r="G492" s="28" t="s">
        <v>533</v>
      </c>
      <c r="H492" s="28" t="s">
        <v>563</v>
      </c>
      <c r="I492" s="28" t="str">
        <f t="shared" si="45"/>
        <v>11D4+19</v>
      </c>
      <c r="J492" s="28" t="s">
        <v>588</v>
      </c>
      <c r="K492" s="28"/>
      <c r="L492" s="28" t="s">
        <v>1252</v>
      </c>
      <c r="M492" s="28" t="s">
        <v>445</v>
      </c>
      <c r="N492" s="28"/>
      <c r="O492" s="28" t="s">
        <v>1587</v>
      </c>
      <c r="P492" s="36" t="s">
        <v>1644</v>
      </c>
      <c r="Q492" s="30" t="s">
        <v>588</v>
      </c>
      <c r="AA492"/>
      <c r="AB492"/>
      <c r="AC492"/>
      <c r="AD492"/>
      <c r="AE492"/>
      <c r="AF492"/>
      <c r="AG492"/>
      <c r="AH492"/>
      <c r="AI492"/>
    </row>
    <row r="493" spans="2:35" s="27" customFormat="1" x14ac:dyDescent="0.25">
      <c r="B493" s="399">
        <v>21</v>
      </c>
      <c r="C493" s="295" t="s">
        <v>470</v>
      </c>
      <c r="D493" s="28" t="s">
        <v>491</v>
      </c>
      <c r="E493" s="28" t="s">
        <v>508</v>
      </c>
      <c r="F493" s="28" t="str">
        <f t="shared" si="44"/>
        <v>9D10+36</v>
      </c>
      <c r="G493" s="28" t="s">
        <v>534</v>
      </c>
      <c r="H493" s="28" t="s">
        <v>560</v>
      </c>
      <c r="I493" s="28" t="str">
        <f t="shared" si="45"/>
        <v>11D4+10</v>
      </c>
      <c r="J493" s="28" t="s">
        <v>589</v>
      </c>
      <c r="K493" s="28"/>
      <c r="L493" s="28" t="s">
        <v>1257</v>
      </c>
      <c r="M493" s="28" t="s">
        <v>446</v>
      </c>
      <c r="N493" s="28"/>
      <c r="O493" s="28" t="s">
        <v>1588</v>
      </c>
      <c r="P493" s="36" t="s">
        <v>1645</v>
      </c>
      <c r="Q493" s="30" t="s">
        <v>589</v>
      </c>
      <c r="AA493"/>
      <c r="AB493"/>
      <c r="AC493"/>
      <c r="AD493"/>
      <c r="AE493"/>
      <c r="AF493"/>
      <c r="AG493"/>
      <c r="AH493"/>
      <c r="AI493"/>
    </row>
    <row r="494" spans="2:35" s="27" customFormat="1" x14ac:dyDescent="0.25">
      <c r="B494" s="399">
        <v>22</v>
      </c>
      <c r="C494" s="295" t="s">
        <v>471</v>
      </c>
      <c r="D494" s="28" t="s">
        <v>492</v>
      </c>
      <c r="E494" s="28" t="s">
        <v>509</v>
      </c>
      <c r="F494" s="28" t="str">
        <f t="shared" si="44"/>
        <v>9D10+39</v>
      </c>
      <c r="G494" s="28" t="s">
        <v>535</v>
      </c>
      <c r="H494" s="28" t="s">
        <v>564</v>
      </c>
      <c r="I494" s="28" t="str">
        <f t="shared" si="45"/>
        <v>11D4+11</v>
      </c>
      <c r="J494" s="28" t="s">
        <v>590</v>
      </c>
      <c r="K494" s="28"/>
      <c r="L494" s="28"/>
      <c r="M494" s="28" t="s">
        <v>447</v>
      </c>
      <c r="N494" s="28"/>
      <c r="O494" s="28" t="s">
        <v>1589</v>
      </c>
      <c r="P494" s="36" t="s">
        <v>1646</v>
      </c>
      <c r="Q494" s="30" t="s">
        <v>590</v>
      </c>
      <c r="AA494"/>
      <c r="AB494"/>
      <c r="AC494"/>
      <c r="AD494"/>
      <c r="AE494"/>
      <c r="AF494"/>
      <c r="AG494"/>
      <c r="AH494"/>
      <c r="AI494"/>
    </row>
    <row r="495" spans="2:35" s="27" customFormat="1" x14ac:dyDescent="0.25">
      <c r="B495" s="399">
        <v>23</v>
      </c>
      <c r="C495" s="295" t="s">
        <v>472</v>
      </c>
      <c r="D495" s="28" t="s">
        <v>493</v>
      </c>
      <c r="E495" s="28" t="s">
        <v>510</v>
      </c>
      <c r="F495" s="28" t="str">
        <f t="shared" si="44"/>
        <v>9D10+42</v>
      </c>
      <c r="G495" s="28" t="s">
        <v>536</v>
      </c>
      <c r="H495" s="28" t="s">
        <v>565</v>
      </c>
      <c r="I495" s="28" t="str">
        <f t="shared" si="45"/>
        <v>11D4+12</v>
      </c>
      <c r="J495" s="28" t="s">
        <v>591</v>
      </c>
      <c r="K495" s="28"/>
      <c r="L495" s="28"/>
      <c r="M495" s="28" t="s">
        <v>448</v>
      </c>
      <c r="N495" s="28"/>
      <c r="O495" s="28" t="s">
        <v>1590</v>
      </c>
      <c r="P495" s="36" t="s">
        <v>1647</v>
      </c>
      <c r="Q495" s="30" t="s">
        <v>591</v>
      </c>
      <c r="AA495"/>
      <c r="AB495"/>
      <c r="AC495"/>
      <c r="AD495"/>
      <c r="AE495"/>
      <c r="AF495"/>
      <c r="AG495"/>
      <c r="AH495"/>
      <c r="AI495"/>
    </row>
    <row r="496" spans="2:35" s="27" customFormat="1" x14ac:dyDescent="0.25">
      <c r="B496" s="399">
        <v>24</v>
      </c>
      <c r="C496" s="295" t="s">
        <v>473</v>
      </c>
      <c r="D496" s="28"/>
      <c r="E496" s="28" t="s">
        <v>511</v>
      </c>
      <c r="F496" s="28" t="str">
        <f t="shared" si="44"/>
        <v>9D10+45</v>
      </c>
      <c r="G496" s="28" t="s">
        <v>537</v>
      </c>
      <c r="H496" s="28" t="s">
        <v>566</v>
      </c>
      <c r="I496" s="28" t="str">
        <f t="shared" si="45"/>
        <v>11D4+13</v>
      </c>
      <c r="J496" s="28" t="s">
        <v>592</v>
      </c>
      <c r="K496" s="28"/>
      <c r="L496" s="28"/>
      <c r="M496" s="28" t="s">
        <v>449</v>
      </c>
      <c r="N496" s="28"/>
      <c r="O496" s="28" t="s">
        <v>1591</v>
      </c>
      <c r="P496" s="36" t="s">
        <v>1648</v>
      </c>
      <c r="Q496" s="30" t="s">
        <v>592</v>
      </c>
      <c r="AA496"/>
      <c r="AB496"/>
      <c r="AC496"/>
      <c r="AD496"/>
      <c r="AE496"/>
      <c r="AF496"/>
      <c r="AG496"/>
      <c r="AH496"/>
      <c r="AI496"/>
    </row>
    <row r="497" spans="2:35" s="27" customFormat="1" x14ac:dyDescent="0.25">
      <c r="B497" s="399">
        <v>25</v>
      </c>
      <c r="C497" s="295" t="s">
        <v>474</v>
      </c>
      <c r="D497" s="28"/>
      <c r="E497" s="28" t="s">
        <v>512</v>
      </c>
      <c r="F497" s="28" t="str">
        <f t="shared" si="44"/>
        <v>9D10+48</v>
      </c>
      <c r="G497" s="28" t="s">
        <v>538</v>
      </c>
      <c r="H497" s="28" t="s">
        <v>567</v>
      </c>
      <c r="I497" s="28" t="str">
        <f t="shared" si="45"/>
        <v>11D4+14</v>
      </c>
      <c r="J497" s="28" t="s">
        <v>593</v>
      </c>
      <c r="K497" s="28"/>
      <c r="L497" s="28"/>
      <c r="M497" s="28" t="s">
        <v>450</v>
      </c>
      <c r="N497" s="28"/>
      <c r="O497" s="28" t="s">
        <v>1592</v>
      </c>
      <c r="P497" s="36" t="s">
        <v>1649</v>
      </c>
      <c r="Q497" s="30" t="s">
        <v>593</v>
      </c>
      <c r="AA497"/>
      <c r="AB497"/>
      <c r="AC497"/>
      <c r="AD497"/>
      <c r="AE497"/>
      <c r="AF497"/>
      <c r="AG497"/>
      <c r="AH497"/>
      <c r="AI497"/>
    </row>
    <row r="498" spans="2:35" s="27" customFormat="1" x14ac:dyDescent="0.25">
      <c r="B498" s="399">
        <v>26</v>
      </c>
      <c r="C498" s="295" t="s">
        <v>475</v>
      </c>
      <c r="D498" s="28"/>
      <c r="E498" s="28" t="s">
        <v>513</v>
      </c>
      <c r="F498" s="28" t="str">
        <f t="shared" si="44"/>
        <v>9D10+51</v>
      </c>
      <c r="G498" s="28" t="s">
        <v>539</v>
      </c>
      <c r="H498" s="28" t="s">
        <v>568</v>
      </c>
      <c r="I498" s="28" t="str">
        <f t="shared" si="45"/>
        <v>11D4+15</v>
      </c>
      <c r="J498" s="28" t="s">
        <v>594</v>
      </c>
      <c r="K498" s="28"/>
      <c r="L498" s="28"/>
      <c r="M498" s="28" t="s">
        <v>451</v>
      </c>
      <c r="N498" s="28"/>
      <c r="O498" s="28" t="s">
        <v>1593</v>
      </c>
      <c r="P498" s="36" t="s">
        <v>1650</v>
      </c>
      <c r="Q498" s="30" t="s">
        <v>594</v>
      </c>
      <c r="AA498"/>
      <c r="AB498"/>
      <c r="AC498"/>
      <c r="AD498"/>
      <c r="AE498"/>
      <c r="AF498"/>
      <c r="AG498"/>
      <c r="AH498"/>
      <c r="AI498"/>
    </row>
    <row r="499" spans="2:35" s="27" customFormat="1" x14ac:dyDescent="0.25">
      <c r="B499" s="399">
        <v>27</v>
      </c>
      <c r="C499" s="295" t="s">
        <v>476</v>
      </c>
      <c r="D499" s="28"/>
      <c r="E499" s="28" t="s">
        <v>514</v>
      </c>
      <c r="F499" s="28" t="str">
        <f t="shared" si="44"/>
        <v>9D10+54</v>
      </c>
      <c r="G499" s="28" t="s">
        <v>540</v>
      </c>
      <c r="H499" s="28" t="s">
        <v>569</v>
      </c>
      <c r="I499" s="28" t="str">
        <f t="shared" si="45"/>
        <v>11D4+16</v>
      </c>
      <c r="J499" s="28" t="s">
        <v>595</v>
      </c>
      <c r="K499" s="28"/>
      <c r="L499" s="28"/>
      <c r="M499" s="28" t="s">
        <v>452</v>
      </c>
      <c r="N499" s="28"/>
      <c r="O499" s="28" t="s">
        <v>1594</v>
      </c>
      <c r="P499" s="36" t="s">
        <v>1651</v>
      </c>
      <c r="Q499" s="30" t="s">
        <v>595</v>
      </c>
      <c r="AA499"/>
      <c r="AB499"/>
      <c r="AC499"/>
      <c r="AD499"/>
      <c r="AE499"/>
      <c r="AF499"/>
      <c r="AG499"/>
      <c r="AH499"/>
      <c r="AI499"/>
    </row>
    <row r="500" spans="2:35" s="27" customFormat="1" x14ac:dyDescent="0.25">
      <c r="B500" s="399">
        <v>28</v>
      </c>
      <c r="C500" s="295" t="s">
        <v>477</v>
      </c>
      <c r="D500" s="28"/>
      <c r="E500" s="28" t="s">
        <v>515</v>
      </c>
      <c r="F500" s="28" t="str">
        <f t="shared" si="44"/>
        <v>9D10+57</v>
      </c>
      <c r="G500" s="28" t="s">
        <v>541</v>
      </c>
      <c r="H500" s="28" t="s">
        <v>561</v>
      </c>
      <c r="I500" s="28" t="str">
        <f t="shared" si="45"/>
        <v>11D4+17</v>
      </c>
      <c r="J500" s="28" t="s">
        <v>596</v>
      </c>
      <c r="K500" s="28"/>
      <c r="L500" s="28"/>
      <c r="M500" s="28" t="s">
        <v>453</v>
      </c>
      <c r="N500" s="28"/>
      <c r="O500" s="28" t="s">
        <v>1595</v>
      </c>
      <c r="P500" s="36" t="s">
        <v>1652</v>
      </c>
      <c r="Q500" s="30" t="s">
        <v>596</v>
      </c>
      <c r="AA500"/>
      <c r="AB500"/>
      <c r="AC500"/>
      <c r="AD500"/>
      <c r="AE500"/>
      <c r="AF500"/>
      <c r="AG500"/>
      <c r="AH500"/>
      <c r="AI500"/>
    </row>
    <row r="501" spans="2:35" s="27" customFormat="1" x14ac:dyDescent="0.25">
      <c r="B501" s="399">
        <v>29</v>
      </c>
      <c r="C501" s="295" t="s">
        <v>478</v>
      </c>
      <c r="D501" s="28"/>
      <c r="E501" s="28" t="s">
        <v>516</v>
      </c>
      <c r="F501" s="28" t="str">
        <f t="shared" si="44"/>
        <v>9D10+60</v>
      </c>
      <c r="G501" s="28" t="s">
        <v>542</v>
      </c>
      <c r="H501" s="28" t="s">
        <v>562</v>
      </c>
      <c r="I501" s="28" t="str">
        <f t="shared" si="45"/>
        <v>11D4+18</v>
      </c>
      <c r="J501" s="28" t="s">
        <v>597</v>
      </c>
      <c r="K501" s="28"/>
      <c r="L501" s="28"/>
      <c r="M501" s="28" t="s">
        <v>454</v>
      </c>
      <c r="N501" s="28"/>
      <c r="O501" s="28" t="s">
        <v>1596</v>
      </c>
      <c r="P501" s="36" t="s">
        <v>1653</v>
      </c>
      <c r="Q501" s="30" t="s">
        <v>597</v>
      </c>
      <c r="AA501"/>
      <c r="AB501"/>
      <c r="AC501"/>
      <c r="AD501"/>
      <c r="AE501"/>
      <c r="AF501"/>
      <c r="AG501"/>
      <c r="AH501"/>
      <c r="AI501"/>
    </row>
    <row r="502" spans="2:35" s="27" customFormat="1" x14ac:dyDescent="0.25">
      <c r="B502" s="399">
        <v>30</v>
      </c>
      <c r="C502" s="295" t="s">
        <v>479</v>
      </c>
      <c r="D502" s="28"/>
      <c r="E502" s="28" t="s">
        <v>517</v>
      </c>
      <c r="F502" s="28" t="str">
        <f t="shared" si="44"/>
        <v>9D10+63</v>
      </c>
      <c r="G502" s="28" t="s">
        <v>543</v>
      </c>
      <c r="H502" s="28" t="s">
        <v>563</v>
      </c>
      <c r="I502" s="28" t="str">
        <f t="shared" si="45"/>
        <v>11D4+19</v>
      </c>
      <c r="J502" s="28" t="s">
        <v>598</v>
      </c>
      <c r="K502" s="28"/>
      <c r="L502" s="28"/>
      <c r="M502" s="28" t="s">
        <v>455</v>
      </c>
      <c r="N502" s="28"/>
      <c r="O502" s="28" t="s">
        <v>1597</v>
      </c>
      <c r="P502" s="36" t="s">
        <v>1654</v>
      </c>
      <c r="Q502" s="30" t="s">
        <v>598</v>
      </c>
      <c r="AA502"/>
      <c r="AB502"/>
      <c r="AC502"/>
      <c r="AD502"/>
      <c r="AE502"/>
      <c r="AF502"/>
      <c r="AG502"/>
      <c r="AH502"/>
      <c r="AI502"/>
    </row>
    <row r="503" spans="2:35" s="27" customFormat="1" x14ac:dyDescent="0.25">
      <c r="B503" s="399">
        <v>31</v>
      </c>
      <c r="C503" s="295" t="s">
        <v>480</v>
      </c>
      <c r="D503" s="28"/>
      <c r="E503" s="28" t="s">
        <v>518</v>
      </c>
      <c r="F503" s="28" t="str">
        <f t="shared" si="44"/>
        <v>9D10+66</v>
      </c>
      <c r="G503" s="28" t="s">
        <v>544</v>
      </c>
      <c r="H503" s="28" t="s">
        <v>570</v>
      </c>
      <c r="I503" s="28" t="str">
        <f t="shared" si="45"/>
        <v>11D4+20</v>
      </c>
      <c r="J503" s="28" t="s">
        <v>599</v>
      </c>
      <c r="K503" s="28"/>
      <c r="L503" s="28"/>
      <c r="M503" s="28" t="s">
        <v>456</v>
      </c>
      <c r="N503" s="28"/>
      <c r="O503" s="28" t="s">
        <v>1598</v>
      </c>
      <c r="P503" s="36" t="s">
        <v>1655</v>
      </c>
      <c r="Q503" s="30" t="s">
        <v>599</v>
      </c>
      <c r="AA503"/>
      <c r="AB503"/>
      <c r="AC503"/>
      <c r="AD503"/>
      <c r="AE503"/>
      <c r="AF503"/>
      <c r="AG503"/>
      <c r="AH503"/>
      <c r="AI503"/>
    </row>
    <row r="504" spans="2:35" s="27" customFormat="1" x14ac:dyDescent="0.25">
      <c r="B504" s="399">
        <v>32</v>
      </c>
      <c r="C504" s="295" t="s">
        <v>481</v>
      </c>
      <c r="D504" s="28"/>
      <c r="E504" s="28" t="s">
        <v>519</v>
      </c>
      <c r="F504" s="28" t="str">
        <f t="shared" si="44"/>
        <v>9D10+69</v>
      </c>
      <c r="G504" s="28" t="s">
        <v>545</v>
      </c>
      <c r="H504" s="28" t="s">
        <v>571</v>
      </c>
      <c r="I504" s="28" t="str">
        <f t="shared" si="45"/>
        <v>11D4+21</v>
      </c>
      <c r="J504" s="28" t="s">
        <v>600</v>
      </c>
      <c r="K504" s="28"/>
      <c r="L504" s="28"/>
      <c r="M504" s="28" t="s">
        <v>457</v>
      </c>
      <c r="N504" s="28"/>
      <c r="O504" s="28" t="s">
        <v>1599</v>
      </c>
      <c r="P504" s="36" t="s">
        <v>1656</v>
      </c>
      <c r="Q504" s="30" t="s">
        <v>600</v>
      </c>
      <c r="AA504"/>
      <c r="AB504"/>
      <c r="AC504"/>
      <c r="AD504"/>
      <c r="AE504"/>
      <c r="AF504"/>
      <c r="AG504"/>
      <c r="AH504"/>
      <c r="AI504"/>
    </row>
    <row r="505" spans="2:35" s="27" customFormat="1" x14ac:dyDescent="0.25">
      <c r="B505" s="399">
        <v>33</v>
      </c>
      <c r="C505" s="295" t="s">
        <v>482</v>
      </c>
      <c r="D505" s="28"/>
      <c r="E505" s="28" t="s">
        <v>520</v>
      </c>
      <c r="F505" s="28" t="str">
        <f t="shared" si="44"/>
        <v>9D10+72</v>
      </c>
      <c r="G505" s="28" t="s">
        <v>546</v>
      </c>
      <c r="H505" s="28" t="s">
        <v>572</v>
      </c>
      <c r="I505" s="28" t="str">
        <f t="shared" si="45"/>
        <v>11D4+22</v>
      </c>
      <c r="J505" s="28" t="s">
        <v>601</v>
      </c>
      <c r="K505" s="28"/>
      <c r="L505" s="28"/>
      <c r="M505" s="28" t="s">
        <v>458</v>
      </c>
      <c r="N505" s="28"/>
      <c r="O505" s="28" t="s">
        <v>1600</v>
      </c>
      <c r="P505" s="36" t="s">
        <v>1657</v>
      </c>
      <c r="Q505" s="30" t="s">
        <v>601</v>
      </c>
      <c r="AA505"/>
      <c r="AB505"/>
      <c r="AC505"/>
      <c r="AD505"/>
      <c r="AE505"/>
      <c r="AF505"/>
      <c r="AG505"/>
      <c r="AH505"/>
      <c r="AI505"/>
    </row>
    <row r="506" spans="2:35" s="27" customFormat="1" x14ac:dyDescent="0.25">
      <c r="B506" s="399">
        <v>34</v>
      </c>
      <c r="C506" s="295" t="s">
        <v>483</v>
      </c>
      <c r="D506" s="28"/>
      <c r="E506" s="28" t="s">
        <v>521</v>
      </c>
      <c r="F506" s="28" t="str">
        <f t="shared" si="44"/>
        <v>9D10+75</v>
      </c>
      <c r="G506" s="28" t="s">
        <v>547</v>
      </c>
      <c r="H506" s="28" t="s">
        <v>573</v>
      </c>
      <c r="I506" s="28" t="str">
        <f t="shared" si="45"/>
        <v>11D4+23</v>
      </c>
      <c r="J506" s="28" t="s">
        <v>602</v>
      </c>
      <c r="K506" s="28"/>
      <c r="L506" s="28"/>
      <c r="M506" s="28"/>
      <c r="N506" s="28"/>
      <c r="O506" s="28" t="s">
        <v>1601</v>
      </c>
      <c r="P506" s="36"/>
      <c r="Q506" s="30" t="s">
        <v>602</v>
      </c>
      <c r="AA506"/>
      <c r="AB506"/>
      <c r="AC506"/>
      <c r="AD506"/>
      <c r="AE506"/>
      <c r="AF506"/>
      <c r="AG506"/>
      <c r="AH506"/>
      <c r="AI506"/>
    </row>
    <row r="507" spans="2:35" s="27" customFormat="1" x14ac:dyDescent="0.25">
      <c r="B507" s="399">
        <v>35</v>
      </c>
      <c r="C507" s="295" t="s">
        <v>484</v>
      </c>
      <c r="D507" s="28"/>
      <c r="E507" s="28" t="s">
        <v>522</v>
      </c>
      <c r="F507" s="28" t="str">
        <f t="shared" si="44"/>
        <v>9D10+78</v>
      </c>
      <c r="G507" s="28" t="s">
        <v>548</v>
      </c>
      <c r="H507" s="28" t="s">
        <v>574</v>
      </c>
      <c r="I507" s="28" t="str">
        <f t="shared" si="45"/>
        <v>11D4+24</v>
      </c>
      <c r="J507" s="28" t="s">
        <v>603</v>
      </c>
      <c r="K507" s="28"/>
      <c r="L507" s="28"/>
      <c r="M507" s="28"/>
      <c r="N507" s="28"/>
      <c r="O507" s="28" t="s">
        <v>1602</v>
      </c>
      <c r="P507" s="36"/>
      <c r="Q507" s="30" t="s">
        <v>603</v>
      </c>
      <c r="AA507"/>
      <c r="AB507"/>
      <c r="AC507"/>
      <c r="AD507"/>
      <c r="AE507"/>
      <c r="AF507"/>
      <c r="AG507"/>
      <c r="AH507"/>
      <c r="AI507"/>
    </row>
    <row r="508" spans="2:35" s="27" customFormat="1" ht="15.75" thickBot="1" x14ac:dyDescent="0.3">
      <c r="B508" s="400">
        <v>36</v>
      </c>
      <c r="C508" s="296" t="s">
        <v>485</v>
      </c>
      <c r="D508" s="32"/>
      <c r="E508" s="32" t="s">
        <v>523</v>
      </c>
      <c r="F508" s="32" t="str">
        <f t="shared" si="44"/>
        <v>9D10+81</v>
      </c>
      <c r="G508" s="32" t="s">
        <v>549</v>
      </c>
      <c r="H508" s="32" t="s">
        <v>575</v>
      </c>
      <c r="I508" s="32" t="str">
        <f t="shared" si="45"/>
        <v>11D4+25</v>
      </c>
      <c r="J508" s="32" t="s">
        <v>604</v>
      </c>
      <c r="K508" s="32"/>
      <c r="L508" s="32"/>
      <c r="M508" s="32"/>
      <c r="N508" s="32"/>
      <c r="O508" s="32" t="s">
        <v>1603</v>
      </c>
      <c r="P508" s="43"/>
      <c r="Q508" s="33" t="s">
        <v>604</v>
      </c>
      <c r="AA508"/>
      <c r="AB508"/>
      <c r="AC508"/>
      <c r="AD508"/>
      <c r="AE508"/>
      <c r="AF508"/>
      <c r="AG508"/>
      <c r="AH508"/>
      <c r="AI508"/>
    </row>
    <row r="509" spans="2:35" s="27" customFormat="1" x14ac:dyDescent="0.25">
      <c r="B509" s="26"/>
      <c r="AA509"/>
      <c r="AB509"/>
      <c r="AC509"/>
      <c r="AD509"/>
      <c r="AE509"/>
      <c r="AF509"/>
      <c r="AG509"/>
      <c r="AH509"/>
      <c r="AI509"/>
    </row>
    <row r="510" spans="2:35" s="27" customFormat="1" ht="19.5" thickBot="1" x14ac:dyDescent="0.35">
      <c r="B510" s="121" t="s">
        <v>1684</v>
      </c>
      <c r="Z510"/>
      <c r="AA510"/>
      <c r="AB510"/>
      <c r="AC510"/>
      <c r="AD510"/>
      <c r="AE510"/>
      <c r="AF510"/>
      <c r="AG510"/>
      <c r="AH510"/>
    </row>
    <row r="511" spans="2:35" s="42" customFormat="1" ht="15.75" thickBot="1" x14ac:dyDescent="0.3">
      <c r="B511" s="243" t="s">
        <v>1565</v>
      </c>
      <c r="C511" s="242" t="s">
        <v>63</v>
      </c>
      <c r="D511" s="138" t="s">
        <v>64</v>
      </c>
      <c r="E511" s="138" t="s">
        <v>65</v>
      </c>
      <c r="F511" s="138" t="s">
        <v>66</v>
      </c>
      <c r="G511" s="138" t="s">
        <v>67</v>
      </c>
      <c r="H511" s="138" t="s">
        <v>68</v>
      </c>
      <c r="I511" s="138" t="s">
        <v>247</v>
      </c>
      <c r="J511" s="138" t="s">
        <v>69</v>
      </c>
      <c r="K511" s="138" t="s">
        <v>70</v>
      </c>
      <c r="L511" s="138" t="s">
        <v>333</v>
      </c>
      <c r="M511" s="138" t="s">
        <v>334</v>
      </c>
      <c r="N511" s="138"/>
      <c r="O511" s="138" t="s">
        <v>1568</v>
      </c>
      <c r="P511" s="305" t="s">
        <v>1625</v>
      </c>
      <c r="Q511" s="139" t="s">
        <v>1569</v>
      </c>
      <c r="AA511" s="26"/>
      <c r="AB511" s="26"/>
      <c r="AC511" s="26"/>
      <c r="AD511" s="26"/>
      <c r="AE511" s="26"/>
      <c r="AF511" s="26"/>
      <c r="AG511" s="26"/>
      <c r="AH511" s="26"/>
      <c r="AI511" s="26"/>
    </row>
    <row r="512" spans="2:35" s="27" customFormat="1" x14ac:dyDescent="0.25">
      <c r="B512" s="398">
        <v>1</v>
      </c>
      <c r="C512" s="401">
        <v>0</v>
      </c>
      <c r="D512" s="261">
        <v>0</v>
      </c>
      <c r="E512" s="261">
        <v>0</v>
      </c>
      <c r="F512" s="261">
        <v>0</v>
      </c>
      <c r="G512" s="261">
        <v>0</v>
      </c>
      <c r="H512" s="261">
        <v>0</v>
      </c>
      <c r="I512" s="261">
        <v>0</v>
      </c>
      <c r="J512" s="261">
        <v>0</v>
      </c>
      <c r="K512" s="261">
        <v>0</v>
      </c>
      <c r="L512" s="261">
        <v>0</v>
      </c>
      <c r="M512" s="261">
        <v>0</v>
      </c>
      <c r="N512" s="133"/>
      <c r="O512" s="261">
        <v>0</v>
      </c>
      <c r="P512" s="261">
        <v>6001</v>
      </c>
      <c r="Q512" s="262">
        <v>0</v>
      </c>
      <c r="AA512"/>
      <c r="AB512"/>
      <c r="AC512"/>
      <c r="AD512"/>
      <c r="AE512"/>
      <c r="AF512"/>
      <c r="AG512"/>
      <c r="AH512"/>
      <c r="AI512"/>
    </row>
    <row r="513" spans="2:35" s="27" customFormat="1" x14ac:dyDescent="0.25">
      <c r="B513" s="399">
        <v>2</v>
      </c>
      <c r="C513" s="402">
        <v>1501</v>
      </c>
      <c r="D513" s="258">
        <v>2001</v>
      </c>
      <c r="E513" s="258">
        <v>2001</v>
      </c>
      <c r="F513" s="258">
        <v>2751</v>
      </c>
      <c r="G513" s="258">
        <v>2251</v>
      </c>
      <c r="H513" s="258">
        <v>2501</v>
      </c>
      <c r="I513" s="258">
        <v>2251</v>
      </c>
      <c r="J513" s="258">
        <v>1251</v>
      </c>
      <c r="K513" s="258">
        <v>1501</v>
      </c>
      <c r="L513" s="258">
        <v>1501</v>
      </c>
      <c r="M513" s="258">
        <f t="shared" ref="M513:M518" si="47">E513</f>
        <v>2001</v>
      </c>
      <c r="N513" s="28"/>
      <c r="O513" s="258">
        <v>2501</v>
      </c>
      <c r="P513" s="306">
        <v>12001</v>
      </c>
      <c r="Q513" s="259">
        <v>0</v>
      </c>
      <c r="AA513"/>
      <c r="AB513"/>
      <c r="AC513"/>
      <c r="AD513"/>
      <c r="AE513"/>
      <c r="AF513"/>
      <c r="AG513"/>
      <c r="AH513"/>
      <c r="AI513"/>
    </row>
    <row r="514" spans="2:35" s="27" customFormat="1" x14ac:dyDescent="0.25">
      <c r="B514" s="399">
        <v>3</v>
      </c>
      <c r="C514" s="402">
        <v>3001</v>
      </c>
      <c r="D514" s="258">
        <v>4001</v>
      </c>
      <c r="E514" s="258">
        <v>4001</v>
      </c>
      <c r="F514" s="258">
        <v>5501</v>
      </c>
      <c r="G514" s="258">
        <v>4501</v>
      </c>
      <c r="H514" s="258">
        <v>5001</v>
      </c>
      <c r="I514" s="258">
        <v>4501</v>
      </c>
      <c r="J514" s="258">
        <v>2501</v>
      </c>
      <c r="K514" s="258">
        <v>3001</v>
      </c>
      <c r="L514" s="258">
        <v>3001</v>
      </c>
      <c r="M514" s="258">
        <f t="shared" si="47"/>
        <v>4001</v>
      </c>
      <c r="N514" s="28"/>
      <c r="O514" s="258">
        <v>5001</v>
      </c>
      <c r="P514" s="306">
        <v>24001</v>
      </c>
      <c r="Q514" s="259">
        <v>0</v>
      </c>
      <c r="AA514"/>
      <c r="AB514"/>
      <c r="AC514"/>
      <c r="AD514"/>
      <c r="AE514"/>
      <c r="AF514"/>
      <c r="AG514"/>
      <c r="AH514"/>
      <c r="AI514"/>
    </row>
    <row r="515" spans="2:35" s="27" customFormat="1" x14ac:dyDescent="0.25">
      <c r="B515" s="399">
        <v>4</v>
      </c>
      <c r="C515" s="402">
        <v>6001</v>
      </c>
      <c r="D515" s="258">
        <v>7501</v>
      </c>
      <c r="E515" s="258">
        <v>8001</v>
      </c>
      <c r="F515" s="258">
        <v>12001</v>
      </c>
      <c r="G515" s="258">
        <v>10001</v>
      </c>
      <c r="H515" s="258">
        <v>10001</v>
      </c>
      <c r="I515" s="258">
        <v>9001</v>
      </c>
      <c r="J515" s="258">
        <v>5001</v>
      </c>
      <c r="K515" s="258">
        <v>6001</v>
      </c>
      <c r="L515" s="258">
        <v>6001</v>
      </c>
      <c r="M515" s="258">
        <f t="shared" si="47"/>
        <v>8001</v>
      </c>
      <c r="N515" s="28"/>
      <c r="O515" s="258">
        <v>10001</v>
      </c>
      <c r="P515" s="306">
        <v>48001</v>
      </c>
      <c r="Q515" s="259">
        <v>0</v>
      </c>
      <c r="AA515"/>
      <c r="AB515"/>
      <c r="AC515"/>
      <c r="AD515"/>
      <c r="AE515"/>
      <c r="AF515"/>
      <c r="AG515"/>
      <c r="AH515"/>
      <c r="AI515"/>
    </row>
    <row r="516" spans="2:35" s="27" customFormat="1" x14ac:dyDescent="0.25">
      <c r="B516" s="399">
        <v>5</v>
      </c>
      <c r="C516" s="402">
        <v>13001</v>
      </c>
      <c r="D516" s="258">
        <v>12501</v>
      </c>
      <c r="E516" s="258">
        <v>18001</v>
      </c>
      <c r="F516" s="258">
        <v>24001</v>
      </c>
      <c r="G516" s="258">
        <v>20001</v>
      </c>
      <c r="H516" s="258">
        <v>22501</v>
      </c>
      <c r="I516" s="258">
        <v>18001</v>
      </c>
      <c r="J516" s="258">
        <v>10001</v>
      </c>
      <c r="K516" s="258">
        <v>12001</v>
      </c>
      <c r="L516" s="258">
        <v>12001</v>
      </c>
      <c r="M516" s="258">
        <f t="shared" si="47"/>
        <v>18001</v>
      </c>
      <c r="N516" s="28"/>
      <c r="O516" s="258">
        <v>18501</v>
      </c>
      <c r="P516" s="306">
        <v>80001</v>
      </c>
      <c r="Q516" s="259">
        <v>0</v>
      </c>
      <c r="AA516"/>
      <c r="AB516"/>
      <c r="AC516"/>
      <c r="AD516"/>
      <c r="AE516"/>
      <c r="AF516"/>
      <c r="AG516"/>
      <c r="AH516"/>
      <c r="AI516"/>
    </row>
    <row r="517" spans="2:35" s="27" customFormat="1" x14ac:dyDescent="0.25">
      <c r="B517" s="399">
        <v>6</v>
      </c>
      <c r="C517" s="402">
        <v>27501</v>
      </c>
      <c r="D517" s="258">
        <v>20001</v>
      </c>
      <c r="E517" s="258">
        <v>35001</v>
      </c>
      <c r="F517" s="258">
        <v>45001</v>
      </c>
      <c r="G517" s="258">
        <v>40001</v>
      </c>
      <c r="H517" s="258">
        <v>40001</v>
      </c>
      <c r="I517" s="258">
        <v>35001</v>
      </c>
      <c r="J517" s="258">
        <v>20001</v>
      </c>
      <c r="K517" s="258">
        <v>25001</v>
      </c>
      <c r="L517" s="258">
        <v>25001</v>
      </c>
      <c r="M517" s="258">
        <f t="shared" si="47"/>
        <v>35001</v>
      </c>
      <c r="N517" s="28"/>
      <c r="O517" s="258">
        <v>37001</v>
      </c>
      <c r="P517" s="306">
        <v>150001</v>
      </c>
      <c r="Q517" s="259">
        <v>0</v>
      </c>
      <c r="AA517"/>
      <c r="AB517"/>
      <c r="AC517"/>
      <c r="AD517"/>
      <c r="AE517"/>
      <c r="AF517"/>
      <c r="AG517"/>
      <c r="AH517"/>
      <c r="AI517"/>
    </row>
    <row r="518" spans="2:35" s="27" customFormat="1" x14ac:dyDescent="0.25">
      <c r="B518" s="399">
        <v>7</v>
      </c>
      <c r="C518" s="402">
        <v>55001</v>
      </c>
      <c r="D518" s="258">
        <v>35001</v>
      </c>
      <c r="E518" s="258">
        <v>70001</v>
      </c>
      <c r="F518" s="258">
        <v>95001</v>
      </c>
      <c r="G518" s="258">
        <v>90001</v>
      </c>
      <c r="H518" s="258">
        <v>60001</v>
      </c>
      <c r="I518" s="258">
        <v>60001</v>
      </c>
      <c r="J518" s="258">
        <v>42501</v>
      </c>
      <c r="K518" s="258">
        <v>50001</v>
      </c>
      <c r="L518" s="258">
        <v>40001</v>
      </c>
      <c r="M518" s="258">
        <f t="shared" si="47"/>
        <v>70001</v>
      </c>
      <c r="N518" s="28"/>
      <c r="O518" s="258">
        <v>85001</v>
      </c>
      <c r="P518" s="306">
        <v>275001</v>
      </c>
      <c r="Q518" s="30">
        <v>45001</v>
      </c>
      <c r="AA518"/>
      <c r="AB518"/>
      <c r="AC518"/>
      <c r="AD518"/>
      <c r="AE518"/>
      <c r="AF518"/>
      <c r="AG518"/>
      <c r="AH518"/>
      <c r="AI518"/>
    </row>
    <row r="519" spans="2:35" s="27" customFormat="1" x14ac:dyDescent="0.25">
      <c r="B519" s="399">
        <v>8</v>
      </c>
      <c r="C519" s="402">
        <v>110001</v>
      </c>
      <c r="D519" s="258">
        <v>60001</v>
      </c>
      <c r="E519" s="258">
        <v>125001</v>
      </c>
      <c r="F519" s="258">
        <v>175001</v>
      </c>
      <c r="G519" s="258">
        <v>150001</v>
      </c>
      <c r="H519" s="258">
        <v>90001</v>
      </c>
      <c r="I519" s="258">
        <v>95001</v>
      </c>
      <c r="J519" s="258">
        <v>70001</v>
      </c>
      <c r="K519" s="258">
        <v>100001</v>
      </c>
      <c r="L519" s="258">
        <v>70001</v>
      </c>
      <c r="M519" s="258">
        <f>M518+J513-1</f>
        <v>71251</v>
      </c>
      <c r="N519" s="28"/>
      <c r="O519" s="258">
        <v>140001</v>
      </c>
      <c r="P519" s="306">
        <v>500001</v>
      </c>
      <c r="Q519" s="30">
        <v>75001</v>
      </c>
      <c r="AA519"/>
      <c r="AB519"/>
      <c r="AC519"/>
      <c r="AD519"/>
      <c r="AE519"/>
      <c r="AF519"/>
      <c r="AG519"/>
      <c r="AH519"/>
      <c r="AI519"/>
    </row>
    <row r="520" spans="2:35" s="27" customFormat="1" x14ac:dyDescent="0.25">
      <c r="B520" s="399">
        <v>9</v>
      </c>
      <c r="C520" s="402">
        <v>225001</v>
      </c>
      <c r="D520" s="258">
        <v>90001</v>
      </c>
      <c r="E520" s="258">
        <v>250001</v>
      </c>
      <c r="F520" s="258">
        <v>350001</v>
      </c>
      <c r="G520" s="258">
        <v>225001</v>
      </c>
      <c r="H520" s="258">
        <v>135001</v>
      </c>
      <c r="I520" s="258">
        <v>145001</v>
      </c>
      <c r="J520" s="258">
        <v>110001</v>
      </c>
      <c r="K520" s="258">
        <v>200001</v>
      </c>
      <c r="L520" s="258">
        <v>110001</v>
      </c>
      <c r="M520" s="258">
        <f>M519+J514-1</f>
        <v>73751</v>
      </c>
      <c r="N520" s="28"/>
      <c r="O520" s="258">
        <v>220001</v>
      </c>
      <c r="P520" s="306">
        <v>1000001</v>
      </c>
      <c r="Q520" s="30">
        <v>125001</v>
      </c>
      <c r="AA520"/>
      <c r="AB520"/>
      <c r="AC520"/>
      <c r="AD520"/>
      <c r="AE520"/>
      <c r="AF520"/>
      <c r="AG520"/>
      <c r="AH520"/>
      <c r="AI520"/>
    </row>
    <row r="521" spans="2:35" s="27" customFormat="1" x14ac:dyDescent="0.25">
      <c r="B521" s="399">
        <v>10</v>
      </c>
      <c r="C521" s="402">
        <v>450001</v>
      </c>
      <c r="D521" s="258">
        <v>125001</v>
      </c>
      <c r="E521" s="258">
        <v>500001</v>
      </c>
      <c r="F521" s="258">
        <v>700001</v>
      </c>
      <c r="G521" s="258">
        <v>325001</v>
      </c>
      <c r="H521" s="258">
        <v>250001</v>
      </c>
      <c r="I521" s="258">
        <v>220001</v>
      </c>
      <c r="J521" s="258">
        <v>160001</v>
      </c>
      <c r="K521" s="258">
        <v>300001</v>
      </c>
      <c r="L521" s="258">
        <v>160001</v>
      </c>
      <c r="M521" s="258">
        <f>M520+J515-1</f>
        <v>78751</v>
      </c>
      <c r="N521" s="28"/>
      <c r="O521" s="258">
        <v>300001</v>
      </c>
      <c r="P521" s="306">
        <v>1500001</v>
      </c>
      <c r="Q521" s="30">
        <v>180001</v>
      </c>
      <c r="AA521"/>
      <c r="AB521"/>
      <c r="AC521"/>
      <c r="AD521"/>
      <c r="AE521"/>
      <c r="AF521"/>
      <c r="AG521"/>
      <c r="AH521"/>
      <c r="AI521"/>
    </row>
    <row r="522" spans="2:35" s="27" customFormat="1" x14ac:dyDescent="0.25">
      <c r="B522" s="399">
        <v>11</v>
      </c>
      <c r="C522" s="402">
        <v>675001</v>
      </c>
      <c r="D522" s="258">
        <v>200001</v>
      </c>
      <c r="E522" s="258">
        <v>750001</v>
      </c>
      <c r="F522" s="258">
        <v>1050001</v>
      </c>
      <c r="G522" s="258">
        <v>650001</v>
      </c>
      <c r="H522" s="258">
        <v>375001</v>
      </c>
      <c r="I522" s="258">
        <v>440001</v>
      </c>
      <c r="J522" s="258">
        <v>220001</v>
      </c>
      <c r="K522" s="258">
        <v>425001</v>
      </c>
      <c r="L522" s="258">
        <v>220001</v>
      </c>
      <c r="M522" s="258">
        <f>M521+J516-1</f>
        <v>88751</v>
      </c>
      <c r="N522" s="28">
        <v>0</v>
      </c>
      <c r="O522" s="258">
        <v>600001</v>
      </c>
      <c r="P522" s="306">
        <v>2000001</v>
      </c>
      <c r="Q522" s="30">
        <v>250001</v>
      </c>
      <c r="AA522"/>
      <c r="AB522"/>
      <c r="AC522"/>
      <c r="AD522"/>
      <c r="AE522"/>
      <c r="AF522"/>
      <c r="AG522"/>
      <c r="AH522"/>
      <c r="AI522"/>
    </row>
    <row r="523" spans="2:35" s="27" customFormat="1" x14ac:dyDescent="0.25">
      <c r="B523" s="399">
        <v>12</v>
      </c>
      <c r="C523" s="402">
        <v>900001</v>
      </c>
      <c r="D523" s="258">
        <v>300001</v>
      </c>
      <c r="E523" s="258">
        <v>1000001</v>
      </c>
      <c r="F523" s="258">
        <v>1400001</v>
      </c>
      <c r="G523" s="258">
        <v>975001</v>
      </c>
      <c r="H523" s="258">
        <v>750001</v>
      </c>
      <c r="I523" s="258">
        <v>660001</v>
      </c>
      <c r="J523" s="258">
        <v>440001</v>
      </c>
      <c r="K523" s="258">
        <v>575001</v>
      </c>
      <c r="L523" s="258">
        <v>400001</v>
      </c>
      <c r="M523" s="258">
        <f>M522+N523</f>
        <v>90751</v>
      </c>
      <c r="N523" s="28">
        <v>2000</v>
      </c>
      <c r="O523" s="258">
        <v>900001</v>
      </c>
      <c r="P523" s="306">
        <v>2500001</v>
      </c>
      <c r="Q523" s="30">
        <v>500001</v>
      </c>
      <c r="AA523"/>
      <c r="AB523"/>
      <c r="AC523"/>
      <c r="AD523"/>
      <c r="AE523"/>
      <c r="AF523"/>
      <c r="AG523"/>
      <c r="AH523"/>
      <c r="AI523"/>
    </row>
    <row r="524" spans="2:35" s="27" customFormat="1" x14ac:dyDescent="0.25">
      <c r="B524" s="399">
        <v>13</v>
      </c>
      <c r="C524" s="402">
        <v>1125001</v>
      </c>
      <c r="D524" s="258">
        <v>750001</v>
      </c>
      <c r="E524" s="258">
        <v>1250001</v>
      </c>
      <c r="F524" s="258">
        <v>1750001</v>
      </c>
      <c r="G524" s="258">
        <v>1300001</v>
      </c>
      <c r="H524" s="258">
        <v>1125001</v>
      </c>
      <c r="I524" s="258">
        <v>880001</v>
      </c>
      <c r="J524" s="258">
        <v>660001</v>
      </c>
      <c r="K524" s="258">
        <v>750001</v>
      </c>
      <c r="L524" s="258">
        <v>650001</v>
      </c>
      <c r="M524" s="258">
        <f t="shared" ref="M524:M544" si="48">M523+N524-N523</f>
        <v>92751</v>
      </c>
      <c r="N524" s="28">
        <v>4000</v>
      </c>
      <c r="O524" s="258">
        <v>1200001</v>
      </c>
      <c r="P524" s="306">
        <v>3000001</v>
      </c>
      <c r="Q524" s="30">
        <v>750001</v>
      </c>
      <c r="AA524"/>
      <c r="AB524"/>
      <c r="AC524"/>
      <c r="AD524"/>
      <c r="AE524"/>
      <c r="AF524"/>
      <c r="AG524"/>
      <c r="AH524"/>
      <c r="AI524"/>
    </row>
    <row r="525" spans="2:35" s="27" customFormat="1" x14ac:dyDescent="0.25">
      <c r="B525" s="399">
        <v>14</v>
      </c>
      <c r="C525" s="402">
        <v>1350001</v>
      </c>
      <c r="D525" s="258">
        <v>1500001</v>
      </c>
      <c r="E525" s="258">
        <v>1500001</v>
      </c>
      <c r="F525" s="258">
        <v>2100001</v>
      </c>
      <c r="G525" s="258">
        <v>1625001</v>
      </c>
      <c r="H525" s="258">
        <v>1500001</v>
      </c>
      <c r="I525" s="258">
        <v>1100001</v>
      </c>
      <c r="J525" s="258">
        <v>880001</v>
      </c>
      <c r="K525" s="258">
        <v>1000001</v>
      </c>
      <c r="L525" s="258">
        <v>900001</v>
      </c>
      <c r="M525" s="258">
        <f t="shared" si="48"/>
        <v>96751</v>
      </c>
      <c r="N525" s="28">
        <v>8000</v>
      </c>
      <c r="O525" s="258">
        <v>1500001</v>
      </c>
      <c r="P525" s="306">
        <v>3500001</v>
      </c>
      <c r="Q525" s="30">
        <v>1000001</v>
      </c>
      <c r="AA525"/>
      <c r="AB525"/>
      <c r="AC525"/>
      <c r="AD525"/>
      <c r="AE525"/>
      <c r="AF525"/>
      <c r="AG525"/>
      <c r="AH525"/>
      <c r="AI525"/>
    </row>
    <row r="526" spans="2:35" s="27" customFormat="1" x14ac:dyDescent="0.25">
      <c r="B526" s="399">
        <v>15</v>
      </c>
      <c r="C526" s="402">
        <v>1575001</v>
      </c>
      <c r="D526" s="258">
        <v>3000001</v>
      </c>
      <c r="E526" s="258">
        <v>1750001</v>
      </c>
      <c r="F526" s="258">
        <v>2450001</v>
      </c>
      <c r="G526" s="258">
        <v>1950001</v>
      </c>
      <c r="H526" s="258">
        <v>1875001</v>
      </c>
      <c r="I526" s="258">
        <v>1320001</v>
      </c>
      <c r="J526" s="258">
        <v>1100001</v>
      </c>
      <c r="K526" s="258">
        <v>1500001</v>
      </c>
      <c r="L526" s="258">
        <v>1150001</v>
      </c>
      <c r="M526" s="258">
        <f t="shared" si="48"/>
        <v>104751</v>
      </c>
      <c r="N526" s="28">
        <v>16000</v>
      </c>
      <c r="O526" s="258">
        <v>1800001</v>
      </c>
      <c r="P526" s="306">
        <v>4000001</v>
      </c>
      <c r="Q526" s="30">
        <v>1250001</v>
      </c>
      <c r="AA526"/>
      <c r="AB526"/>
      <c r="AC526"/>
      <c r="AD526"/>
      <c r="AE526"/>
      <c r="AF526"/>
      <c r="AG526"/>
      <c r="AH526"/>
      <c r="AI526"/>
    </row>
    <row r="527" spans="2:35" s="27" customFormat="1" x14ac:dyDescent="0.25">
      <c r="B527" s="399">
        <v>16</v>
      </c>
      <c r="C527" s="402">
        <v>1800001</v>
      </c>
      <c r="D527" s="258">
        <v>3500001</v>
      </c>
      <c r="E527" s="258">
        <v>2000001</v>
      </c>
      <c r="F527" s="258">
        <v>2800001</v>
      </c>
      <c r="G527" s="258">
        <v>2275001</v>
      </c>
      <c r="H527" s="258">
        <v>2250001</v>
      </c>
      <c r="I527" s="258">
        <v>1540001</v>
      </c>
      <c r="J527" s="258">
        <v>1320001</v>
      </c>
      <c r="K527" s="258"/>
      <c r="L527" s="258">
        <v>1400001</v>
      </c>
      <c r="M527" s="258">
        <f t="shared" si="48"/>
        <v>113751</v>
      </c>
      <c r="N527" s="28">
        <v>25000</v>
      </c>
      <c r="O527" s="258">
        <v>2100001</v>
      </c>
      <c r="P527" s="306">
        <v>4500001</v>
      </c>
      <c r="Q527" s="30">
        <v>1500001</v>
      </c>
      <c r="AA527"/>
      <c r="AB527"/>
      <c r="AC527"/>
      <c r="AD527"/>
      <c r="AE527"/>
      <c r="AF527"/>
      <c r="AG527"/>
      <c r="AH527"/>
      <c r="AI527"/>
    </row>
    <row r="528" spans="2:35" s="27" customFormat="1" x14ac:dyDescent="0.25">
      <c r="B528" s="399">
        <v>17</v>
      </c>
      <c r="C528" s="402">
        <v>2025001</v>
      </c>
      <c r="D528" s="258">
        <v>4000001</v>
      </c>
      <c r="E528" s="258">
        <v>2250001</v>
      </c>
      <c r="F528" s="258">
        <v>3150001</v>
      </c>
      <c r="G528" s="258">
        <v>2600001</v>
      </c>
      <c r="H528" s="258">
        <v>2625001</v>
      </c>
      <c r="I528" s="258">
        <v>1760001</v>
      </c>
      <c r="J528" s="258">
        <v>1540001</v>
      </c>
      <c r="K528" s="258"/>
      <c r="L528" s="258">
        <v>1650001</v>
      </c>
      <c r="M528" s="258">
        <f t="shared" si="48"/>
        <v>128751</v>
      </c>
      <c r="N528" s="28">
        <v>40000</v>
      </c>
      <c r="O528" s="258"/>
      <c r="P528" s="306"/>
      <c r="Q528" s="30"/>
      <c r="AA528"/>
      <c r="AB528"/>
      <c r="AC528"/>
      <c r="AD528"/>
      <c r="AE528"/>
      <c r="AF528"/>
      <c r="AG528"/>
      <c r="AH528"/>
      <c r="AI528"/>
    </row>
    <row r="529" spans="2:35" s="27" customFormat="1" x14ac:dyDescent="0.25">
      <c r="B529" s="399">
        <v>18</v>
      </c>
      <c r="C529" s="402">
        <v>2250001</v>
      </c>
      <c r="D529" s="258">
        <v>4500001</v>
      </c>
      <c r="E529" s="258">
        <v>2500001</v>
      </c>
      <c r="F529" s="258">
        <v>3500001</v>
      </c>
      <c r="G529" s="258">
        <v>2925001</v>
      </c>
      <c r="H529" s="258">
        <v>3000001</v>
      </c>
      <c r="I529" s="258">
        <v>1980001</v>
      </c>
      <c r="J529" s="258">
        <v>1760001</v>
      </c>
      <c r="K529" s="258"/>
      <c r="L529" s="258">
        <v>1900001</v>
      </c>
      <c r="M529" s="258">
        <f t="shared" si="48"/>
        <v>148751</v>
      </c>
      <c r="N529" s="28">
        <v>60000</v>
      </c>
      <c r="O529" s="258"/>
      <c r="P529" s="306"/>
      <c r="Q529" s="30"/>
      <c r="AA529"/>
      <c r="AB529"/>
      <c r="AC529"/>
      <c r="AD529"/>
      <c r="AE529"/>
      <c r="AF529"/>
      <c r="AG529"/>
      <c r="AH529"/>
      <c r="AI529"/>
    </row>
    <row r="530" spans="2:35" s="27" customFormat="1" x14ac:dyDescent="0.25">
      <c r="B530" s="399">
        <v>19</v>
      </c>
      <c r="C530" s="402">
        <v>2475001</v>
      </c>
      <c r="D530" s="258">
        <v>5000001</v>
      </c>
      <c r="E530" s="258">
        <v>2750001</v>
      </c>
      <c r="F530" s="258">
        <v>3850001</v>
      </c>
      <c r="G530" s="258">
        <v>3250001</v>
      </c>
      <c r="H530" s="258">
        <v>3375001</v>
      </c>
      <c r="I530" s="258">
        <v>2200001</v>
      </c>
      <c r="J530" s="258">
        <v>1980001</v>
      </c>
      <c r="K530" s="258"/>
      <c r="L530" s="258">
        <v>2200001</v>
      </c>
      <c r="M530" s="258">
        <f t="shared" si="48"/>
        <v>173751</v>
      </c>
      <c r="N530" s="28">
        <v>85000</v>
      </c>
      <c r="O530" s="258"/>
      <c r="P530" s="306"/>
      <c r="Q530" s="30"/>
      <c r="AA530"/>
      <c r="AB530"/>
      <c r="AC530"/>
      <c r="AD530"/>
      <c r="AE530"/>
      <c r="AF530"/>
      <c r="AG530"/>
      <c r="AH530"/>
      <c r="AI530"/>
    </row>
    <row r="531" spans="2:35" s="27" customFormat="1" x14ac:dyDescent="0.25">
      <c r="B531" s="399">
        <v>20</v>
      </c>
      <c r="C531" s="402">
        <v>2700001</v>
      </c>
      <c r="D531" s="258">
        <v>5500001</v>
      </c>
      <c r="E531" s="258">
        <v>3000001</v>
      </c>
      <c r="F531" s="258">
        <v>4200001</v>
      </c>
      <c r="G531" s="258">
        <v>3575001</v>
      </c>
      <c r="H531" s="258">
        <v>3750001</v>
      </c>
      <c r="I531" s="258">
        <v>2420001</v>
      </c>
      <c r="J531" s="258">
        <v>2200001</v>
      </c>
      <c r="K531" s="258"/>
      <c r="L531" s="258">
        <v>2500001</v>
      </c>
      <c r="M531" s="258">
        <f t="shared" si="48"/>
        <v>198751</v>
      </c>
      <c r="N531" s="28">
        <v>110000</v>
      </c>
      <c r="O531" s="258"/>
      <c r="P531" s="306"/>
      <c r="Q531" s="30"/>
      <c r="AA531"/>
      <c r="AB531"/>
      <c r="AC531"/>
      <c r="AD531"/>
      <c r="AE531"/>
      <c r="AF531"/>
      <c r="AG531"/>
      <c r="AH531"/>
      <c r="AI531"/>
    </row>
    <row r="532" spans="2:35" s="27" customFormat="1" x14ac:dyDescent="0.25">
      <c r="B532" s="399">
        <v>21</v>
      </c>
      <c r="C532" s="402">
        <v>2925001</v>
      </c>
      <c r="D532" s="258">
        <v>6000001</v>
      </c>
      <c r="E532" s="258">
        <v>3250001</v>
      </c>
      <c r="F532" s="258">
        <v>4550001</v>
      </c>
      <c r="G532" s="258">
        <v>3900001</v>
      </c>
      <c r="H532" s="258">
        <v>4125001</v>
      </c>
      <c r="I532" s="258">
        <v>2640001</v>
      </c>
      <c r="J532" s="258">
        <v>2420001</v>
      </c>
      <c r="K532" s="258"/>
      <c r="L532" s="258">
        <v>2800001</v>
      </c>
      <c r="M532" s="258">
        <f t="shared" si="48"/>
        <v>238751</v>
      </c>
      <c r="N532" s="28">
        <v>150000</v>
      </c>
      <c r="O532" s="258"/>
      <c r="P532" s="306"/>
      <c r="Q532" s="30"/>
      <c r="AA532"/>
      <c r="AB532"/>
      <c r="AC532"/>
      <c r="AD532"/>
      <c r="AE532"/>
      <c r="AF532"/>
      <c r="AG532"/>
      <c r="AH532"/>
      <c r="AI532"/>
    </row>
    <row r="533" spans="2:35" s="27" customFormat="1" x14ac:dyDescent="0.25">
      <c r="B533" s="399">
        <v>22</v>
      </c>
      <c r="C533" s="402">
        <v>3150001</v>
      </c>
      <c r="D533" s="258">
        <v>6500001</v>
      </c>
      <c r="E533" s="258">
        <v>3500001</v>
      </c>
      <c r="F533" s="258">
        <v>4900001</v>
      </c>
      <c r="G533" s="258">
        <v>4225001</v>
      </c>
      <c r="H533" s="258">
        <v>4500001</v>
      </c>
      <c r="I533" s="258">
        <v>2860001</v>
      </c>
      <c r="J533" s="258">
        <v>2640001</v>
      </c>
      <c r="K533" s="258"/>
      <c r="L533" s="28"/>
      <c r="M533" s="258">
        <f t="shared" si="48"/>
        <v>288751</v>
      </c>
      <c r="N533" s="28">
        <v>200000</v>
      </c>
      <c r="O533" s="258"/>
      <c r="P533" s="306"/>
      <c r="Q533" s="30"/>
      <c r="AA533"/>
      <c r="AB533"/>
      <c r="AC533"/>
      <c r="AD533"/>
      <c r="AE533"/>
      <c r="AF533"/>
      <c r="AG533"/>
      <c r="AH533"/>
      <c r="AI533"/>
    </row>
    <row r="534" spans="2:35" s="27" customFormat="1" x14ac:dyDescent="0.25">
      <c r="B534" s="399">
        <v>23</v>
      </c>
      <c r="C534" s="402">
        <v>3375001</v>
      </c>
      <c r="D534" s="258">
        <v>7000001</v>
      </c>
      <c r="E534" s="258">
        <v>3750001</v>
      </c>
      <c r="F534" s="258">
        <v>5250001</v>
      </c>
      <c r="G534" s="258">
        <v>4550001</v>
      </c>
      <c r="H534" s="258">
        <v>4875001</v>
      </c>
      <c r="I534" s="258">
        <v>3080001</v>
      </c>
      <c r="J534" s="258">
        <v>2860001</v>
      </c>
      <c r="K534" s="258"/>
      <c r="L534" s="28"/>
      <c r="M534" s="258">
        <f t="shared" si="48"/>
        <v>488751</v>
      </c>
      <c r="N534" s="28">
        <v>400000</v>
      </c>
      <c r="O534" s="258"/>
      <c r="P534" s="306"/>
      <c r="Q534" s="30"/>
      <c r="AA534"/>
      <c r="AB534"/>
      <c r="AC534"/>
      <c r="AD534"/>
      <c r="AE534"/>
      <c r="AF534"/>
      <c r="AG534"/>
      <c r="AH534"/>
      <c r="AI534"/>
    </row>
    <row r="535" spans="2:35" s="27" customFormat="1" x14ac:dyDescent="0.25">
      <c r="B535" s="399">
        <v>24</v>
      </c>
      <c r="C535" s="402">
        <v>3600001</v>
      </c>
      <c r="D535" s="258"/>
      <c r="E535" s="258">
        <v>4000001</v>
      </c>
      <c r="F535" s="258">
        <v>5600001</v>
      </c>
      <c r="G535" s="258">
        <v>4875001</v>
      </c>
      <c r="H535" s="258">
        <v>5250001</v>
      </c>
      <c r="I535" s="258">
        <v>3300001</v>
      </c>
      <c r="J535" s="258">
        <v>3080001</v>
      </c>
      <c r="K535" s="258"/>
      <c r="L535" s="28"/>
      <c r="M535" s="258">
        <f t="shared" si="48"/>
        <v>688751</v>
      </c>
      <c r="N535" s="28">
        <f t="shared" ref="N535:N543" si="49">N534+200000</f>
        <v>600000</v>
      </c>
      <c r="O535" s="258"/>
      <c r="P535" s="306"/>
      <c r="Q535" s="30"/>
      <c r="AA535"/>
      <c r="AB535"/>
      <c r="AC535"/>
      <c r="AD535"/>
      <c r="AE535"/>
      <c r="AF535"/>
      <c r="AG535"/>
      <c r="AH535"/>
      <c r="AI535"/>
    </row>
    <row r="536" spans="2:35" s="27" customFormat="1" x14ac:dyDescent="0.25">
      <c r="B536" s="399">
        <v>25</v>
      </c>
      <c r="C536" s="402">
        <v>3825001</v>
      </c>
      <c r="D536" s="258"/>
      <c r="E536" s="258">
        <v>4250001</v>
      </c>
      <c r="F536" s="258">
        <v>5950001</v>
      </c>
      <c r="G536" s="258">
        <v>5200001</v>
      </c>
      <c r="H536" s="258">
        <v>5625001</v>
      </c>
      <c r="I536" s="258">
        <v>3520001</v>
      </c>
      <c r="J536" s="258">
        <v>3300001</v>
      </c>
      <c r="K536" s="258"/>
      <c r="L536" s="28"/>
      <c r="M536" s="258">
        <f t="shared" si="48"/>
        <v>888751</v>
      </c>
      <c r="N536" s="28">
        <f t="shared" si="49"/>
        <v>800000</v>
      </c>
      <c r="O536" s="258"/>
      <c r="P536" s="306"/>
      <c r="Q536" s="30"/>
      <c r="AA536"/>
      <c r="AB536"/>
      <c r="AC536"/>
      <c r="AD536"/>
      <c r="AE536"/>
      <c r="AF536"/>
      <c r="AG536"/>
      <c r="AH536"/>
      <c r="AI536"/>
    </row>
    <row r="537" spans="2:35" s="27" customFormat="1" x14ac:dyDescent="0.25">
      <c r="B537" s="399">
        <v>26</v>
      </c>
      <c r="C537" s="402">
        <v>4050001</v>
      </c>
      <c r="D537" s="258"/>
      <c r="E537" s="258">
        <v>4500001</v>
      </c>
      <c r="F537" s="258">
        <v>6300001</v>
      </c>
      <c r="G537" s="258">
        <v>5525001</v>
      </c>
      <c r="H537" s="258">
        <v>6000001</v>
      </c>
      <c r="I537" s="258">
        <v>3740001</v>
      </c>
      <c r="J537" s="258">
        <v>3520001</v>
      </c>
      <c r="K537" s="258"/>
      <c r="L537" s="28"/>
      <c r="M537" s="258">
        <f t="shared" si="48"/>
        <v>1088751</v>
      </c>
      <c r="N537" s="28">
        <f t="shared" si="49"/>
        <v>1000000</v>
      </c>
      <c r="O537" s="258"/>
      <c r="P537" s="306"/>
      <c r="Q537" s="30"/>
      <c r="AA537"/>
      <c r="AB537"/>
      <c r="AC537"/>
      <c r="AD537"/>
      <c r="AE537"/>
      <c r="AF537"/>
      <c r="AG537"/>
      <c r="AH537"/>
      <c r="AI537"/>
    </row>
    <row r="538" spans="2:35" s="27" customFormat="1" x14ac:dyDescent="0.25">
      <c r="B538" s="399">
        <v>27</v>
      </c>
      <c r="C538" s="402">
        <v>4275001</v>
      </c>
      <c r="D538" s="258"/>
      <c r="E538" s="258">
        <v>4750001</v>
      </c>
      <c r="F538" s="258">
        <v>6650001</v>
      </c>
      <c r="G538" s="258">
        <v>5850001</v>
      </c>
      <c r="H538" s="258">
        <v>6375001</v>
      </c>
      <c r="I538" s="258">
        <v>3960001</v>
      </c>
      <c r="J538" s="258">
        <v>3740001</v>
      </c>
      <c r="K538" s="258"/>
      <c r="L538" s="28"/>
      <c r="M538" s="258">
        <f t="shared" si="48"/>
        <v>1288751</v>
      </c>
      <c r="N538" s="28">
        <f t="shared" si="49"/>
        <v>1200000</v>
      </c>
      <c r="O538" s="258"/>
      <c r="P538" s="306"/>
      <c r="Q538" s="30"/>
      <c r="AA538"/>
      <c r="AB538"/>
      <c r="AC538"/>
      <c r="AD538"/>
      <c r="AE538"/>
      <c r="AF538"/>
      <c r="AG538"/>
      <c r="AH538"/>
      <c r="AI538"/>
    </row>
    <row r="539" spans="2:35" s="27" customFormat="1" x14ac:dyDescent="0.25">
      <c r="B539" s="399">
        <v>28</v>
      </c>
      <c r="C539" s="402">
        <v>4500001</v>
      </c>
      <c r="D539" s="258"/>
      <c r="E539" s="258">
        <v>5000001</v>
      </c>
      <c r="F539" s="258">
        <v>7000001</v>
      </c>
      <c r="G539" s="258">
        <v>6175001</v>
      </c>
      <c r="H539" s="258">
        <v>6750001</v>
      </c>
      <c r="I539" s="258">
        <v>4180001</v>
      </c>
      <c r="J539" s="258">
        <v>3960001</v>
      </c>
      <c r="K539" s="258"/>
      <c r="L539" s="28"/>
      <c r="M539" s="258">
        <f t="shared" si="48"/>
        <v>1488751</v>
      </c>
      <c r="N539" s="28">
        <f t="shared" si="49"/>
        <v>1400000</v>
      </c>
      <c r="O539" s="258"/>
      <c r="P539" s="306"/>
      <c r="Q539" s="30"/>
      <c r="AA539"/>
      <c r="AB539"/>
      <c r="AC539"/>
      <c r="AD539"/>
      <c r="AE539"/>
      <c r="AF539"/>
      <c r="AG539"/>
      <c r="AH539"/>
      <c r="AI539"/>
    </row>
    <row r="540" spans="2:35" s="27" customFormat="1" x14ac:dyDescent="0.25">
      <c r="B540" s="399">
        <v>29</v>
      </c>
      <c r="C540" s="402">
        <v>4725001</v>
      </c>
      <c r="D540" s="258"/>
      <c r="E540" s="258">
        <v>5250001</v>
      </c>
      <c r="F540" s="258">
        <v>7350001</v>
      </c>
      <c r="G540" s="258">
        <v>6500001</v>
      </c>
      <c r="H540" s="258">
        <v>7125001</v>
      </c>
      <c r="I540" s="258">
        <v>4400001</v>
      </c>
      <c r="J540" s="258">
        <v>4180001</v>
      </c>
      <c r="K540" s="258"/>
      <c r="L540" s="28"/>
      <c r="M540" s="258">
        <f t="shared" si="48"/>
        <v>1688751</v>
      </c>
      <c r="N540" s="28">
        <f t="shared" si="49"/>
        <v>1600000</v>
      </c>
      <c r="O540" s="258"/>
      <c r="P540" s="306"/>
      <c r="Q540" s="30"/>
      <c r="AA540"/>
      <c r="AB540"/>
      <c r="AC540"/>
      <c r="AD540"/>
      <c r="AE540"/>
      <c r="AF540"/>
      <c r="AG540"/>
      <c r="AH540"/>
      <c r="AI540"/>
    </row>
    <row r="541" spans="2:35" s="27" customFormat="1" x14ac:dyDescent="0.25">
      <c r="B541" s="399">
        <v>30</v>
      </c>
      <c r="C541" s="402">
        <v>4950001</v>
      </c>
      <c r="D541" s="258"/>
      <c r="E541" s="258">
        <v>5500001</v>
      </c>
      <c r="F541" s="258">
        <v>7700001</v>
      </c>
      <c r="G541" s="258">
        <v>6825001</v>
      </c>
      <c r="H541" s="258">
        <v>7500001</v>
      </c>
      <c r="I541" s="258">
        <v>4620001</v>
      </c>
      <c r="J541" s="258">
        <v>4400001</v>
      </c>
      <c r="K541" s="258"/>
      <c r="L541" s="28"/>
      <c r="M541" s="258">
        <f t="shared" si="48"/>
        <v>1888751</v>
      </c>
      <c r="N541" s="28">
        <f t="shared" si="49"/>
        <v>1800000</v>
      </c>
      <c r="O541" s="258"/>
      <c r="P541" s="306"/>
      <c r="Q541" s="30"/>
      <c r="AA541"/>
      <c r="AB541"/>
      <c r="AC541"/>
      <c r="AD541"/>
      <c r="AE541"/>
      <c r="AF541"/>
      <c r="AG541"/>
      <c r="AH541"/>
      <c r="AI541"/>
    </row>
    <row r="542" spans="2:35" s="27" customFormat="1" x14ac:dyDescent="0.25">
      <c r="B542" s="399">
        <v>31</v>
      </c>
      <c r="C542" s="402">
        <v>5175001</v>
      </c>
      <c r="D542" s="258"/>
      <c r="E542" s="258">
        <v>5750001</v>
      </c>
      <c r="F542" s="258">
        <v>8050001</v>
      </c>
      <c r="G542" s="258">
        <v>7150001</v>
      </c>
      <c r="H542" s="258">
        <v>7875001</v>
      </c>
      <c r="I542" s="258">
        <v>4840001</v>
      </c>
      <c r="J542" s="258">
        <v>4620001</v>
      </c>
      <c r="K542" s="258"/>
      <c r="L542" s="28"/>
      <c r="M542" s="258">
        <f t="shared" si="48"/>
        <v>2088751</v>
      </c>
      <c r="N542" s="28">
        <f t="shared" si="49"/>
        <v>2000000</v>
      </c>
      <c r="O542" s="258"/>
      <c r="P542" s="306"/>
      <c r="Q542" s="30"/>
      <c r="AA542"/>
      <c r="AB542"/>
      <c r="AC542"/>
      <c r="AD542"/>
      <c r="AE542"/>
      <c r="AF542"/>
      <c r="AG542"/>
      <c r="AH542"/>
      <c r="AI542"/>
    </row>
    <row r="543" spans="2:35" s="27" customFormat="1" x14ac:dyDescent="0.25">
      <c r="B543" s="399">
        <v>32</v>
      </c>
      <c r="C543" s="402">
        <v>5400001</v>
      </c>
      <c r="D543" s="258"/>
      <c r="E543" s="258">
        <v>6000001</v>
      </c>
      <c r="F543" s="258">
        <v>8400001</v>
      </c>
      <c r="G543" s="258">
        <v>7475001</v>
      </c>
      <c r="H543" s="258">
        <v>8250001</v>
      </c>
      <c r="I543" s="258">
        <v>5060001</v>
      </c>
      <c r="J543" s="258">
        <v>4840001</v>
      </c>
      <c r="K543" s="258"/>
      <c r="L543" s="28"/>
      <c r="M543" s="258">
        <f t="shared" si="48"/>
        <v>2288751</v>
      </c>
      <c r="N543" s="28">
        <f t="shared" si="49"/>
        <v>2200000</v>
      </c>
      <c r="O543" s="258"/>
      <c r="P543" s="306"/>
      <c r="Q543" s="30"/>
      <c r="AA543"/>
      <c r="AB543"/>
      <c r="AC543"/>
      <c r="AD543"/>
      <c r="AE543"/>
      <c r="AF543"/>
      <c r="AG543"/>
      <c r="AH543"/>
      <c r="AI543"/>
    </row>
    <row r="544" spans="2:35" s="27" customFormat="1" x14ac:dyDescent="0.25">
      <c r="B544" s="399">
        <v>33</v>
      </c>
      <c r="C544" s="402">
        <v>5625001</v>
      </c>
      <c r="D544" s="258"/>
      <c r="E544" s="258">
        <v>6250001</v>
      </c>
      <c r="F544" s="258">
        <v>8750001</v>
      </c>
      <c r="G544" s="258">
        <v>7800001</v>
      </c>
      <c r="H544" s="258">
        <v>8625001</v>
      </c>
      <c r="I544" s="258">
        <v>5280001</v>
      </c>
      <c r="J544" s="258">
        <v>5060001</v>
      </c>
      <c r="K544" s="258"/>
      <c r="L544" s="28"/>
      <c r="M544" s="258">
        <f t="shared" si="48"/>
        <v>3088751</v>
      </c>
      <c r="N544" s="28">
        <v>3000000</v>
      </c>
      <c r="O544" s="258"/>
      <c r="P544" s="306"/>
      <c r="Q544" s="30"/>
      <c r="AA544"/>
      <c r="AB544"/>
      <c r="AC544"/>
      <c r="AD544"/>
      <c r="AE544"/>
      <c r="AF544"/>
      <c r="AG544"/>
      <c r="AH544"/>
      <c r="AI544"/>
    </row>
    <row r="545" spans="2:35" s="27" customFormat="1" x14ac:dyDescent="0.25">
      <c r="B545" s="399">
        <v>34</v>
      </c>
      <c r="C545" s="402">
        <v>5850001</v>
      </c>
      <c r="D545" s="258"/>
      <c r="E545" s="258">
        <v>6500001</v>
      </c>
      <c r="F545" s="258">
        <v>9100001</v>
      </c>
      <c r="G545" s="258">
        <v>8125001</v>
      </c>
      <c r="H545" s="258">
        <v>9000001</v>
      </c>
      <c r="I545" s="258">
        <v>5500001</v>
      </c>
      <c r="J545" s="258">
        <v>5280001</v>
      </c>
      <c r="K545" s="258"/>
      <c r="L545" s="28"/>
      <c r="M545" s="258"/>
      <c r="N545" s="28"/>
      <c r="O545" s="258"/>
      <c r="P545" s="306"/>
      <c r="Q545" s="30"/>
      <c r="AA545"/>
      <c r="AB545"/>
      <c r="AC545"/>
      <c r="AD545"/>
      <c r="AE545"/>
      <c r="AF545"/>
      <c r="AG545"/>
      <c r="AH545"/>
      <c r="AI545"/>
    </row>
    <row r="546" spans="2:35" s="27" customFormat="1" x14ac:dyDescent="0.25">
      <c r="B546" s="399">
        <v>35</v>
      </c>
      <c r="C546" s="402">
        <v>6075001</v>
      </c>
      <c r="D546" s="258"/>
      <c r="E546" s="258">
        <v>6750001</v>
      </c>
      <c r="F546" s="258">
        <v>9450001</v>
      </c>
      <c r="G546" s="258">
        <v>8450001</v>
      </c>
      <c r="H546" s="258">
        <v>9375001</v>
      </c>
      <c r="I546" s="258">
        <v>5720001</v>
      </c>
      <c r="J546" s="258">
        <v>5500001</v>
      </c>
      <c r="K546" s="258"/>
      <c r="L546" s="28"/>
      <c r="M546" s="258"/>
      <c r="N546" s="28"/>
      <c r="O546" s="258"/>
      <c r="P546" s="306"/>
      <c r="Q546" s="30"/>
      <c r="AA546"/>
      <c r="AB546"/>
      <c r="AC546"/>
      <c r="AD546"/>
      <c r="AE546"/>
      <c r="AF546"/>
      <c r="AG546"/>
      <c r="AH546"/>
      <c r="AI546"/>
    </row>
    <row r="547" spans="2:35" s="27" customFormat="1" ht="15.75" thickBot="1" x14ac:dyDescent="0.3">
      <c r="B547" s="400">
        <v>36</v>
      </c>
      <c r="C547" s="403">
        <v>6300001</v>
      </c>
      <c r="D547" s="260"/>
      <c r="E547" s="260">
        <v>7000001</v>
      </c>
      <c r="F547" s="260">
        <v>9800001</v>
      </c>
      <c r="G547" s="260">
        <v>8775001</v>
      </c>
      <c r="H547" s="260">
        <v>9750001</v>
      </c>
      <c r="I547" s="260">
        <v>5940001</v>
      </c>
      <c r="J547" s="260">
        <v>5720001</v>
      </c>
      <c r="K547" s="260"/>
      <c r="L547" s="32"/>
      <c r="M547" s="260"/>
      <c r="N547" s="32"/>
      <c r="O547" s="260"/>
      <c r="P547" s="307"/>
      <c r="Q547" s="33"/>
      <c r="AA547"/>
      <c r="AB547"/>
      <c r="AC547"/>
      <c r="AD547"/>
      <c r="AE547"/>
      <c r="AF547"/>
      <c r="AG547"/>
      <c r="AH547"/>
      <c r="AI547"/>
    </row>
    <row r="548" spans="2:35" s="27" customFormat="1" x14ac:dyDescent="0.25">
      <c r="B548" s="26"/>
      <c r="C548" s="365"/>
      <c r="D548" s="365"/>
      <c r="E548" s="365"/>
      <c r="F548" s="365"/>
      <c r="G548" s="365"/>
      <c r="H548" s="365"/>
      <c r="I548" s="365"/>
      <c r="J548" s="365"/>
      <c r="K548" s="365"/>
      <c r="M548" s="365"/>
      <c r="O548" s="365"/>
      <c r="P548" s="365"/>
      <c r="AA548"/>
      <c r="AB548"/>
      <c r="AC548"/>
      <c r="AD548"/>
      <c r="AE548"/>
      <c r="AF548"/>
      <c r="AG548"/>
      <c r="AH548"/>
      <c r="AI548"/>
    </row>
    <row r="549" spans="2:35" s="27" customFormat="1" ht="19.5" thickBot="1" x14ac:dyDescent="0.35">
      <c r="B549" s="121" t="s">
        <v>610</v>
      </c>
      <c r="C549" s="127"/>
      <c r="D549" s="127"/>
      <c r="E549" s="127"/>
      <c r="F549" s="127"/>
      <c r="G549" s="127"/>
      <c r="H549" s="127"/>
      <c r="I549" s="127"/>
      <c r="J549" s="127"/>
      <c r="K549" s="127"/>
      <c r="M549" s="127"/>
      <c r="Z549"/>
      <c r="AA549"/>
      <c r="AB549"/>
      <c r="AC549"/>
      <c r="AD549"/>
      <c r="AE549"/>
      <c r="AF549"/>
      <c r="AG549"/>
      <c r="AH549"/>
    </row>
    <row r="550" spans="2:35" s="42" customFormat="1" ht="15.75" thickBot="1" x14ac:dyDescent="0.3">
      <c r="B550" s="243" t="s">
        <v>610</v>
      </c>
      <c r="C550" s="242" t="s">
        <v>63</v>
      </c>
      <c r="D550" s="138" t="s">
        <v>64</v>
      </c>
      <c r="E550" s="138" t="s">
        <v>65</v>
      </c>
      <c r="F550" s="138" t="s">
        <v>66</v>
      </c>
      <c r="G550" s="138" t="s">
        <v>67</v>
      </c>
      <c r="H550" s="138" t="s">
        <v>68</v>
      </c>
      <c r="I550" s="138" t="s">
        <v>247</v>
      </c>
      <c r="J550" s="138" t="s">
        <v>69</v>
      </c>
      <c r="K550" s="138" t="s">
        <v>70</v>
      </c>
      <c r="L550" s="138" t="s">
        <v>333</v>
      </c>
      <c r="M550" s="138" t="s">
        <v>334</v>
      </c>
      <c r="N550" s="139" t="s">
        <v>619</v>
      </c>
      <c r="Z550" s="26"/>
      <c r="AA550" s="26"/>
      <c r="AB550" s="26"/>
      <c r="AC550" s="26"/>
      <c r="AD550" s="26"/>
      <c r="AE550" s="26"/>
      <c r="AF550" s="26"/>
      <c r="AG550" s="26"/>
      <c r="AH550" s="26"/>
    </row>
    <row r="551" spans="2:35" s="27" customFormat="1" x14ac:dyDescent="0.25">
      <c r="B551" s="398">
        <v>1</v>
      </c>
      <c r="C551" s="397">
        <v>1</v>
      </c>
      <c r="D551" s="133">
        <v>2</v>
      </c>
      <c r="E551" s="133"/>
      <c r="F551" s="133">
        <v>0</v>
      </c>
      <c r="G551" s="133">
        <v>0</v>
      </c>
      <c r="H551" s="133">
        <v>1</v>
      </c>
      <c r="I551" s="133">
        <v>1</v>
      </c>
      <c r="J551" s="133"/>
      <c r="K551" s="133"/>
      <c r="L551" s="133"/>
      <c r="M551" s="133">
        <v>0</v>
      </c>
      <c r="N551" s="136">
        <v>0</v>
      </c>
      <c r="Z551"/>
      <c r="AA551"/>
      <c r="AB551"/>
      <c r="AC551"/>
      <c r="AD551"/>
      <c r="AE551"/>
      <c r="AF551"/>
      <c r="AG551"/>
      <c r="AH551"/>
    </row>
    <row r="552" spans="2:35" s="27" customFormat="1" x14ac:dyDescent="0.25">
      <c r="B552" s="399">
        <v>2</v>
      </c>
      <c r="C552" s="295">
        <v>2</v>
      </c>
      <c r="D552" s="28">
        <v>2</v>
      </c>
      <c r="E552" s="28"/>
      <c r="F552" s="28">
        <v>0</v>
      </c>
      <c r="G552" s="28">
        <v>0</v>
      </c>
      <c r="H552" s="28">
        <v>2</v>
      </c>
      <c r="I552" s="28">
        <v>2</v>
      </c>
      <c r="J552" s="28"/>
      <c r="K552" s="28"/>
      <c r="L552" s="28"/>
      <c r="M552" s="28">
        <v>0</v>
      </c>
      <c r="N552" s="30">
        <v>0</v>
      </c>
      <c r="Z552"/>
      <c r="AA552"/>
      <c r="AB552"/>
      <c r="AC552"/>
      <c r="AD552"/>
      <c r="AE552"/>
      <c r="AF552"/>
      <c r="AG552"/>
      <c r="AH552"/>
    </row>
    <row r="553" spans="2:35" s="27" customFormat="1" x14ac:dyDescent="0.25">
      <c r="B553" s="399">
        <v>3</v>
      </c>
      <c r="C553" s="295">
        <v>2</v>
      </c>
      <c r="D553" s="28">
        <v>3</v>
      </c>
      <c r="E553" s="28"/>
      <c r="F553" s="28">
        <v>0</v>
      </c>
      <c r="G553" s="28">
        <v>0</v>
      </c>
      <c r="H553" s="28">
        <v>2</v>
      </c>
      <c r="I553" s="28">
        <v>2</v>
      </c>
      <c r="J553" s="28"/>
      <c r="K553" s="28"/>
      <c r="L553" s="28"/>
      <c r="M553" s="28">
        <v>0</v>
      </c>
      <c r="N553" s="30">
        <v>0</v>
      </c>
      <c r="Z553"/>
      <c r="AA553"/>
      <c r="AB553"/>
      <c r="AC553"/>
      <c r="AD553"/>
      <c r="AE553"/>
      <c r="AF553"/>
      <c r="AG553"/>
      <c r="AH553"/>
    </row>
    <row r="554" spans="2:35" s="27" customFormat="1" x14ac:dyDescent="0.25">
      <c r="B554" s="399">
        <v>4</v>
      </c>
      <c r="C554" s="295">
        <v>3</v>
      </c>
      <c r="D554" s="28">
        <v>4</v>
      </c>
      <c r="E554" s="28"/>
      <c r="F554" s="28">
        <v>0</v>
      </c>
      <c r="G554" s="28">
        <v>0</v>
      </c>
      <c r="H554" s="28">
        <v>3</v>
      </c>
      <c r="I554" s="28">
        <v>3</v>
      </c>
      <c r="J554" s="28"/>
      <c r="K554" s="28"/>
      <c r="L554" s="28"/>
      <c r="M554" s="28">
        <v>0</v>
      </c>
      <c r="N554" s="30">
        <v>0</v>
      </c>
      <c r="Z554"/>
      <c r="AA554"/>
      <c r="AB554"/>
      <c r="AC554"/>
      <c r="AD554"/>
      <c r="AE554"/>
      <c r="AF554"/>
      <c r="AG554"/>
      <c r="AH554"/>
    </row>
    <row r="555" spans="2:35" s="27" customFormat="1" x14ac:dyDescent="0.25">
      <c r="B555" s="399">
        <v>5</v>
      </c>
      <c r="C555" s="295">
        <v>3</v>
      </c>
      <c r="D555" s="28">
        <v>4</v>
      </c>
      <c r="E555" s="28"/>
      <c r="F555" s="28">
        <v>0</v>
      </c>
      <c r="G555" s="28">
        <v>0</v>
      </c>
      <c r="H555" s="28">
        <v>4</v>
      </c>
      <c r="I555" s="28">
        <v>4</v>
      </c>
      <c r="J555" s="28"/>
      <c r="K555" s="28"/>
      <c r="L555" s="28"/>
      <c r="M555" s="28">
        <v>0</v>
      </c>
      <c r="N555" s="30">
        <v>0</v>
      </c>
      <c r="Z555"/>
      <c r="AA555"/>
      <c r="AB555"/>
      <c r="AC555"/>
      <c r="AD555"/>
      <c r="AE555"/>
      <c r="AF555"/>
      <c r="AG555"/>
      <c r="AH555"/>
    </row>
    <row r="556" spans="2:35" s="27" customFormat="1" x14ac:dyDescent="0.25">
      <c r="B556" s="399">
        <v>6</v>
      </c>
      <c r="C556" s="295">
        <v>3</v>
      </c>
      <c r="D556" s="28">
        <v>4</v>
      </c>
      <c r="E556" s="28"/>
      <c r="F556" s="28">
        <v>0</v>
      </c>
      <c r="G556" s="28">
        <v>0</v>
      </c>
      <c r="H556" s="28">
        <v>4</v>
      </c>
      <c r="I556" s="28">
        <v>4</v>
      </c>
      <c r="J556" s="28"/>
      <c r="K556" s="28"/>
      <c r="L556" s="28"/>
      <c r="M556" s="28">
        <v>0</v>
      </c>
      <c r="N556" s="30">
        <v>0</v>
      </c>
      <c r="Z556"/>
      <c r="AA556"/>
      <c r="AB556"/>
      <c r="AC556"/>
      <c r="AD556"/>
      <c r="AE556"/>
      <c r="AF556"/>
      <c r="AG556"/>
      <c r="AH556"/>
    </row>
    <row r="557" spans="2:35" s="27" customFormat="1" x14ac:dyDescent="0.25">
      <c r="B557" s="399">
        <v>7</v>
      </c>
      <c r="C557" s="295">
        <v>3</v>
      </c>
      <c r="D557" s="28">
        <v>4</v>
      </c>
      <c r="E557" s="28"/>
      <c r="F557" s="28">
        <v>0</v>
      </c>
      <c r="G557" s="28">
        <v>0</v>
      </c>
      <c r="H557" s="28">
        <v>4</v>
      </c>
      <c r="I557" s="28">
        <v>4</v>
      </c>
      <c r="J557" s="28"/>
      <c r="K557" s="28"/>
      <c r="L557" s="28"/>
      <c r="M557" s="28">
        <v>0</v>
      </c>
      <c r="N557" s="30">
        <v>0</v>
      </c>
      <c r="Z557"/>
      <c r="AA557"/>
      <c r="AB557"/>
      <c r="AC557"/>
      <c r="AD557"/>
      <c r="AE557"/>
      <c r="AF557"/>
      <c r="AG557"/>
      <c r="AH557"/>
    </row>
    <row r="558" spans="2:35" s="27" customFormat="1" x14ac:dyDescent="0.25">
      <c r="B558" s="399">
        <v>8</v>
      </c>
      <c r="C558" s="295">
        <v>3</v>
      </c>
      <c r="D558" s="28">
        <v>4</v>
      </c>
      <c r="E558" s="28"/>
      <c r="F558" s="28">
        <v>0</v>
      </c>
      <c r="G558" s="28">
        <v>1</v>
      </c>
      <c r="H558" s="28">
        <v>4</v>
      </c>
      <c r="I558" s="28">
        <v>4</v>
      </c>
      <c r="J558" s="28"/>
      <c r="K558" s="28"/>
      <c r="L558" s="28"/>
      <c r="M558" s="28">
        <v>0</v>
      </c>
      <c r="N558" s="30">
        <v>0</v>
      </c>
      <c r="Z558"/>
      <c r="AA558"/>
      <c r="AB558"/>
      <c r="AC558"/>
      <c r="AD558"/>
      <c r="AE558"/>
      <c r="AF558"/>
      <c r="AG558"/>
      <c r="AH558"/>
    </row>
    <row r="559" spans="2:35" s="27" customFormat="1" x14ac:dyDescent="0.25">
      <c r="B559" s="399">
        <v>9</v>
      </c>
      <c r="C559" s="295">
        <v>4</v>
      </c>
      <c r="D559" s="28">
        <v>5</v>
      </c>
      <c r="E559" s="28"/>
      <c r="F559" s="28">
        <v>1</v>
      </c>
      <c r="G559" s="28">
        <v>1</v>
      </c>
      <c r="H559" s="28">
        <v>4</v>
      </c>
      <c r="I559" s="28">
        <v>5</v>
      </c>
      <c r="J559" s="28"/>
      <c r="K559" s="28"/>
      <c r="L559" s="28"/>
      <c r="M559" s="28">
        <v>0</v>
      </c>
      <c r="N559" s="30">
        <v>1</v>
      </c>
      <c r="Z559"/>
      <c r="AA559"/>
      <c r="AB559"/>
      <c r="AC559"/>
      <c r="AD559"/>
      <c r="AE559"/>
      <c r="AF559"/>
      <c r="AG559"/>
      <c r="AH559"/>
    </row>
    <row r="560" spans="2:35" s="27" customFormat="1" x14ac:dyDescent="0.25">
      <c r="B560" s="399">
        <v>10</v>
      </c>
      <c r="C560" s="295">
        <v>4</v>
      </c>
      <c r="D560" s="28">
        <v>5</v>
      </c>
      <c r="E560" s="28"/>
      <c r="F560" s="28">
        <v>2</v>
      </c>
      <c r="G560" s="28">
        <v>2</v>
      </c>
      <c r="H560" s="28">
        <v>4</v>
      </c>
      <c r="I560" s="28">
        <v>5</v>
      </c>
      <c r="J560" s="28"/>
      <c r="K560" s="28"/>
      <c r="L560" s="28"/>
      <c r="M560" s="28">
        <v>0</v>
      </c>
      <c r="N560" s="30">
        <v>1</v>
      </c>
      <c r="Z560"/>
      <c r="AA560"/>
      <c r="AB560"/>
      <c r="AC560"/>
      <c r="AD560"/>
      <c r="AE560"/>
      <c r="AF560"/>
      <c r="AG560"/>
      <c r="AH560"/>
    </row>
    <row r="561" spans="2:34" s="27" customFormat="1" x14ac:dyDescent="0.25">
      <c r="B561" s="399">
        <v>11</v>
      </c>
      <c r="C561" s="295">
        <v>5</v>
      </c>
      <c r="D561" s="28">
        <v>5</v>
      </c>
      <c r="E561" s="28"/>
      <c r="F561" s="28">
        <v>2</v>
      </c>
      <c r="G561" s="28">
        <v>2</v>
      </c>
      <c r="H561" s="28">
        <v>4</v>
      </c>
      <c r="I561" s="28">
        <v>5</v>
      </c>
      <c r="J561" s="28"/>
      <c r="K561" s="28"/>
      <c r="L561" s="28"/>
      <c r="M561" s="28">
        <v>1</v>
      </c>
      <c r="N561" s="30">
        <v>2</v>
      </c>
      <c r="Z561"/>
      <c r="AA561"/>
      <c r="AB561"/>
      <c r="AC561"/>
      <c r="AD561"/>
      <c r="AE561"/>
      <c r="AF561"/>
      <c r="AG561"/>
      <c r="AH561"/>
    </row>
    <row r="562" spans="2:34" s="27" customFormat="1" x14ac:dyDescent="0.25">
      <c r="B562" s="399">
        <v>12</v>
      </c>
      <c r="C562" s="295">
        <v>6</v>
      </c>
      <c r="D562" s="28">
        <v>5</v>
      </c>
      <c r="E562" s="28"/>
      <c r="F562" s="28">
        <v>2</v>
      </c>
      <c r="G562" s="28">
        <v>2</v>
      </c>
      <c r="H562" s="28">
        <v>4</v>
      </c>
      <c r="I562" s="28">
        <v>5</v>
      </c>
      <c r="J562" s="28"/>
      <c r="K562" s="28"/>
      <c r="L562" s="28"/>
      <c r="M562" s="28">
        <v>2</v>
      </c>
      <c r="N562" s="30">
        <v>2</v>
      </c>
      <c r="Z562"/>
      <c r="AA562"/>
      <c r="AB562"/>
      <c r="AC562"/>
      <c r="AD562"/>
      <c r="AE562"/>
      <c r="AF562"/>
      <c r="AG562"/>
      <c r="AH562"/>
    </row>
    <row r="563" spans="2:34" s="27" customFormat="1" x14ac:dyDescent="0.25">
      <c r="B563" s="399">
        <v>13</v>
      </c>
      <c r="C563" s="295">
        <v>6</v>
      </c>
      <c r="D563" s="28">
        <v>6</v>
      </c>
      <c r="E563" s="28"/>
      <c r="F563" s="28">
        <v>2</v>
      </c>
      <c r="G563" s="28">
        <v>2</v>
      </c>
      <c r="H563" s="28">
        <v>5</v>
      </c>
      <c r="I563" s="28">
        <v>5</v>
      </c>
      <c r="J563" s="28"/>
      <c r="K563" s="28"/>
      <c r="L563" s="28"/>
      <c r="M563" s="28">
        <v>3</v>
      </c>
      <c r="N563" s="30">
        <v>2</v>
      </c>
      <c r="Z563"/>
      <c r="AA563"/>
      <c r="AB563"/>
      <c r="AC563"/>
      <c r="AD563"/>
      <c r="AE563"/>
      <c r="AF563"/>
      <c r="AG563"/>
      <c r="AH563"/>
    </row>
    <row r="564" spans="2:34" s="27" customFormat="1" x14ac:dyDescent="0.25">
      <c r="B564" s="399">
        <v>14</v>
      </c>
      <c r="C564" s="295">
        <v>6</v>
      </c>
      <c r="D564" s="28">
        <v>6</v>
      </c>
      <c r="E564" s="28"/>
      <c r="F564" s="28">
        <v>3</v>
      </c>
      <c r="G564" s="28">
        <v>2</v>
      </c>
      <c r="H564" s="28">
        <v>5</v>
      </c>
      <c r="I564" s="28">
        <v>5</v>
      </c>
      <c r="J564" s="28"/>
      <c r="K564" s="28"/>
      <c r="L564" s="28"/>
      <c r="M564" s="28">
        <v>3</v>
      </c>
      <c r="N564" s="30">
        <v>2</v>
      </c>
      <c r="Z564"/>
      <c r="AA564"/>
      <c r="AB564"/>
      <c r="AC564"/>
      <c r="AD564"/>
      <c r="AE564"/>
      <c r="AF564"/>
      <c r="AG564"/>
      <c r="AH564"/>
    </row>
    <row r="565" spans="2:34" s="27" customFormat="1" x14ac:dyDescent="0.25">
      <c r="B565" s="399">
        <v>15</v>
      </c>
      <c r="C565" s="295">
        <v>7</v>
      </c>
      <c r="D565" s="28">
        <v>6</v>
      </c>
      <c r="E565" s="28"/>
      <c r="F565" s="28">
        <v>3</v>
      </c>
      <c r="G565" s="28">
        <v>2</v>
      </c>
      <c r="H565" s="28">
        <v>5</v>
      </c>
      <c r="I565" s="28">
        <v>5</v>
      </c>
      <c r="J565" s="28"/>
      <c r="K565" s="28"/>
      <c r="L565" s="28"/>
      <c r="M565" s="28">
        <v>3</v>
      </c>
      <c r="N565" s="30">
        <v>2</v>
      </c>
      <c r="Z565"/>
      <c r="AA565"/>
      <c r="AB565"/>
      <c r="AC565"/>
      <c r="AD565"/>
      <c r="AE565"/>
      <c r="AF565"/>
      <c r="AG565"/>
      <c r="AH565"/>
    </row>
    <row r="566" spans="2:34" s="27" customFormat="1" x14ac:dyDescent="0.25">
      <c r="B566" s="399">
        <v>16</v>
      </c>
      <c r="C566" s="295">
        <v>7</v>
      </c>
      <c r="D566" s="28">
        <v>6</v>
      </c>
      <c r="E566" s="28"/>
      <c r="F566" s="28">
        <v>3</v>
      </c>
      <c r="G566" s="28">
        <v>2</v>
      </c>
      <c r="H566" s="28">
        <v>5</v>
      </c>
      <c r="I566" s="28">
        <v>5</v>
      </c>
      <c r="J566" s="28"/>
      <c r="K566" s="28"/>
      <c r="L566" s="28"/>
      <c r="M566" s="28">
        <v>3</v>
      </c>
      <c r="N566" s="30">
        <v>2</v>
      </c>
      <c r="Z566"/>
      <c r="AA566"/>
      <c r="AB566"/>
      <c r="AC566"/>
      <c r="AD566"/>
      <c r="AE566"/>
      <c r="AF566"/>
      <c r="AG566"/>
      <c r="AH566"/>
    </row>
    <row r="567" spans="2:34" s="27" customFormat="1" x14ac:dyDescent="0.25">
      <c r="B567" s="399">
        <v>17</v>
      </c>
      <c r="C567" s="295">
        <v>8</v>
      </c>
      <c r="D567" s="28">
        <v>6</v>
      </c>
      <c r="E567" s="28"/>
      <c r="F567" s="28">
        <v>3</v>
      </c>
      <c r="G567" s="28">
        <v>2</v>
      </c>
      <c r="H567" s="28">
        <v>5</v>
      </c>
      <c r="I567" s="28">
        <v>5</v>
      </c>
      <c r="J567" s="28"/>
      <c r="K567" s="28"/>
      <c r="L567" s="28"/>
      <c r="M567" s="28">
        <v>3</v>
      </c>
      <c r="N567" s="30">
        <v>2</v>
      </c>
      <c r="Z567"/>
      <c r="AA567"/>
      <c r="AB567"/>
      <c r="AC567"/>
      <c r="AD567"/>
      <c r="AE567"/>
      <c r="AF567"/>
      <c r="AG567"/>
      <c r="AH567"/>
    </row>
    <row r="568" spans="2:34" s="27" customFormat="1" x14ac:dyDescent="0.25">
      <c r="B568" s="399">
        <v>18</v>
      </c>
      <c r="C568" s="295">
        <v>8</v>
      </c>
      <c r="D568" s="28">
        <v>6</v>
      </c>
      <c r="E568" s="28"/>
      <c r="F568" s="28">
        <v>3</v>
      </c>
      <c r="G568" s="28">
        <v>2</v>
      </c>
      <c r="H568" s="28">
        <v>5</v>
      </c>
      <c r="I568" s="28">
        <v>5</v>
      </c>
      <c r="J568" s="28"/>
      <c r="K568" s="28"/>
      <c r="L568" s="28"/>
      <c r="M568" s="28">
        <v>3</v>
      </c>
      <c r="N568" s="30">
        <v>2</v>
      </c>
      <c r="Z568"/>
      <c r="AA568"/>
      <c r="AB568"/>
      <c r="AC568"/>
      <c r="AD568"/>
      <c r="AE568"/>
      <c r="AF568"/>
      <c r="AG568"/>
      <c r="AH568"/>
    </row>
    <row r="569" spans="2:34" s="27" customFormat="1" x14ac:dyDescent="0.25">
      <c r="B569" s="399">
        <v>19</v>
      </c>
      <c r="C569" s="295">
        <v>9</v>
      </c>
      <c r="D569" s="28">
        <v>6</v>
      </c>
      <c r="E569" s="28"/>
      <c r="F569" s="28">
        <v>3</v>
      </c>
      <c r="G569" s="28">
        <v>2</v>
      </c>
      <c r="H569" s="28">
        <v>5</v>
      </c>
      <c r="I569" s="28">
        <v>5</v>
      </c>
      <c r="J569" s="28"/>
      <c r="K569" s="28"/>
      <c r="L569" s="28"/>
      <c r="M569" s="28">
        <v>3</v>
      </c>
      <c r="N569" s="30">
        <v>2</v>
      </c>
      <c r="Z569"/>
      <c r="AA569"/>
      <c r="AB569"/>
      <c r="AC569"/>
      <c r="AD569"/>
      <c r="AE569"/>
      <c r="AF569"/>
      <c r="AG569"/>
      <c r="AH569"/>
    </row>
    <row r="570" spans="2:34" s="27" customFormat="1" x14ac:dyDescent="0.25">
      <c r="B570" s="399">
        <v>20</v>
      </c>
      <c r="C570" s="295">
        <v>9</v>
      </c>
      <c r="D570" s="28">
        <v>6</v>
      </c>
      <c r="E570" s="28"/>
      <c r="F570" s="28">
        <v>3</v>
      </c>
      <c r="G570" s="28">
        <v>2</v>
      </c>
      <c r="H570" s="28">
        <v>5</v>
      </c>
      <c r="I570" s="28">
        <v>5</v>
      </c>
      <c r="J570" s="28"/>
      <c r="K570" s="28"/>
      <c r="L570" s="28"/>
      <c r="M570" s="28">
        <v>3</v>
      </c>
      <c r="N570" s="30">
        <v>2</v>
      </c>
      <c r="Z570"/>
      <c r="AA570"/>
      <c r="AB570"/>
      <c r="AC570"/>
      <c r="AD570"/>
      <c r="AE570"/>
      <c r="AF570"/>
      <c r="AG570"/>
      <c r="AH570"/>
    </row>
    <row r="571" spans="2:34" s="27" customFormat="1" x14ac:dyDescent="0.25">
      <c r="B571" s="399">
        <v>21</v>
      </c>
      <c r="C571" s="295">
        <v>9</v>
      </c>
      <c r="D571" s="28">
        <v>6</v>
      </c>
      <c r="E571" s="28"/>
      <c r="F571" s="28">
        <v>3</v>
      </c>
      <c r="G571" s="28">
        <v>2</v>
      </c>
      <c r="H571" s="28">
        <v>5</v>
      </c>
      <c r="I571" s="28">
        <v>5</v>
      </c>
      <c r="J571" s="28"/>
      <c r="K571" s="28"/>
      <c r="L571" s="28"/>
      <c r="M571" s="28">
        <v>3</v>
      </c>
      <c r="N571" s="30">
        <v>2</v>
      </c>
      <c r="Z571"/>
      <c r="AA571"/>
      <c r="AB571"/>
      <c r="AC571"/>
      <c r="AD571"/>
      <c r="AE571"/>
      <c r="AF571"/>
      <c r="AG571"/>
      <c r="AH571"/>
    </row>
    <row r="572" spans="2:34" s="27" customFormat="1" x14ac:dyDescent="0.25">
      <c r="B572" s="399">
        <v>22</v>
      </c>
      <c r="C572" s="295">
        <v>9</v>
      </c>
      <c r="D572" s="28">
        <v>6</v>
      </c>
      <c r="E572" s="28"/>
      <c r="F572" s="28">
        <v>3</v>
      </c>
      <c r="G572" s="28">
        <v>2</v>
      </c>
      <c r="H572" s="28">
        <v>5</v>
      </c>
      <c r="I572" s="28">
        <v>5</v>
      </c>
      <c r="J572" s="28"/>
      <c r="K572" s="28"/>
      <c r="L572" s="28"/>
      <c r="M572" s="28">
        <v>3</v>
      </c>
      <c r="N572" s="30">
        <v>2</v>
      </c>
      <c r="Z572"/>
      <c r="AA572"/>
      <c r="AB572"/>
      <c r="AC572"/>
      <c r="AD572"/>
      <c r="AE572"/>
      <c r="AF572"/>
      <c r="AG572"/>
      <c r="AH572"/>
    </row>
    <row r="573" spans="2:34" s="27" customFormat="1" x14ac:dyDescent="0.25">
      <c r="B573" s="399">
        <v>23</v>
      </c>
      <c r="C573" s="295">
        <v>9</v>
      </c>
      <c r="D573" s="28">
        <v>6</v>
      </c>
      <c r="E573" s="28"/>
      <c r="F573" s="28">
        <v>3</v>
      </c>
      <c r="G573" s="28">
        <v>2</v>
      </c>
      <c r="H573" s="28">
        <v>5</v>
      </c>
      <c r="I573" s="28">
        <v>5</v>
      </c>
      <c r="J573" s="28"/>
      <c r="K573" s="28"/>
      <c r="L573" s="28"/>
      <c r="M573" s="28">
        <v>3</v>
      </c>
      <c r="N573" s="30">
        <v>2</v>
      </c>
      <c r="Z573"/>
      <c r="AA573"/>
      <c r="AB573"/>
      <c r="AC573"/>
      <c r="AD573"/>
      <c r="AE573"/>
      <c r="AF573"/>
      <c r="AG573"/>
      <c r="AH573"/>
    </row>
    <row r="574" spans="2:34" s="27" customFormat="1" x14ac:dyDescent="0.25">
      <c r="B574" s="399">
        <v>24</v>
      </c>
      <c r="C574" s="295">
        <v>9</v>
      </c>
      <c r="D574" s="28"/>
      <c r="E574" s="28"/>
      <c r="F574" s="28">
        <v>3</v>
      </c>
      <c r="G574" s="28">
        <v>2</v>
      </c>
      <c r="H574" s="28">
        <v>5</v>
      </c>
      <c r="I574" s="28">
        <v>6</v>
      </c>
      <c r="J574" s="28"/>
      <c r="K574" s="28"/>
      <c r="L574" s="28"/>
      <c r="M574" s="28">
        <v>3</v>
      </c>
      <c r="N574" s="30">
        <v>2</v>
      </c>
      <c r="Z574"/>
      <c r="AA574"/>
      <c r="AB574"/>
      <c r="AC574"/>
      <c r="AD574"/>
      <c r="AE574"/>
      <c r="AF574"/>
      <c r="AG574"/>
      <c r="AH574"/>
    </row>
    <row r="575" spans="2:34" s="27" customFormat="1" x14ac:dyDescent="0.25">
      <c r="B575" s="399">
        <v>25</v>
      </c>
      <c r="C575" s="295">
        <v>9</v>
      </c>
      <c r="D575" s="28"/>
      <c r="E575" s="28"/>
      <c r="F575" s="28">
        <v>3</v>
      </c>
      <c r="G575" s="28">
        <v>2</v>
      </c>
      <c r="H575" s="28">
        <v>5</v>
      </c>
      <c r="I575" s="28">
        <v>6</v>
      </c>
      <c r="J575" s="28"/>
      <c r="K575" s="28"/>
      <c r="L575" s="28"/>
      <c r="M575" s="28">
        <v>3</v>
      </c>
      <c r="N575" s="30">
        <v>2</v>
      </c>
      <c r="Z575"/>
      <c r="AA575"/>
      <c r="AB575"/>
      <c r="AC575"/>
      <c r="AD575"/>
      <c r="AE575"/>
      <c r="AF575"/>
      <c r="AG575"/>
      <c r="AH575"/>
    </row>
    <row r="576" spans="2:34" s="27" customFormat="1" x14ac:dyDescent="0.25">
      <c r="B576" s="399">
        <v>26</v>
      </c>
      <c r="C576" s="295">
        <v>9</v>
      </c>
      <c r="D576" s="28"/>
      <c r="E576" s="28"/>
      <c r="F576" s="28">
        <v>3</v>
      </c>
      <c r="G576" s="28">
        <v>2</v>
      </c>
      <c r="H576" s="28">
        <v>6</v>
      </c>
      <c r="I576" s="28">
        <v>7</v>
      </c>
      <c r="J576" s="28"/>
      <c r="K576" s="28"/>
      <c r="L576" s="28"/>
      <c r="M576" s="28">
        <v>4</v>
      </c>
      <c r="N576" s="30">
        <v>2</v>
      </c>
      <c r="Z576"/>
      <c r="AA576"/>
      <c r="AB576"/>
      <c r="AC576"/>
      <c r="AD576"/>
      <c r="AE576"/>
      <c r="AF576"/>
      <c r="AG576"/>
      <c r="AH576"/>
    </row>
    <row r="577" spans="2:34" s="27" customFormat="1" x14ac:dyDescent="0.25">
      <c r="B577" s="399">
        <v>27</v>
      </c>
      <c r="C577" s="295">
        <v>9</v>
      </c>
      <c r="D577" s="28"/>
      <c r="E577" s="28"/>
      <c r="F577" s="28">
        <v>3</v>
      </c>
      <c r="G577" s="28">
        <v>2</v>
      </c>
      <c r="H577" s="28">
        <v>6</v>
      </c>
      <c r="I577" s="28">
        <v>7</v>
      </c>
      <c r="J577" s="28"/>
      <c r="K577" s="28"/>
      <c r="L577" s="28"/>
      <c r="M577" s="28">
        <v>4</v>
      </c>
      <c r="N577" s="30">
        <v>2</v>
      </c>
      <c r="Z577"/>
      <c r="AA577"/>
      <c r="AB577"/>
      <c r="AC577"/>
      <c r="AD577"/>
      <c r="AE577"/>
      <c r="AF577"/>
      <c r="AG577"/>
      <c r="AH577"/>
    </row>
    <row r="578" spans="2:34" s="27" customFormat="1" x14ac:dyDescent="0.25">
      <c r="B578" s="399">
        <v>28</v>
      </c>
      <c r="C578" s="295">
        <v>9</v>
      </c>
      <c r="D578" s="28"/>
      <c r="E578" s="28"/>
      <c r="F578" s="28">
        <v>3</v>
      </c>
      <c r="G578" s="28">
        <v>2</v>
      </c>
      <c r="H578" s="28">
        <v>6</v>
      </c>
      <c r="I578" s="28">
        <v>7</v>
      </c>
      <c r="J578" s="28"/>
      <c r="K578" s="28"/>
      <c r="L578" s="28"/>
      <c r="M578" s="28">
        <v>4</v>
      </c>
      <c r="N578" s="30">
        <v>2</v>
      </c>
      <c r="Z578"/>
      <c r="AA578"/>
      <c r="AB578"/>
      <c r="AC578"/>
      <c r="AD578"/>
      <c r="AE578"/>
      <c r="AF578"/>
      <c r="AG578"/>
      <c r="AH578"/>
    </row>
    <row r="579" spans="2:34" s="27" customFormat="1" x14ac:dyDescent="0.25">
      <c r="B579" s="399">
        <v>29</v>
      </c>
      <c r="C579" s="295">
        <v>9</v>
      </c>
      <c r="D579" s="28"/>
      <c r="E579" s="28"/>
      <c r="F579" s="28">
        <v>3</v>
      </c>
      <c r="G579" s="28">
        <v>2</v>
      </c>
      <c r="H579" s="28">
        <v>7</v>
      </c>
      <c r="I579" s="28">
        <v>8</v>
      </c>
      <c r="J579" s="28"/>
      <c r="K579" s="28"/>
      <c r="L579" s="28"/>
      <c r="M579" s="28">
        <v>5</v>
      </c>
      <c r="N579" s="30">
        <v>2</v>
      </c>
      <c r="Z579"/>
      <c r="AA579"/>
      <c r="AB579"/>
      <c r="AC579"/>
      <c r="AD579"/>
      <c r="AE579"/>
      <c r="AF579"/>
      <c r="AG579"/>
      <c r="AH579"/>
    </row>
    <row r="580" spans="2:34" s="27" customFormat="1" x14ac:dyDescent="0.25">
      <c r="B580" s="399">
        <v>30</v>
      </c>
      <c r="C580" s="295">
        <v>9</v>
      </c>
      <c r="D580" s="28"/>
      <c r="E580" s="28"/>
      <c r="F580" s="28">
        <v>3</v>
      </c>
      <c r="G580" s="28">
        <v>2</v>
      </c>
      <c r="H580" s="28">
        <v>7</v>
      </c>
      <c r="I580" s="28">
        <v>8</v>
      </c>
      <c r="J580" s="28"/>
      <c r="K580" s="28"/>
      <c r="L580" s="28"/>
      <c r="M580" s="28">
        <v>5</v>
      </c>
      <c r="N580" s="30">
        <v>2</v>
      </c>
      <c r="Z580"/>
      <c r="AA580"/>
      <c r="AB580"/>
      <c r="AC580"/>
      <c r="AD580"/>
      <c r="AE580"/>
      <c r="AF580"/>
      <c r="AG580"/>
      <c r="AH580"/>
    </row>
    <row r="581" spans="2:34" s="27" customFormat="1" x14ac:dyDescent="0.25">
      <c r="B581" s="399">
        <v>31</v>
      </c>
      <c r="C581" s="295">
        <v>9</v>
      </c>
      <c r="D581" s="28"/>
      <c r="E581" s="28"/>
      <c r="F581" s="28">
        <v>3</v>
      </c>
      <c r="G581" s="28">
        <v>2</v>
      </c>
      <c r="H581" s="28">
        <v>7</v>
      </c>
      <c r="I581" s="28">
        <v>8</v>
      </c>
      <c r="J581" s="28"/>
      <c r="K581" s="28"/>
      <c r="L581" s="28"/>
      <c r="M581" s="28">
        <v>5</v>
      </c>
      <c r="N581" s="30">
        <v>2</v>
      </c>
      <c r="Z581"/>
      <c r="AA581"/>
      <c r="AB581"/>
      <c r="AC581"/>
      <c r="AD581"/>
      <c r="AE581"/>
      <c r="AF581"/>
      <c r="AG581"/>
      <c r="AH581"/>
    </row>
    <row r="582" spans="2:34" s="27" customFormat="1" x14ac:dyDescent="0.25">
      <c r="B582" s="399">
        <v>32</v>
      </c>
      <c r="C582" s="295">
        <v>9</v>
      </c>
      <c r="D582" s="28"/>
      <c r="E582" s="28"/>
      <c r="F582" s="28">
        <v>3</v>
      </c>
      <c r="G582" s="28">
        <v>2</v>
      </c>
      <c r="H582" s="28">
        <v>8</v>
      </c>
      <c r="I582" s="28">
        <v>9</v>
      </c>
      <c r="J582" s="28"/>
      <c r="K582" s="28"/>
      <c r="L582" s="28"/>
      <c r="M582" s="28">
        <v>5</v>
      </c>
      <c r="N582" s="30">
        <v>2</v>
      </c>
      <c r="Z582"/>
      <c r="AA582"/>
      <c r="AB582"/>
      <c r="AC582"/>
      <c r="AD582"/>
      <c r="AE582"/>
      <c r="AF582"/>
      <c r="AG582"/>
      <c r="AH582"/>
    </row>
    <row r="583" spans="2:34" s="27" customFormat="1" x14ac:dyDescent="0.25">
      <c r="B583" s="399">
        <v>33</v>
      </c>
      <c r="C583" s="295">
        <v>9</v>
      </c>
      <c r="D583" s="28"/>
      <c r="E583" s="28"/>
      <c r="F583" s="28">
        <v>3</v>
      </c>
      <c r="G583" s="28">
        <v>2</v>
      </c>
      <c r="H583" s="28">
        <v>8</v>
      </c>
      <c r="I583" s="28">
        <v>9</v>
      </c>
      <c r="J583" s="28"/>
      <c r="K583" s="28"/>
      <c r="L583" s="28"/>
      <c r="M583" s="28">
        <v>5</v>
      </c>
      <c r="N583" s="30">
        <v>2</v>
      </c>
      <c r="Z583"/>
      <c r="AA583"/>
      <c r="AB583"/>
      <c r="AC583"/>
      <c r="AD583"/>
      <c r="AE583"/>
      <c r="AF583"/>
      <c r="AG583"/>
      <c r="AH583"/>
    </row>
    <row r="584" spans="2:34" s="27" customFormat="1" x14ac:dyDescent="0.25">
      <c r="B584" s="399">
        <v>34</v>
      </c>
      <c r="C584" s="295">
        <v>9</v>
      </c>
      <c r="D584" s="28"/>
      <c r="E584" s="28"/>
      <c r="F584" s="28">
        <v>3</v>
      </c>
      <c r="G584" s="28">
        <v>2</v>
      </c>
      <c r="H584" s="28">
        <v>8</v>
      </c>
      <c r="I584" s="28">
        <v>9</v>
      </c>
      <c r="J584" s="28"/>
      <c r="K584" s="28"/>
      <c r="L584" s="28"/>
      <c r="M584" s="28"/>
      <c r="N584" s="30">
        <v>2</v>
      </c>
      <c r="Z584"/>
      <c r="AA584"/>
      <c r="AB584"/>
      <c r="AC584"/>
      <c r="AD584"/>
      <c r="AE584"/>
      <c r="AF584"/>
      <c r="AG584"/>
      <c r="AH584"/>
    </row>
    <row r="585" spans="2:34" s="27" customFormat="1" x14ac:dyDescent="0.25">
      <c r="B585" s="399">
        <v>35</v>
      </c>
      <c r="C585" s="295">
        <v>9</v>
      </c>
      <c r="D585" s="28"/>
      <c r="E585" s="28"/>
      <c r="F585" s="28">
        <v>3</v>
      </c>
      <c r="G585" s="28">
        <v>2</v>
      </c>
      <c r="H585" s="28">
        <v>9</v>
      </c>
      <c r="I585" s="28">
        <v>9</v>
      </c>
      <c r="J585" s="28"/>
      <c r="K585" s="28"/>
      <c r="L585" s="28"/>
      <c r="M585" s="28"/>
      <c r="N585" s="30">
        <v>2</v>
      </c>
      <c r="Z585"/>
      <c r="AA585"/>
      <c r="AB585"/>
      <c r="AC585"/>
      <c r="AD585"/>
      <c r="AE585"/>
      <c r="AF585"/>
      <c r="AG585"/>
      <c r="AH585"/>
    </row>
    <row r="586" spans="2:34" s="27" customFormat="1" ht="15.75" thickBot="1" x14ac:dyDescent="0.3">
      <c r="B586" s="400">
        <v>36</v>
      </c>
      <c r="C586" s="296">
        <v>9</v>
      </c>
      <c r="D586" s="32"/>
      <c r="E586" s="32"/>
      <c r="F586" s="32">
        <v>3</v>
      </c>
      <c r="G586" s="32">
        <v>2</v>
      </c>
      <c r="H586" s="32">
        <v>9</v>
      </c>
      <c r="I586" s="32">
        <v>9</v>
      </c>
      <c r="J586" s="32"/>
      <c r="K586" s="32"/>
      <c r="L586" s="32"/>
      <c r="M586" s="32"/>
      <c r="N586" s="33">
        <v>2</v>
      </c>
      <c r="Z586"/>
      <c r="AA586"/>
      <c r="AB586"/>
      <c r="AC586"/>
      <c r="AD586"/>
      <c r="AE586"/>
      <c r="AF586"/>
      <c r="AG586"/>
      <c r="AH586"/>
    </row>
    <row r="587" spans="2:34" s="27" customFormat="1" ht="15.75" thickBot="1" x14ac:dyDescent="0.3">
      <c r="B587" s="26"/>
      <c r="Z587"/>
      <c r="AA587"/>
      <c r="AB587"/>
      <c r="AC587"/>
      <c r="AD587"/>
      <c r="AE587"/>
      <c r="AF587"/>
      <c r="AG587"/>
      <c r="AH587"/>
    </row>
    <row r="588" spans="2:34" s="42" customFormat="1" ht="15.75" thickBot="1" x14ac:dyDescent="0.3">
      <c r="B588" s="243" t="s">
        <v>611</v>
      </c>
      <c r="C588" s="242" t="s">
        <v>63</v>
      </c>
      <c r="D588" s="138" t="s">
        <v>64</v>
      </c>
      <c r="E588" s="138" t="s">
        <v>65</v>
      </c>
      <c r="F588" s="138" t="s">
        <v>66</v>
      </c>
      <c r="G588" s="138" t="s">
        <v>67</v>
      </c>
      <c r="H588" s="138" t="s">
        <v>68</v>
      </c>
      <c r="I588" s="138" t="s">
        <v>247</v>
      </c>
      <c r="J588" s="138" t="s">
        <v>69</v>
      </c>
      <c r="K588" s="138" t="s">
        <v>70</v>
      </c>
      <c r="L588" s="138" t="s">
        <v>333</v>
      </c>
      <c r="M588" s="138" t="s">
        <v>334</v>
      </c>
      <c r="N588" s="139" t="s">
        <v>619</v>
      </c>
      <c r="Z588" s="26"/>
      <c r="AA588" s="26"/>
      <c r="AB588" s="26"/>
      <c r="AC588" s="26"/>
      <c r="AD588" s="26"/>
      <c r="AE588" s="26"/>
      <c r="AF588" s="26"/>
      <c r="AG588" s="26"/>
      <c r="AH588" s="26"/>
    </row>
    <row r="589" spans="2:34" s="27" customFormat="1" x14ac:dyDescent="0.25">
      <c r="B589" s="398">
        <v>1</v>
      </c>
      <c r="C589" s="397">
        <v>0</v>
      </c>
      <c r="D589" s="133">
        <v>0</v>
      </c>
      <c r="E589" s="133"/>
      <c r="F589" s="133">
        <v>0</v>
      </c>
      <c r="G589" s="133">
        <v>0</v>
      </c>
      <c r="H589" s="133">
        <v>0</v>
      </c>
      <c r="I589" s="133">
        <v>0</v>
      </c>
      <c r="J589" s="133"/>
      <c r="K589" s="133"/>
      <c r="L589" s="133"/>
      <c r="M589" s="133">
        <v>0</v>
      </c>
      <c r="N589" s="136">
        <v>0</v>
      </c>
      <c r="Z589"/>
      <c r="AA589"/>
      <c r="AB589"/>
      <c r="AC589"/>
      <c r="AD589"/>
      <c r="AE589"/>
      <c r="AF589"/>
      <c r="AG589"/>
      <c r="AH589"/>
    </row>
    <row r="590" spans="2:34" s="27" customFormat="1" x14ac:dyDescent="0.25">
      <c r="B590" s="399">
        <v>2</v>
      </c>
      <c r="C590" s="295">
        <v>0</v>
      </c>
      <c r="D590" s="28">
        <v>1</v>
      </c>
      <c r="E590" s="28"/>
      <c r="F590" s="28">
        <v>0</v>
      </c>
      <c r="G590" s="28">
        <v>0</v>
      </c>
      <c r="H590" s="28">
        <v>0</v>
      </c>
      <c r="I590" s="28">
        <v>0</v>
      </c>
      <c r="J590" s="28"/>
      <c r="K590" s="28"/>
      <c r="L590" s="28"/>
      <c r="M590" s="28">
        <v>0</v>
      </c>
      <c r="N590" s="30">
        <v>0</v>
      </c>
      <c r="Z590"/>
      <c r="AA590"/>
      <c r="AB590"/>
      <c r="AC590"/>
      <c r="AD590"/>
      <c r="AE590"/>
      <c r="AF590"/>
      <c r="AG590"/>
      <c r="AH590"/>
    </row>
    <row r="591" spans="2:34" s="27" customFormat="1" x14ac:dyDescent="0.25">
      <c r="B591" s="399">
        <v>3</v>
      </c>
      <c r="C591" s="295">
        <v>1</v>
      </c>
      <c r="D591" s="28">
        <v>2</v>
      </c>
      <c r="E591" s="28"/>
      <c r="F591" s="28">
        <v>0</v>
      </c>
      <c r="G591" s="28">
        <v>0</v>
      </c>
      <c r="H591" s="28">
        <v>1</v>
      </c>
      <c r="I591" s="28">
        <v>1</v>
      </c>
      <c r="J591" s="28"/>
      <c r="K591" s="28"/>
      <c r="L591" s="28"/>
      <c r="M591" s="28">
        <v>0</v>
      </c>
      <c r="N591" s="30">
        <v>0</v>
      </c>
      <c r="Z591"/>
      <c r="AA591"/>
      <c r="AB591"/>
      <c r="AC591"/>
      <c r="AD591"/>
      <c r="AE591"/>
      <c r="AF591"/>
      <c r="AG591"/>
      <c r="AH591"/>
    </row>
    <row r="592" spans="2:34" s="27" customFormat="1" x14ac:dyDescent="0.25">
      <c r="B592" s="399">
        <v>4</v>
      </c>
      <c r="C592" s="295">
        <v>2</v>
      </c>
      <c r="D592" s="28">
        <v>2</v>
      </c>
      <c r="E592" s="28"/>
      <c r="F592" s="28">
        <v>0</v>
      </c>
      <c r="G592" s="28">
        <v>0</v>
      </c>
      <c r="H592" s="28">
        <v>2</v>
      </c>
      <c r="I592" s="28">
        <v>2</v>
      </c>
      <c r="J592" s="28"/>
      <c r="K592" s="28"/>
      <c r="L592" s="28"/>
      <c r="M592" s="28">
        <v>0</v>
      </c>
      <c r="N592" s="30">
        <v>0</v>
      </c>
      <c r="Z592"/>
      <c r="AA592"/>
      <c r="AB592"/>
      <c r="AC592"/>
      <c r="AD592"/>
      <c r="AE592"/>
      <c r="AF592"/>
      <c r="AG592"/>
      <c r="AH592"/>
    </row>
    <row r="593" spans="2:34" s="27" customFormat="1" x14ac:dyDescent="0.25">
      <c r="B593" s="399">
        <v>5</v>
      </c>
      <c r="C593" s="295">
        <v>3</v>
      </c>
      <c r="D593" s="28">
        <v>3</v>
      </c>
      <c r="E593" s="28"/>
      <c r="F593" s="28">
        <v>0</v>
      </c>
      <c r="G593" s="28">
        <v>0</v>
      </c>
      <c r="H593" s="28">
        <v>2</v>
      </c>
      <c r="I593" s="28">
        <v>2</v>
      </c>
      <c r="J593" s="28"/>
      <c r="K593" s="28"/>
      <c r="L593" s="28"/>
      <c r="M593" s="28">
        <v>0</v>
      </c>
      <c r="N593" s="30">
        <v>0</v>
      </c>
      <c r="Z593"/>
      <c r="AA593"/>
      <c r="AB593"/>
      <c r="AC593"/>
      <c r="AD593"/>
      <c r="AE593"/>
      <c r="AF593"/>
      <c r="AG593"/>
      <c r="AH593"/>
    </row>
    <row r="594" spans="2:34" s="27" customFormat="1" x14ac:dyDescent="0.25">
      <c r="B594" s="399">
        <v>6</v>
      </c>
      <c r="C594" s="295">
        <v>3</v>
      </c>
      <c r="D594" s="28">
        <v>3</v>
      </c>
      <c r="E594" s="28"/>
      <c r="F594" s="28">
        <v>0</v>
      </c>
      <c r="G594" s="28">
        <v>0</v>
      </c>
      <c r="H594" s="28">
        <v>2</v>
      </c>
      <c r="I594" s="28">
        <v>3</v>
      </c>
      <c r="J594" s="28"/>
      <c r="K594" s="28"/>
      <c r="L594" s="28"/>
      <c r="M594" s="28">
        <v>0</v>
      </c>
      <c r="N594" s="30">
        <v>0</v>
      </c>
      <c r="Z594"/>
      <c r="AA594"/>
      <c r="AB594"/>
      <c r="AC594"/>
      <c r="AD594"/>
      <c r="AE594"/>
      <c r="AF594"/>
      <c r="AG594"/>
      <c r="AH594"/>
    </row>
    <row r="595" spans="2:34" s="27" customFormat="1" x14ac:dyDescent="0.25">
      <c r="B595" s="399">
        <v>7</v>
      </c>
      <c r="C595" s="295">
        <v>3</v>
      </c>
      <c r="D595" s="28">
        <v>4</v>
      </c>
      <c r="E595" s="28"/>
      <c r="F595" s="28">
        <v>0</v>
      </c>
      <c r="G595" s="28">
        <v>0</v>
      </c>
      <c r="H595" s="28">
        <v>3</v>
      </c>
      <c r="I595" s="28">
        <v>3</v>
      </c>
      <c r="J595" s="28"/>
      <c r="K595" s="28"/>
      <c r="L595" s="28"/>
      <c r="M595" s="28">
        <v>0</v>
      </c>
      <c r="N595" s="30">
        <v>0</v>
      </c>
      <c r="Z595"/>
      <c r="AA595"/>
      <c r="AB595"/>
      <c r="AC595"/>
      <c r="AD595"/>
      <c r="AE595"/>
      <c r="AF595"/>
      <c r="AG595"/>
      <c r="AH595"/>
    </row>
    <row r="596" spans="2:34" s="27" customFormat="1" x14ac:dyDescent="0.25">
      <c r="B596" s="399">
        <v>8</v>
      </c>
      <c r="C596" s="295">
        <v>3</v>
      </c>
      <c r="D596" s="28">
        <v>4</v>
      </c>
      <c r="E596" s="28"/>
      <c r="F596" s="28">
        <v>0</v>
      </c>
      <c r="G596" s="28">
        <v>0</v>
      </c>
      <c r="H596" s="28">
        <v>3</v>
      </c>
      <c r="I596" s="28">
        <v>3</v>
      </c>
      <c r="J596" s="28"/>
      <c r="K596" s="28"/>
      <c r="L596" s="28"/>
      <c r="M596" s="28">
        <v>0</v>
      </c>
      <c r="N596" s="30">
        <v>0</v>
      </c>
      <c r="Z596"/>
      <c r="AA596"/>
      <c r="AB596"/>
      <c r="AC596"/>
      <c r="AD596"/>
      <c r="AE596"/>
      <c r="AF596"/>
      <c r="AG596"/>
      <c r="AH596"/>
    </row>
    <row r="597" spans="2:34" s="27" customFormat="1" x14ac:dyDescent="0.25">
      <c r="B597" s="399">
        <v>9</v>
      </c>
      <c r="C597" s="295">
        <v>4</v>
      </c>
      <c r="D597" s="28">
        <v>4</v>
      </c>
      <c r="E597" s="28"/>
      <c r="F597" s="28">
        <v>0</v>
      </c>
      <c r="G597" s="28">
        <v>0</v>
      </c>
      <c r="H597" s="28">
        <v>3</v>
      </c>
      <c r="I597" s="28">
        <v>3</v>
      </c>
      <c r="J597" s="28"/>
      <c r="K597" s="28"/>
      <c r="L597" s="28"/>
      <c r="M597" s="28">
        <v>0</v>
      </c>
      <c r="N597" s="30">
        <v>0</v>
      </c>
      <c r="Z597"/>
      <c r="AA597"/>
      <c r="AB597"/>
      <c r="AC597"/>
      <c r="AD597"/>
      <c r="AE597"/>
      <c r="AF597"/>
      <c r="AG597"/>
      <c r="AH597"/>
    </row>
    <row r="598" spans="2:34" s="27" customFormat="1" x14ac:dyDescent="0.25">
      <c r="B598" s="399">
        <v>10</v>
      </c>
      <c r="C598" s="295">
        <v>4</v>
      </c>
      <c r="D598" s="28">
        <v>4</v>
      </c>
      <c r="E598" s="28"/>
      <c r="F598" s="28">
        <v>0</v>
      </c>
      <c r="G598" s="28">
        <v>0</v>
      </c>
      <c r="H598" s="28">
        <v>4</v>
      </c>
      <c r="I598" s="28">
        <v>4</v>
      </c>
      <c r="J598" s="28"/>
      <c r="K598" s="28"/>
      <c r="L598" s="28"/>
      <c r="M598" s="28">
        <v>0</v>
      </c>
      <c r="N598" s="30">
        <v>0</v>
      </c>
      <c r="Z598"/>
      <c r="AA598"/>
      <c r="AB598"/>
      <c r="AC598"/>
      <c r="AD598"/>
      <c r="AE598"/>
      <c r="AF598"/>
      <c r="AG598"/>
      <c r="AH598"/>
    </row>
    <row r="599" spans="2:34" s="27" customFormat="1" x14ac:dyDescent="0.25">
      <c r="B599" s="399">
        <v>11</v>
      </c>
      <c r="C599" s="295">
        <v>5</v>
      </c>
      <c r="D599" s="28">
        <v>5</v>
      </c>
      <c r="E599" s="28"/>
      <c r="F599" s="28">
        <v>1</v>
      </c>
      <c r="G599" s="28">
        <v>0</v>
      </c>
      <c r="H599" s="28">
        <v>4</v>
      </c>
      <c r="I599" s="28">
        <v>4</v>
      </c>
      <c r="J599" s="28"/>
      <c r="K599" s="28"/>
      <c r="L599" s="28"/>
      <c r="M599" s="28">
        <v>0</v>
      </c>
      <c r="N599" s="30">
        <v>0</v>
      </c>
      <c r="Z599"/>
      <c r="AA599"/>
      <c r="AB599"/>
      <c r="AC599"/>
      <c r="AD599"/>
      <c r="AE599"/>
      <c r="AF599"/>
      <c r="AG599"/>
      <c r="AH599"/>
    </row>
    <row r="600" spans="2:34" s="27" customFormat="1" x14ac:dyDescent="0.25">
      <c r="B600" s="399">
        <v>12</v>
      </c>
      <c r="C600" s="295">
        <v>6</v>
      </c>
      <c r="D600" s="28">
        <v>5</v>
      </c>
      <c r="E600" s="28"/>
      <c r="F600" s="28">
        <v>2</v>
      </c>
      <c r="G600" s="28">
        <v>1</v>
      </c>
      <c r="H600" s="28">
        <v>4</v>
      </c>
      <c r="I600" s="28">
        <v>5</v>
      </c>
      <c r="J600" s="28"/>
      <c r="K600" s="28"/>
      <c r="L600" s="28"/>
      <c r="M600" s="28">
        <v>0</v>
      </c>
      <c r="N600" s="30">
        <v>0</v>
      </c>
      <c r="Z600"/>
      <c r="AA600"/>
      <c r="AB600"/>
      <c r="AC600"/>
      <c r="AD600"/>
      <c r="AE600"/>
      <c r="AF600"/>
      <c r="AG600"/>
      <c r="AH600"/>
    </row>
    <row r="601" spans="2:34" s="27" customFormat="1" x14ac:dyDescent="0.25">
      <c r="B601" s="399">
        <v>13</v>
      </c>
      <c r="C601" s="295">
        <v>6</v>
      </c>
      <c r="D601" s="28">
        <v>5</v>
      </c>
      <c r="E601" s="28"/>
      <c r="F601" s="28">
        <v>2</v>
      </c>
      <c r="G601" s="28">
        <v>1</v>
      </c>
      <c r="H601" s="28">
        <v>5</v>
      </c>
      <c r="I601" s="28">
        <v>5</v>
      </c>
      <c r="J601" s="28"/>
      <c r="K601" s="28"/>
      <c r="L601" s="28"/>
      <c r="M601" s="28">
        <v>1</v>
      </c>
      <c r="N601" s="30">
        <v>1</v>
      </c>
      <c r="Z601"/>
      <c r="AA601"/>
      <c r="AB601"/>
      <c r="AC601"/>
      <c r="AD601"/>
      <c r="AE601"/>
      <c r="AF601"/>
      <c r="AG601"/>
      <c r="AH601"/>
    </row>
    <row r="602" spans="2:34" s="27" customFormat="1" x14ac:dyDescent="0.25">
      <c r="B602" s="399">
        <v>14</v>
      </c>
      <c r="C602" s="295">
        <v>6</v>
      </c>
      <c r="D602" s="28">
        <v>6</v>
      </c>
      <c r="E602" s="28"/>
      <c r="F602" s="28">
        <v>2</v>
      </c>
      <c r="G602" s="28">
        <v>2</v>
      </c>
      <c r="H602" s="28">
        <v>5</v>
      </c>
      <c r="I602" s="28">
        <v>5</v>
      </c>
      <c r="J602" s="28"/>
      <c r="K602" s="28"/>
      <c r="L602" s="28"/>
      <c r="M602" s="28">
        <v>2</v>
      </c>
      <c r="N602" s="30">
        <v>1</v>
      </c>
      <c r="Z602"/>
      <c r="AA602"/>
      <c r="AB602"/>
      <c r="AC602"/>
      <c r="AD602"/>
      <c r="AE602"/>
      <c r="AF602"/>
      <c r="AG602"/>
      <c r="AH602"/>
    </row>
    <row r="603" spans="2:34" s="27" customFormat="1" x14ac:dyDescent="0.25">
      <c r="B603" s="399">
        <v>15</v>
      </c>
      <c r="C603" s="295">
        <v>7</v>
      </c>
      <c r="D603" s="28">
        <v>6</v>
      </c>
      <c r="E603" s="28"/>
      <c r="F603" s="28">
        <v>2</v>
      </c>
      <c r="G603" s="28">
        <v>2</v>
      </c>
      <c r="H603" s="28">
        <v>5</v>
      </c>
      <c r="I603" s="28">
        <v>5</v>
      </c>
      <c r="J603" s="28"/>
      <c r="K603" s="28"/>
      <c r="L603" s="28"/>
      <c r="M603" s="28">
        <v>3</v>
      </c>
      <c r="N603" s="30">
        <v>2</v>
      </c>
      <c r="Z603"/>
      <c r="AA603"/>
      <c r="AB603"/>
      <c r="AC603"/>
      <c r="AD603"/>
      <c r="AE603"/>
      <c r="AF603"/>
      <c r="AG603"/>
      <c r="AH603"/>
    </row>
    <row r="604" spans="2:34" s="27" customFormat="1" x14ac:dyDescent="0.25">
      <c r="B604" s="399">
        <v>16</v>
      </c>
      <c r="C604" s="295">
        <v>7</v>
      </c>
      <c r="D604" s="28">
        <v>6</v>
      </c>
      <c r="E604" s="28"/>
      <c r="F604" s="28">
        <v>3</v>
      </c>
      <c r="G604" s="28">
        <v>2</v>
      </c>
      <c r="H604" s="28">
        <v>5</v>
      </c>
      <c r="I604" s="28">
        <v>5</v>
      </c>
      <c r="J604" s="28"/>
      <c r="K604" s="28"/>
      <c r="L604" s="28"/>
      <c r="M604" s="28">
        <v>3</v>
      </c>
      <c r="N604" s="30">
        <v>2</v>
      </c>
      <c r="Z604"/>
      <c r="AA604"/>
      <c r="AB604"/>
      <c r="AC604"/>
      <c r="AD604"/>
      <c r="AE604"/>
      <c r="AF604"/>
      <c r="AG604"/>
      <c r="AH604"/>
    </row>
    <row r="605" spans="2:34" s="27" customFormat="1" x14ac:dyDescent="0.25">
      <c r="B605" s="399">
        <v>17</v>
      </c>
      <c r="C605" s="295">
        <v>8</v>
      </c>
      <c r="D605" s="28">
        <v>6</v>
      </c>
      <c r="E605" s="28"/>
      <c r="F605" s="28">
        <v>3</v>
      </c>
      <c r="G605" s="28">
        <v>2</v>
      </c>
      <c r="H605" s="28">
        <v>5</v>
      </c>
      <c r="I605" s="28">
        <v>5</v>
      </c>
      <c r="J605" s="28"/>
      <c r="K605" s="28"/>
      <c r="L605" s="28"/>
      <c r="M605" s="28">
        <v>3</v>
      </c>
      <c r="N605" s="30">
        <v>2</v>
      </c>
      <c r="Z605"/>
      <c r="AA605"/>
      <c r="AB605"/>
      <c r="AC605"/>
      <c r="AD605"/>
      <c r="AE605"/>
      <c r="AF605"/>
      <c r="AG605"/>
      <c r="AH605"/>
    </row>
    <row r="606" spans="2:34" s="27" customFormat="1" x14ac:dyDescent="0.25">
      <c r="B606" s="399">
        <v>18</v>
      </c>
      <c r="C606" s="295">
        <v>8</v>
      </c>
      <c r="D606" s="28">
        <v>6</v>
      </c>
      <c r="E606" s="28"/>
      <c r="F606" s="28">
        <v>3</v>
      </c>
      <c r="G606" s="28">
        <v>2</v>
      </c>
      <c r="H606" s="28">
        <v>5</v>
      </c>
      <c r="I606" s="28">
        <v>5</v>
      </c>
      <c r="J606" s="28"/>
      <c r="K606" s="28"/>
      <c r="L606" s="28"/>
      <c r="M606" s="28">
        <v>3</v>
      </c>
      <c r="N606" s="30">
        <v>2</v>
      </c>
      <c r="Z606"/>
      <c r="AA606"/>
      <c r="AB606"/>
      <c r="AC606"/>
      <c r="AD606"/>
      <c r="AE606"/>
      <c r="AF606"/>
      <c r="AG606"/>
      <c r="AH606"/>
    </row>
    <row r="607" spans="2:34" s="27" customFormat="1" x14ac:dyDescent="0.25">
      <c r="B607" s="399">
        <v>19</v>
      </c>
      <c r="C607" s="295">
        <v>9</v>
      </c>
      <c r="D607" s="28">
        <v>6</v>
      </c>
      <c r="E607" s="28"/>
      <c r="F607" s="28">
        <v>3</v>
      </c>
      <c r="G607" s="28">
        <v>2</v>
      </c>
      <c r="H607" s="28">
        <v>5</v>
      </c>
      <c r="I607" s="28">
        <v>5</v>
      </c>
      <c r="J607" s="28"/>
      <c r="K607" s="28"/>
      <c r="L607" s="28"/>
      <c r="M607" s="28">
        <v>3</v>
      </c>
      <c r="N607" s="30">
        <v>2</v>
      </c>
      <c r="Z607"/>
      <c r="AA607"/>
      <c r="AB607"/>
      <c r="AC607"/>
      <c r="AD607"/>
      <c r="AE607"/>
      <c r="AF607"/>
      <c r="AG607"/>
      <c r="AH607"/>
    </row>
    <row r="608" spans="2:34" s="27" customFormat="1" x14ac:dyDescent="0.25">
      <c r="B608" s="399">
        <v>20</v>
      </c>
      <c r="C608" s="295">
        <v>9</v>
      </c>
      <c r="D608" s="28">
        <v>6</v>
      </c>
      <c r="E608" s="28"/>
      <c r="F608" s="28">
        <v>3</v>
      </c>
      <c r="G608" s="28">
        <v>2</v>
      </c>
      <c r="H608" s="28">
        <v>5</v>
      </c>
      <c r="I608" s="28">
        <v>5</v>
      </c>
      <c r="J608" s="28"/>
      <c r="K608" s="28"/>
      <c r="L608" s="28"/>
      <c r="M608" s="28">
        <v>3</v>
      </c>
      <c r="N608" s="30">
        <v>2</v>
      </c>
      <c r="Z608"/>
      <c r="AA608"/>
      <c r="AB608"/>
      <c r="AC608"/>
      <c r="AD608"/>
      <c r="AE608"/>
      <c r="AF608"/>
      <c r="AG608"/>
      <c r="AH608"/>
    </row>
    <row r="609" spans="2:34" s="27" customFormat="1" x14ac:dyDescent="0.25">
      <c r="B609" s="399">
        <v>21</v>
      </c>
      <c r="C609" s="295">
        <v>9</v>
      </c>
      <c r="D609" s="28">
        <v>6</v>
      </c>
      <c r="E609" s="28"/>
      <c r="F609" s="28">
        <v>3</v>
      </c>
      <c r="G609" s="28">
        <v>2</v>
      </c>
      <c r="H609" s="28">
        <v>5</v>
      </c>
      <c r="I609" s="28">
        <v>5</v>
      </c>
      <c r="J609" s="28"/>
      <c r="K609" s="28"/>
      <c r="L609" s="28"/>
      <c r="M609" s="28">
        <v>3</v>
      </c>
      <c r="N609" s="30">
        <v>2</v>
      </c>
      <c r="Z609"/>
      <c r="AA609"/>
      <c r="AB609"/>
      <c r="AC609"/>
      <c r="AD609"/>
      <c r="AE609"/>
      <c r="AF609"/>
      <c r="AG609"/>
      <c r="AH609"/>
    </row>
    <row r="610" spans="2:34" s="27" customFormat="1" x14ac:dyDescent="0.25">
      <c r="B610" s="399">
        <v>22</v>
      </c>
      <c r="C610" s="295">
        <v>9</v>
      </c>
      <c r="D610" s="28">
        <v>6</v>
      </c>
      <c r="E610" s="28"/>
      <c r="F610" s="28">
        <v>3</v>
      </c>
      <c r="G610" s="28">
        <v>2</v>
      </c>
      <c r="H610" s="28">
        <v>5</v>
      </c>
      <c r="I610" s="28">
        <v>5</v>
      </c>
      <c r="J610" s="28"/>
      <c r="K610" s="28"/>
      <c r="L610" s="28"/>
      <c r="M610" s="28">
        <v>3</v>
      </c>
      <c r="N610" s="30">
        <v>2</v>
      </c>
      <c r="Z610"/>
      <c r="AA610"/>
      <c r="AB610"/>
      <c r="AC610"/>
      <c r="AD610"/>
      <c r="AE610"/>
      <c r="AF610"/>
      <c r="AG610"/>
      <c r="AH610"/>
    </row>
    <row r="611" spans="2:34" s="27" customFormat="1" x14ac:dyDescent="0.25">
      <c r="B611" s="399">
        <v>23</v>
      </c>
      <c r="C611" s="295">
        <v>9</v>
      </c>
      <c r="D611" s="28">
        <v>6</v>
      </c>
      <c r="E611" s="28"/>
      <c r="F611" s="28">
        <v>3</v>
      </c>
      <c r="G611" s="28">
        <v>2</v>
      </c>
      <c r="H611" s="28">
        <v>5</v>
      </c>
      <c r="I611" s="28">
        <v>5</v>
      </c>
      <c r="J611" s="28"/>
      <c r="K611" s="28"/>
      <c r="L611" s="28"/>
      <c r="M611" s="28">
        <v>3</v>
      </c>
      <c r="N611" s="30">
        <v>2</v>
      </c>
      <c r="Z611"/>
      <c r="AA611"/>
      <c r="AB611"/>
      <c r="AC611"/>
      <c r="AD611"/>
      <c r="AE611"/>
      <c r="AF611"/>
      <c r="AG611"/>
      <c r="AH611"/>
    </row>
    <row r="612" spans="2:34" s="27" customFormat="1" x14ac:dyDescent="0.25">
      <c r="B612" s="399">
        <v>24</v>
      </c>
      <c r="C612" s="295">
        <v>9</v>
      </c>
      <c r="D612" s="28"/>
      <c r="E612" s="28"/>
      <c r="F612" s="28">
        <v>3</v>
      </c>
      <c r="G612" s="28">
        <v>2</v>
      </c>
      <c r="H612" s="28">
        <v>5</v>
      </c>
      <c r="I612" s="28">
        <v>6</v>
      </c>
      <c r="J612" s="28"/>
      <c r="K612" s="28"/>
      <c r="L612" s="28"/>
      <c r="M612" s="28">
        <v>3</v>
      </c>
      <c r="N612" s="30">
        <v>2</v>
      </c>
      <c r="Z612"/>
      <c r="AA612"/>
      <c r="AB612"/>
      <c r="AC612"/>
      <c r="AD612"/>
      <c r="AE612"/>
      <c r="AF612"/>
      <c r="AG612"/>
      <c r="AH612"/>
    </row>
    <row r="613" spans="2:34" s="27" customFormat="1" x14ac:dyDescent="0.25">
      <c r="B613" s="399">
        <v>25</v>
      </c>
      <c r="C613" s="295">
        <v>9</v>
      </c>
      <c r="D613" s="28"/>
      <c r="E613" s="28"/>
      <c r="F613" s="28">
        <v>3</v>
      </c>
      <c r="G613" s="28">
        <v>2</v>
      </c>
      <c r="H613" s="28">
        <v>5</v>
      </c>
      <c r="I613" s="28">
        <v>6</v>
      </c>
      <c r="J613" s="28"/>
      <c r="K613" s="28"/>
      <c r="L613" s="28"/>
      <c r="M613" s="28">
        <v>3</v>
      </c>
      <c r="N613" s="30">
        <v>2</v>
      </c>
      <c r="Z613"/>
      <c r="AA613"/>
      <c r="AB613"/>
      <c r="AC613"/>
      <c r="AD613"/>
      <c r="AE613"/>
      <c r="AF613"/>
      <c r="AG613"/>
      <c r="AH613"/>
    </row>
    <row r="614" spans="2:34" s="27" customFormat="1" x14ac:dyDescent="0.25">
      <c r="B614" s="399">
        <v>26</v>
      </c>
      <c r="C614" s="295">
        <v>9</v>
      </c>
      <c r="D614" s="28"/>
      <c r="E614" s="28"/>
      <c r="F614" s="28">
        <v>3</v>
      </c>
      <c r="G614" s="28">
        <v>2</v>
      </c>
      <c r="H614" s="28">
        <v>6</v>
      </c>
      <c r="I614" s="28">
        <v>7</v>
      </c>
      <c r="J614" s="28"/>
      <c r="K614" s="28"/>
      <c r="L614" s="28"/>
      <c r="M614" s="28">
        <v>3</v>
      </c>
      <c r="N614" s="30">
        <v>2</v>
      </c>
      <c r="Z614"/>
      <c r="AA614"/>
      <c r="AB614"/>
      <c r="AC614"/>
      <c r="AD614"/>
      <c r="AE614"/>
      <c r="AF614"/>
      <c r="AG614"/>
      <c r="AH614"/>
    </row>
    <row r="615" spans="2:34" s="27" customFormat="1" x14ac:dyDescent="0.25">
      <c r="B615" s="399">
        <v>27</v>
      </c>
      <c r="C615" s="295">
        <v>9</v>
      </c>
      <c r="D615" s="28"/>
      <c r="E615" s="28"/>
      <c r="F615" s="28">
        <v>3</v>
      </c>
      <c r="G615" s="28">
        <v>2</v>
      </c>
      <c r="H615" s="28">
        <v>6</v>
      </c>
      <c r="I615" s="28">
        <v>7</v>
      </c>
      <c r="J615" s="28"/>
      <c r="K615" s="28"/>
      <c r="L615" s="28"/>
      <c r="M615" s="28">
        <v>4</v>
      </c>
      <c r="N615" s="30">
        <v>2</v>
      </c>
      <c r="Z615"/>
      <c r="AA615"/>
      <c r="AB615"/>
      <c r="AC615"/>
      <c r="AD615"/>
      <c r="AE615"/>
      <c r="AF615"/>
      <c r="AG615"/>
      <c r="AH615"/>
    </row>
    <row r="616" spans="2:34" s="27" customFormat="1" x14ac:dyDescent="0.25">
      <c r="B616" s="399">
        <v>28</v>
      </c>
      <c r="C616" s="295">
        <v>9</v>
      </c>
      <c r="D616" s="28"/>
      <c r="E616" s="28"/>
      <c r="F616" s="28">
        <v>3</v>
      </c>
      <c r="G616" s="28">
        <v>2</v>
      </c>
      <c r="H616" s="28">
        <v>6</v>
      </c>
      <c r="I616" s="28">
        <v>7</v>
      </c>
      <c r="J616" s="28"/>
      <c r="K616" s="28"/>
      <c r="L616" s="28"/>
      <c r="M616" s="28">
        <v>4</v>
      </c>
      <c r="N616" s="30">
        <v>2</v>
      </c>
      <c r="Z616"/>
      <c r="AA616"/>
      <c r="AB616"/>
      <c r="AC616"/>
      <c r="AD616"/>
      <c r="AE616"/>
      <c r="AF616"/>
      <c r="AG616"/>
      <c r="AH616"/>
    </row>
    <row r="617" spans="2:34" s="27" customFormat="1" x14ac:dyDescent="0.25">
      <c r="B617" s="399">
        <v>29</v>
      </c>
      <c r="C617" s="295">
        <v>9</v>
      </c>
      <c r="D617" s="28"/>
      <c r="E617" s="28"/>
      <c r="F617" s="28">
        <v>3</v>
      </c>
      <c r="G617" s="28">
        <v>2</v>
      </c>
      <c r="H617" s="28">
        <v>7</v>
      </c>
      <c r="I617" s="28">
        <v>8</v>
      </c>
      <c r="J617" s="28"/>
      <c r="K617" s="28"/>
      <c r="L617" s="28"/>
      <c r="M617" s="28">
        <v>4</v>
      </c>
      <c r="N617" s="30">
        <v>2</v>
      </c>
      <c r="Z617"/>
      <c r="AA617"/>
      <c r="AB617"/>
      <c r="AC617"/>
      <c r="AD617"/>
      <c r="AE617"/>
      <c r="AF617"/>
      <c r="AG617"/>
      <c r="AH617"/>
    </row>
    <row r="618" spans="2:34" s="27" customFormat="1" x14ac:dyDescent="0.25">
      <c r="B618" s="399">
        <v>30</v>
      </c>
      <c r="C618" s="295">
        <v>9</v>
      </c>
      <c r="D618" s="28"/>
      <c r="E618" s="28"/>
      <c r="F618" s="28">
        <v>3</v>
      </c>
      <c r="G618" s="28">
        <v>2</v>
      </c>
      <c r="H618" s="28">
        <v>7</v>
      </c>
      <c r="I618" s="28">
        <v>8</v>
      </c>
      <c r="J618" s="28"/>
      <c r="K618" s="28"/>
      <c r="L618" s="28"/>
      <c r="M618" s="28">
        <v>4</v>
      </c>
      <c r="N618" s="30">
        <v>2</v>
      </c>
      <c r="Z618"/>
      <c r="AA618"/>
      <c r="AB618"/>
      <c r="AC618"/>
      <c r="AD618"/>
      <c r="AE618"/>
      <c r="AF618"/>
      <c r="AG618"/>
      <c r="AH618"/>
    </row>
    <row r="619" spans="2:34" s="27" customFormat="1" x14ac:dyDescent="0.25">
      <c r="B619" s="399">
        <v>31</v>
      </c>
      <c r="C619" s="295">
        <v>9</v>
      </c>
      <c r="D619" s="28"/>
      <c r="E619" s="28"/>
      <c r="F619" s="28">
        <v>3</v>
      </c>
      <c r="G619" s="28">
        <v>2</v>
      </c>
      <c r="H619" s="28">
        <v>7</v>
      </c>
      <c r="I619" s="28">
        <v>8</v>
      </c>
      <c r="J619" s="28"/>
      <c r="K619" s="28"/>
      <c r="L619" s="28"/>
      <c r="M619" s="28">
        <v>5</v>
      </c>
      <c r="N619" s="30">
        <v>2</v>
      </c>
      <c r="Z619"/>
      <c r="AA619"/>
      <c r="AB619"/>
      <c r="AC619"/>
      <c r="AD619"/>
      <c r="AE619"/>
      <c r="AF619"/>
      <c r="AG619"/>
      <c r="AH619"/>
    </row>
    <row r="620" spans="2:34" s="27" customFormat="1" x14ac:dyDescent="0.25">
      <c r="B620" s="399">
        <v>32</v>
      </c>
      <c r="C620" s="295">
        <v>9</v>
      </c>
      <c r="D620" s="28"/>
      <c r="E620" s="28"/>
      <c r="F620" s="28">
        <v>3</v>
      </c>
      <c r="G620" s="28">
        <v>2</v>
      </c>
      <c r="H620" s="28">
        <v>8</v>
      </c>
      <c r="I620" s="28">
        <v>9</v>
      </c>
      <c r="J620" s="28"/>
      <c r="K620" s="28"/>
      <c r="L620" s="28"/>
      <c r="M620" s="28">
        <v>5</v>
      </c>
      <c r="N620" s="30">
        <v>2</v>
      </c>
      <c r="Z620"/>
      <c r="AA620"/>
      <c r="AB620"/>
      <c r="AC620"/>
      <c r="AD620"/>
      <c r="AE620"/>
      <c r="AF620"/>
      <c r="AG620"/>
      <c r="AH620"/>
    </row>
    <row r="621" spans="2:34" s="27" customFormat="1" x14ac:dyDescent="0.25">
      <c r="B621" s="399">
        <v>33</v>
      </c>
      <c r="C621" s="295">
        <v>9</v>
      </c>
      <c r="D621" s="28"/>
      <c r="E621" s="28"/>
      <c r="F621" s="28">
        <v>3</v>
      </c>
      <c r="G621" s="28">
        <v>2</v>
      </c>
      <c r="H621" s="28">
        <v>8</v>
      </c>
      <c r="I621" s="28">
        <v>9</v>
      </c>
      <c r="J621" s="28"/>
      <c r="K621" s="28"/>
      <c r="L621" s="28"/>
      <c r="M621" s="28">
        <v>5</v>
      </c>
      <c r="N621" s="30">
        <v>2</v>
      </c>
      <c r="Z621"/>
      <c r="AA621"/>
      <c r="AB621"/>
      <c r="AC621"/>
      <c r="AD621"/>
      <c r="AE621"/>
      <c r="AF621"/>
      <c r="AG621"/>
      <c r="AH621"/>
    </row>
    <row r="622" spans="2:34" s="27" customFormat="1" x14ac:dyDescent="0.25">
      <c r="B622" s="399">
        <v>34</v>
      </c>
      <c r="C622" s="295">
        <v>9</v>
      </c>
      <c r="D622" s="28"/>
      <c r="E622" s="28"/>
      <c r="F622" s="28">
        <v>3</v>
      </c>
      <c r="G622" s="28">
        <v>2</v>
      </c>
      <c r="H622" s="28">
        <v>8</v>
      </c>
      <c r="I622" s="28">
        <v>9</v>
      </c>
      <c r="J622" s="28"/>
      <c r="K622" s="28"/>
      <c r="L622" s="28"/>
      <c r="M622" s="28"/>
      <c r="N622" s="30">
        <v>2</v>
      </c>
      <c r="Z622"/>
      <c r="AA622"/>
      <c r="AB622"/>
      <c r="AC622"/>
      <c r="AD622"/>
      <c r="AE622"/>
      <c r="AF622"/>
      <c r="AG622"/>
      <c r="AH622"/>
    </row>
    <row r="623" spans="2:34" s="27" customFormat="1" x14ac:dyDescent="0.25">
      <c r="B623" s="399">
        <v>35</v>
      </c>
      <c r="C623" s="295">
        <v>9</v>
      </c>
      <c r="D623" s="28"/>
      <c r="E623" s="28"/>
      <c r="F623" s="28">
        <v>3</v>
      </c>
      <c r="G623" s="28">
        <v>2</v>
      </c>
      <c r="H623" s="28">
        <v>9</v>
      </c>
      <c r="I623" s="28">
        <v>9</v>
      </c>
      <c r="J623" s="28"/>
      <c r="K623" s="28"/>
      <c r="L623" s="28"/>
      <c r="M623" s="28"/>
      <c r="N623" s="30">
        <v>2</v>
      </c>
      <c r="Z623"/>
      <c r="AA623"/>
      <c r="AB623"/>
      <c r="AC623"/>
      <c r="AD623"/>
      <c r="AE623"/>
      <c r="AF623"/>
      <c r="AG623"/>
      <c r="AH623"/>
    </row>
    <row r="624" spans="2:34" s="27" customFormat="1" ht="15.75" thickBot="1" x14ac:dyDescent="0.3">
      <c r="B624" s="400">
        <v>36</v>
      </c>
      <c r="C624" s="296">
        <v>9</v>
      </c>
      <c r="D624" s="32"/>
      <c r="E624" s="32"/>
      <c r="F624" s="32">
        <v>3</v>
      </c>
      <c r="G624" s="32">
        <v>2</v>
      </c>
      <c r="H624" s="32">
        <v>9</v>
      </c>
      <c r="I624" s="32">
        <v>9</v>
      </c>
      <c r="J624" s="32"/>
      <c r="K624" s="32"/>
      <c r="L624" s="32"/>
      <c r="M624" s="32"/>
      <c r="N624" s="33">
        <v>2</v>
      </c>
      <c r="Z624"/>
      <c r="AA624"/>
      <c r="AB624"/>
      <c r="AC624"/>
      <c r="AD624"/>
      <c r="AE624"/>
      <c r="AF624"/>
      <c r="AG624"/>
      <c r="AH624"/>
    </row>
    <row r="625" spans="2:34" s="27" customFormat="1" ht="15.75" thickBot="1" x14ac:dyDescent="0.3">
      <c r="B625" s="26"/>
      <c r="Z625"/>
      <c r="AA625"/>
      <c r="AB625"/>
      <c r="AC625"/>
      <c r="AD625"/>
      <c r="AE625"/>
      <c r="AF625"/>
      <c r="AG625"/>
      <c r="AH625"/>
    </row>
    <row r="626" spans="2:34" s="27" customFormat="1" ht="15.75" thickBot="1" x14ac:dyDescent="0.3">
      <c r="B626" s="243" t="s">
        <v>612</v>
      </c>
      <c r="C626" s="242" t="s">
        <v>63</v>
      </c>
      <c r="D626" s="138" t="s">
        <v>64</v>
      </c>
      <c r="E626" s="138" t="s">
        <v>65</v>
      </c>
      <c r="F626" s="138" t="s">
        <v>66</v>
      </c>
      <c r="G626" s="138" t="s">
        <v>67</v>
      </c>
      <c r="H626" s="138" t="s">
        <v>68</v>
      </c>
      <c r="I626" s="138" t="s">
        <v>247</v>
      </c>
      <c r="J626" s="138" t="s">
        <v>69</v>
      </c>
      <c r="K626" s="138" t="s">
        <v>70</v>
      </c>
      <c r="L626" s="138" t="s">
        <v>333</v>
      </c>
      <c r="M626" s="138" t="s">
        <v>334</v>
      </c>
      <c r="N626" s="139"/>
      <c r="Z626"/>
      <c r="AA626"/>
      <c r="AB626"/>
      <c r="AC626"/>
      <c r="AD626"/>
      <c r="AE626"/>
      <c r="AF626"/>
      <c r="AG626"/>
      <c r="AH626"/>
    </row>
    <row r="627" spans="2:34" s="27" customFormat="1" x14ac:dyDescent="0.25">
      <c r="B627" s="398">
        <v>1</v>
      </c>
      <c r="C627" s="397">
        <v>0</v>
      </c>
      <c r="D627" s="133">
        <v>0</v>
      </c>
      <c r="E627" s="133"/>
      <c r="F627" s="133">
        <v>0</v>
      </c>
      <c r="G627" s="133">
        <v>0</v>
      </c>
      <c r="H627" s="133">
        <v>0</v>
      </c>
      <c r="I627" s="133">
        <v>0</v>
      </c>
      <c r="J627" s="133"/>
      <c r="K627" s="133"/>
      <c r="L627" s="133"/>
      <c r="M627" s="133">
        <v>0</v>
      </c>
      <c r="N627" s="136"/>
      <c r="Z627"/>
      <c r="AA627"/>
      <c r="AB627"/>
      <c r="AC627"/>
      <c r="AD627"/>
      <c r="AE627"/>
      <c r="AF627"/>
      <c r="AG627"/>
      <c r="AH627"/>
    </row>
    <row r="628" spans="2:34" s="27" customFormat="1" x14ac:dyDescent="0.25">
      <c r="B628" s="399">
        <v>2</v>
      </c>
      <c r="C628" s="295">
        <v>0</v>
      </c>
      <c r="D628" s="28">
        <v>0</v>
      </c>
      <c r="E628" s="28"/>
      <c r="F628" s="28">
        <v>0</v>
      </c>
      <c r="G628" s="28">
        <v>0</v>
      </c>
      <c r="H628" s="28">
        <v>0</v>
      </c>
      <c r="I628" s="28">
        <v>0</v>
      </c>
      <c r="J628" s="28"/>
      <c r="K628" s="28"/>
      <c r="L628" s="28"/>
      <c r="M628" s="28">
        <v>0</v>
      </c>
      <c r="N628" s="30"/>
      <c r="Z628"/>
      <c r="AA628"/>
      <c r="AB628"/>
      <c r="AC628"/>
      <c r="AD628"/>
      <c r="AE628"/>
      <c r="AF628"/>
      <c r="AG628"/>
      <c r="AH628"/>
    </row>
    <row r="629" spans="2:34" s="27" customFormat="1" x14ac:dyDescent="0.25">
      <c r="B629" s="399">
        <v>3</v>
      </c>
      <c r="C629" s="295">
        <v>0</v>
      </c>
      <c r="D629" s="28">
        <v>1</v>
      </c>
      <c r="E629" s="28"/>
      <c r="F629" s="28">
        <v>0</v>
      </c>
      <c r="G629" s="28">
        <v>0</v>
      </c>
      <c r="H629" s="28">
        <v>0</v>
      </c>
      <c r="I629" s="28">
        <v>0</v>
      </c>
      <c r="J629" s="28"/>
      <c r="K629" s="28"/>
      <c r="L629" s="28"/>
      <c r="M629" s="28">
        <v>0</v>
      </c>
      <c r="N629" s="30"/>
      <c r="Z629"/>
      <c r="AA629"/>
      <c r="AB629"/>
      <c r="AC629"/>
      <c r="AD629"/>
      <c r="AE629"/>
      <c r="AF629"/>
      <c r="AG629"/>
      <c r="AH629"/>
    </row>
    <row r="630" spans="2:34" s="27" customFormat="1" x14ac:dyDescent="0.25">
      <c r="B630" s="399">
        <v>4</v>
      </c>
      <c r="C630" s="295">
        <v>0</v>
      </c>
      <c r="D630" s="28">
        <v>2</v>
      </c>
      <c r="E630" s="28"/>
      <c r="F630" s="28">
        <v>0</v>
      </c>
      <c r="G630" s="28">
        <v>0</v>
      </c>
      <c r="H630" s="28">
        <v>0</v>
      </c>
      <c r="I630" s="28">
        <v>0</v>
      </c>
      <c r="J630" s="28"/>
      <c r="K630" s="28"/>
      <c r="L630" s="28"/>
      <c r="M630" s="28">
        <v>0</v>
      </c>
      <c r="N630" s="30"/>
      <c r="Z630"/>
      <c r="AA630"/>
      <c r="AB630"/>
      <c r="AC630"/>
      <c r="AD630"/>
      <c r="AE630"/>
      <c r="AF630"/>
      <c r="AG630"/>
      <c r="AH630"/>
    </row>
    <row r="631" spans="2:34" s="27" customFormat="1" x14ac:dyDescent="0.25">
      <c r="B631" s="399">
        <v>5</v>
      </c>
      <c r="C631" s="295">
        <v>1</v>
      </c>
      <c r="D631" s="28">
        <v>2</v>
      </c>
      <c r="E631" s="28"/>
      <c r="F631" s="28">
        <v>0</v>
      </c>
      <c r="G631" s="28">
        <v>0</v>
      </c>
      <c r="H631" s="28">
        <v>1</v>
      </c>
      <c r="I631" s="28">
        <v>1</v>
      </c>
      <c r="J631" s="28"/>
      <c r="K631" s="28"/>
      <c r="L631" s="28"/>
      <c r="M631" s="28">
        <v>0</v>
      </c>
      <c r="N631" s="30"/>
      <c r="Z631"/>
      <c r="AA631"/>
      <c r="AB631"/>
      <c r="AC631"/>
      <c r="AD631"/>
      <c r="AE631"/>
      <c r="AF631"/>
      <c r="AG631"/>
      <c r="AH631"/>
    </row>
    <row r="632" spans="2:34" s="27" customFormat="1" x14ac:dyDescent="0.25">
      <c r="B632" s="399">
        <v>6</v>
      </c>
      <c r="C632" s="295">
        <v>2</v>
      </c>
      <c r="D632" s="28">
        <v>2</v>
      </c>
      <c r="E632" s="28"/>
      <c r="F632" s="28">
        <v>0</v>
      </c>
      <c r="G632" s="28">
        <v>0</v>
      </c>
      <c r="H632" s="28">
        <v>2</v>
      </c>
      <c r="I632" s="28">
        <v>1</v>
      </c>
      <c r="J632" s="28"/>
      <c r="K632" s="28"/>
      <c r="L632" s="28"/>
      <c r="M632" s="28">
        <v>0</v>
      </c>
      <c r="N632" s="30"/>
      <c r="Z632"/>
      <c r="AA632"/>
      <c r="AB632"/>
      <c r="AC632"/>
      <c r="AD632"/>
      <c r="AE632"/>
      <c r="AF632"/>
      <c r="AG632"/>
      <c r="AH632"/>
    </row>
    <row r="633" spans="2:34" s="27" customFormat="1" x14ac:dyDescent="0.25">
      <c r="B633" s="399">
        <v>7</v>
      </c>
      <c r="C633" s="295">
        <v>2</v>
      </c>
      <c r="D633" s="28">
        <v>3</v>
      </c>
      <c r="E633" s="28"/>
      <c r="F633" s="28">
        <v>0</v>
      </c>
      <c r="G633" s="28">
        <v>0</v>
      </c>
      <c r="H633" s="28">
        <v>2</v>
      </c>
      <c r="I633" s="28">
        <v>2</v>
      </c>
      <c r="J633" s="28"/>
      <c r="K633" s="28"/>
      <c r="L633" s="28"/>
      <c r="M633" s="28">
        <v>0</v>
      </c>
      <c r="N633" s="30"/>
      <c r="Z633"/>
      <c r="AA633"/>
      <c r="AB633"/>
      <c r="AC633"/>
      <c r="AD633"/>
      <c r="AE633"/>
      <c r="AF633"/>
      <c r="AG633"/>
      <c r="AH633"/>
    </row>
    <row r="634" spans="2:34" s="27" customFormat="1" x14ac:dyDescent="0.25">
      <c r="B634" s="399">
        <v>8</v>
      </c>
      <c r="C634" s="295">
        <v>3</v>
      </c>
      <c r="D634" s="28">
        <v>3</v>
      </c>
      <c r="E634" s="28"/>
      <c r="F634" s="28">
        <v>0</v>
      </c>
      <c r="G634" s="28">
        <v>0</v>
      </c>
      <c r="H634" s="28">
        <v>3</v>
      </c>
      <c r="I634" s="28">
        <v>2</v>
      </c>
      <c r="J634" s="28"/>
      <c r="K634" s="28"/>
      <c r="L634" s="28"/>
      <c r="M634" s="28">
        <v>0</v>
      </c>
      <c r="N634" s="30"/>
      <c r="Z634"/>
      <c r="AA634"/>
      <c r="AB634"/>
      <c r="AC634"/>
      <c r="AD634"/>
      <c r="AE634"/>
      <c r="AF634"/>
      <c r="AG634"/>
      <c r="AH634"/>
    </row>
    <row r="635" spans="2:34" s="27" customFormat="1" x14ac:dyDescent="0.25">
      <c r="B635" s="399">
        <v>9</v>
      </c>
      <c r="C635" s="295">
        <v>3</v>
      </c>
      <c r="D635" s="28">
        <v>3</v>
      </c>
      <c r="E635" s="28"/>
      <c r="F635" s="28">
        <v>0</v>
      </c>
      <c r="G635" s="28">
        <v>0</v>
      </c>
      <c r="H635" s="28">
        <v>3</v>
      </c>
      <c r="I635" s="28">
        <v>3</v>
      </c>
      <c r="J635" s="28"/>
      <c r="K635" s="28"/>
      <c r="L635" s="28"/>
      <c r="M635" s="28">
        <v>0</v>
      </c>
      <c r="N635" s="30"/>
      <c r="Z635"/>
      <c r="AA635"/>
      <c r="AB635"/>
      <c r="AC635"/>
      <c r="AD635"/>
      <c r="AE635"/>
      <c r="AF635"/>
      <c r="AG635"/>
      <c r="AH635"/>
    </row>
    <row r="636" spans="2:34" s="27" customFormat="1" x14ac:dyDescent="0.25">
      <c r="B636" s="399">
        <v>10</v>
      </c>
      <c r="C636" s="295">
        <v>3</v>
      </c>
      <c r="D636" s="28">
        <v>3</v>
      </c>
      <c r="E636" s="28"/>
      <c r="F636" s="28">
        <v>0</v>
      </c>
      <c r="G636" s="28">
        <v>0</v>
      </c>
      <c r="H636" s="28">
        <v>3</v>
      </c>
      <c r="I636" s="28">
        <v>3</v>
      </c>
      <c r="J636" s="28"/>
      <c r="K636" s="28"/>
      <c r="L636" s="28"/>
      <c r="M636" s="28">
        <v>0</v>
      </c>
      <c r="N636" s="30"/>
      <c r="Z636"/>
      <c r="AA636"/>
      <c r="AB636"/>
      <c r="AC636"/>
      <c r="AD636"/>
      <c r="AE636"/>
      <c r="AF636"/>
      <c r="AG636"/>
      <c r="AH636"/>
    </row>
    <row r="637" spans="2:34" s="27" customFormat="1" x14ac:dyDescent="0.25">
      <c r="B637" s="399">
        <v>11</v>
      </c>
      <c r="C637" s="295">
        <v>4</v>
      </c>
      <c r="D637" s="28">
        <v>3</v>
      </c>
      <c r="E637" s="28"/>
      <c r="F637" s="28">
        <v>0</v>
      </c>
      <c r="G637" s="28">
        <v>0</v>
      </c>
      <c r="H637" s="28">
        <v>4</v>
      </c>
      <c r="I637" s="28">
        <v>3</v>
      </c>
      <c r="J637" s="28"/>
      <c r="K637" s="28"/>
      <c r="L637" s="28"/>
      <c r="M637" s="28">
        <v>0</v>
      </c>
      <c r="N637" s="30"/>
      <c r="Z637"/>
      <c r="AA637"/>
      <c r="AB637"/>
      <c r="AC637"/>
      <c r="AD637"/>
      <c r="AE637"/>
      <c r="AF637"/>
      <c r="AG637"/>
      <c r="AH637"/>
    </row>
    <row r="638" spans="2:34" s="27" customFormat="1" x14ac:dyDescent="0.25">
      <c r="B638" s="399">
        <v>12</v>
      </c>
      <c r="C638" s="295">
        <v>5</v>
      </c>
      <c r="D638" s="28">
        <v>4</v>
      </c>
      <c r="E638" s="28"/>
      <c r="F638" s="28">
        <v>0</v>
      </c>
      <c r="G638" s="28">
        <v>0</v>
      </c>
      <c r="H638" s="28">
        <v>4</v>
      </c>
      <c r="I638" s="28">
        <v>4</v>
      </c>
      <c r="J638" s="28"/>
      <c r="K638" s="28"/>
      <c r="L638" s="28"/>
      <c r="M638" s="28">
        <v>0</v>
      </c>
      <c r="N638" s="30"/>
      <c r="Z638"/>
      <c r="AA638"/>
      <c r="AB638"/>
      <c r="AC638"/>
      <c r="AD638"/>
      <c r="AE638"/>
      <c r="AF638"/>
      <c r="AG638"/>
      <c r="AH638"/>
    </row>
    <row r="639" spans="2:34" s="27" customFormat="1" x14ac:dyDescent="0.25">
      <c r="B639" s="399">
        <v>13</v>
      </c>
      <c r="C639" s="295">
        <v>6</v>
      </c>
      <c r="D639" s="28">
        <v>5</v>
      </c>
      <c r="E639" s="28"/>
      <c r="F639" s="28">
        <v>1</v>
      </c>
      <c r="G639" s="28">
        <v>0</v>
      </c>
      <c r="H639" s="28">
        <v>5</v>
      </c>
      <c r="I639" s="28">
        <v>4</v>
      </c>
      <c r="J639" s="28"/>
      <c r="K639" s="28"/>
      <c r="L639" s="28"/>
      <c r="M639" s="28">
        <v>0</v>
      </c>
      <c r="N639" s="30"/>
      <c r="Z639"/>
      <c r="AA639"/>
      <c r="AB639"/>
      <c r="AC639"/>
      <c r="AD639"/>
      <c r="AE639"/>
      <c r="AF639"/>
      <c r="AG639"/>
      <c r="AH639"/>
    </row>
    <row r="640" spans="2:34" s="27" customFormat="1" x14ac:dyDescent="0.25">
      <c r="B640" s="399">
        <v>14</v>
      </c>
      <c r="C640" s="295">
        <v>6</v>
      </c>
      <c r="D640" s="28">
        <v>6</v>
      </c>
      <c r="E640" s="28"/>
      <c r="F640" s="28">
        <v>1</v>
      </c>
      <c r="G640" s="28">
        <v>0</v>
      </c>
      <c r="H640" s="28">
        <v>5</v>
      </c>
      <c r="I640" s="28">
        <v>4</v>
      </c>
      <c r="J640" s="28"/>
      <c r="K640" s="28"/>
      <c r="L640" s="28"/>
      <c r="M640" s="28">
        <v>0</v>
      </c>
      <c r="N640" s="30"/>
      <c r="Z640"/>
      <c r="AA640"/>
      <c r="AB640"/>
      <c r="AC640"/>
      <c r="AD640"/>
      <c r="AE640"/>
      <c r="AF640"/>
      <c r="AG640"/>
      <c r="AH640"/>
    </row>
    <row r="641" spans="2:34" s="27" customFormat="1" x14ac:dyDescent="0.25">
      <c r="B641" s="399">
        <v>15</v>
      </c>
      <c r="C641" s="295">
        <v>7</v>
      </c>
      <c r="D641" s="28">
        <v>6</v>
      </c>
      <c r="E641" s="28"/>
      <c r="F641" s="28">
        <v>1</v>
      </c>
      <c r="G641" s="28">
        <v>0</v>
      </c>
      <c r="H641" s="28">
        <v>5</v>
      </c>
      <c r="I641" s="28">
        <v>4</v>
      </c>
      <c r="J641" s="28"/>
      <c r="K641" s="28"/>
      <c r="L641" s="28"/>
      <c r="M641" s="28">
        <v>1</v>
      </c>
      <c r="N641" s="30"/>
      <c r="Z641"/>
      <c r="AA641"/>
      <c r="AB641"/>
      <c r="AC641"/>
      <c r="AD641"/>
      <c r="AE641"/>
      <c r="AF641"/>
      <c r="AG641"/>
      <c r="AH641"/>
    </row>
    <row r="642" spans="2:34" s="27" customFormat="1" x14ac:dyDescent="0.25">
      <c r="B642" s="399">
        <v>16</v>
      </c>
      <c r="C642" s="295">
        <v>7</v>
      </c>
      <c r="D642" s="28">
        <v>6</v>
      </c>
      <c r="E642" s="28"/>
      <c r="F642" s="28">
        <v>1</v>
      </c>
      <c r="G642" s="28">
        <v>1</v>
      </c>
      <c r="H642" s="28">
        <v>5</v>
      </c>
      <c r="I642" s="28">
        <v>5</v>
      </c>
      <c r="J642" s="28"/>
      <c r="K642" s="28"/>
      <c r="L642" s="28"/>
      <c r="M642" s="28">
        <v>2</v>
      </c>
      <c r="N642" s="30"/>
      <c r="Z642"/>
      <c r="AA642"/>
      <c r="AB642"/>
      <c r="AC642"/>
      <c r="AD642"/>
      <c r="AE642"/>
      <c r="AF642"/>
      <c r="AG642"/>
      <c r="AH642"/>
    </row>
    <row r="643" spans="2:34" s="27" customFormat="1" x14ac:dyDescent="0.25">
      <c r="B643" s="399">
        <v>17</v>
      </c>
      <c r="C643" s="295">
        <v>8</v>
      </c>
      <c r="D643" s="28">
        <v>6</v>
      </c>
      <c r="E643" s="28"/>
      <c r="F643" s="28">
        <v>2</v>
      </c>
      <c r="G643" s="28">
        <v>2</v>
      </c>
      <c r="H643" s="28">
        <v>5</v>
      </c>
      <c r="I643" s="28">
        <v>5</v>
      </c>
      <c r="J643" s="28"/>
      <c r="K643" s="28"/>
      <c r="L643" s="28"/>
      <c r="M643" s="28">
        <v>3</v>
      </c>
      <c r="N643" s="30"/>
      <c r="Z643"/>
      <c r="AA643"/>
      <c r="AB643"/>
      <c r="AC643"/>
      <c r="AD643"/>
      <c r="AE643"/>
      <c r="AF643"/>
      <c r="AG643"/>
      <c r="AH643"/>
    </row>
    <row r="644" spans="2:34" s="27" customFormat="1" x14ac:dyDescent="0.25">
      <c r="B644" s="399">
        <v>18</v>
      </c>
      <c r="C644" s="295">
        <v>8</v>
      </c>
      <c r="D644" s="28">
        <v>6</v>
      </c>
      <c r="E644" s="28"/>
      <c r="F644" s="28">
        <v>3</v>
      </c>
      <c r="G644" s="28">
        <v>2</v>
      </c>
      <c r="H644" s="28">
        <v>5</v>
      </c>
      <c r="I644" s="28">
        <v>5</v>
      </c>
      <c r="J644" s="28"/>
      <c r="K644" s="28"/>
      <c r="L644" s="28"/>
      <c r="M644" s="28">
        <v>3</v>
      </c>
      <c r="N644" s="30"/>
      <c r="Z644"/>
      <c r="AA644"/>
      <c r="AB644"/>
      <c r="AC644"/>
      <c r="AD644"/>
      <c r="AE644"/>
      <c r="AF644"/>
      <c r="AG644"/>
      <c r="AH644"/>
    </row>
    <row r="645" spans="2:34" s="27" customFormat="1" x14ac:dyDescent="0.25">
      <c r="B645" s="399">
        <v>19</v>
      </c>
      <c r="C645" s="295">
        <v>9</v>
      </c>
      <c r="D645" s="28">
        <v>6</v>
      </c>
      <c r="E645" s="28"/>
      <c r="F645" s="28">
        <v>3</v>
      </c>
      <c r="G645" s="28">
        <v>2</v>
      </c>
      <c r="H645" s="28">
        <v>5</v>
      </c>
      <c r="I645" s="28">
        <v>5</v>
      </c>
      <c r="J645" s="28"/>
      <c r="K645" s="28"/>
      <c r="L645" s="28"/>
      <c r="M645" s="28">
        <v>3</v>
      </c>
      <c r="N645" s="30"/>
      <c r="Z645"/>
      <c r="AA645"/>
      <c r="AB645"/>
      <c r="AC645"/>
      <c r="AD645"/>
      <c r="AE645"/>
      <c r="AF645"/>
      <c r="AG645"/>
      <c r="AH645"/>
    </row>
    <row r="646" spans="2:34" s="27" customFormat="1" x14ac:dyDescent="0.25">
      <c r="B646" s="399">
        <v>20</v>
      </c>
      <c r="C646" s="295">
        <v>9</v>
      </c>
      <c r="D646" s="28">
        <v>6</v>
      </c>
      <c r="E646" s="28"/>
      <c r="F646" s="28">
        <v>3</v>
      </c>
      <c r="G646" s="28">
        <v>2</v>
      </c>
      <c r="H646" s="28">
        <v>5</v>
      </c>
      <c r="I646" s="28">
        <v>5</v>
      </c>
      <c r="J646" s="28"/>
      <c r="K646" s="28"/>
      <c r="L646" s="28"/>
      <c r="M646" s="28">
        <v>3</v>
      </c>
      <c r="N646" s="30"/>
      <c r="Z646"/>
      <c r="AA646"/>
      <c r="AB646"/>
      <c r="AC646"/>
      <c r="AD646"/>
      <c r="AE646"/>
      <c r="AF646"/>
      <c r="AG646"/>
      <c r="AH646"/>
    </row>
    <row r="647" spans="2:34" s="27" customFormat="1" x14ac:dyDescent="0.25">
      <c r="B647" s="399">
        <v>21</v>
      </c>
      <c r="C647" s="295">
        <v>9</v>
      </c>
      <c r="D647" s="28">
        <v>6</v>
      </c>
      <c r="E647" s="28"/>
      <c r="F647" s="28">
        <v>3</v>
      </c>
      <c r="G647" s="28">
        <v>2</v>
      </c>
      <c r="H647" s="28">
        <v>5</v>
      </c>
      <c r="I647" s="28">
        <v>5</v>
      </c>
      <c r="J647" s="28"/>
      <c r="K647" s="28"/>
      <c r="L647" s="28"/>
      <c r="M647" s="28">
        <v>3</v>
      </c>
      <c r="N647" s="30"/>
      <c r="Z647"/>
      <c r="AA647"/>
      <c r="AB647"/>
      <c r="AC647"/>
      <c r="AD647"/>
      <c r="AE647"/>
      <c r="AF647"/>
      <c r="AG647"/>
      <c r="AH647"/>
    </row>
    <row r="648" spans="2:34" s="27" customFormat="1" x14ac:dyDescent="0.25">
      <c r="B648" s="399">
        <v>22</v>
      </c>
      <c r="C648" s="295">
        <v>9</v>
      </c>
      <c r="D648" s="28">
        <v>6</v>
      </c>
      <c r="E648" s="28"/>
      <c r="F648" s="28">
        <v>3</v>
      </c>
      <c r="G648" s="28">
        <v>2</v>
      </c>
      <c r="H648" s="28">
        <v>5</v>
      </c>
      <c r="I648" s="28">
        <v>5</v>
      </c>
      <c r="J648" s="28"/>
      <c r="K648" s="28"/>
      <c r="L648" s="28"/>
      <c r="M648" s="28">
        <v>3</v>
      </c>
      <c r="N648" s="30"/>
      <c r="Z648"/>
      <c r="AA648"/>
      <c r="AB648"/>
      <c r="AC648"/>
      <c r="AD648"/>
      <c r="AE648"/>
      <c r="AF648"/>
      <c r="AG648"/>
      <c r="AH648"/>
    </row>
    <row r="649" spans="2:34" s="27" customFormat="1" x14ac:dyDescent="0.25">
      <c r="B649" s="399">
        <v>23</v>
      </c>
      <c r="C649" s="295">
        <v>9</v>
      </c>
      <c r="D649" s="28"/>
      <c r="E649" s="28"/>
      <c r="F649" s="28">
        <v>3</v>
      </c>
      <c r="G649" s="28">
        <v>2</v>
      </c>
      <c r="H649" s="28">
        <v>5</v>
      </c>
      <c r="I649" s="28">
        <v>5</v>
      </c>
      <c r="J649" s="28"/>
      <c r="K649" s="28"/>
      <c r="L649" s="28"/>
      <c r="M649" s="28">
        <v>3</v>
      </c>
      <c r="N649" s="30"/>
      <c r="Z649"/>
      <c r="AA649"/>
      <c r="AB649"/>
      <c r="AC649"/>
      <c r="AD649"/>
      <c r="AE649"/>
      <c r="AF649"/>
      <c r="AG649"/>
      <c r="AH649"/>
    </row>
    <row r="650" spans="2:34" s="27" customFormat="1" x14ac:dyDescent="0.25">
      <c r="B650" s="399">
        <v>24</v>
      </c>
      <c r="C650" s="295">
        <v>9</v>
      </c>
      <c r="D650" s="28"/>
      <c r="E650" s="28"/>
      <c r="F650" s="28">
        <v>3</v>
      </c>
      <c r="G650" s="28">
        <v>2</v>
      </c>
      <c r="H650" s="28">
        <v>5</v>
      </c>
      <c r="I650" s="28">
        <v>6</v>
      </c>
      <c r="J650" s="28"/>
      <c r="K650" s="28"/>
      <c r="L650" s="28"/>
      <c r="M650" s="28">
        <v>3</v>
      </c>
      <c r="N650" s="30"/>
      <c r="Z650"/>
      <c r="AA650"/>
      <c r="AB650"/>
      <c r="AC650"/>
      <c r="AD650"/>
      <c r="AE650"/>
      <c r="AF650"/>
      <c r="AG650"/>
      <c r="AH650"/>
    </row>
    <row r="651" spans="2:34" s="27" customFormat="1" x14ac:dyDescent="0.25">
      <c r="B651" s="399">
        <v>25</v>
      </c>
      <c r="C651" s="295">
        <v>9</v>
      </c>
      <c r="D651" s="28"/>
      <c r="E651" s="28"/>
      <c r="F651" s="28">
        <v>3</v>
      </c>
      <c r="G651" s="28">
        <v>2</v>
      </c>
      <c r="H651" s="28">
        <v>5</v>
      </c>
      <c r="I651" s="28">
        <v>6</v>
      </c>
      <c r="J651" s="28"/>
      <c r="K651" s="28"/>
      <c r="L651" s="28"/>
      <c r="M651" s="28">
        <v>3</v>
      </c>
      <c r="N651" s="30"/>
      <c r="Z651"/>
      <c r="AA651"/>
      <c r="AB651"/>
      <c r="AC651"/>
      <c r="AD651"/>
      <c r="AE651"/>
      <c r="AF651"/>
      <c r="AG651"/>
      <c r="AH651"/>
    </row>
    <row r="652" spans="2:34" s="27" customFormat="1" x14ac:dyDescent="0.25">
      <c r="B652" s="399">
        <v>26</v>
      </c>
      <c r="C652" s="295">
        <v>9</v>
      </c>
      <c r="D652" s="28"/>
      <c r="E652" s="28"/>
      <c r="F652" s="28">
        <v>3</v>
      </c>
      <c r="G652" s="28">
        <v>2</v>
      </c>
      <c r="H652" s="28">
        <v>6</v>
      </c>
      <c r="I652" s="28">
        <v>7</v>
      </c>
      <c r="J652" s="28"/>
      <c r="K652" s="28"/>
      <c r="L652" s="28"/>
      <c r="M652" s="28">
        <v>3</v>
      </c>
      <c r="N652" s="30"/>
      <c r="Z652"/>
      <c r="AA652"/>
      <c r="AB652"/>
      <c r="AC652"/>
      <c r="AD652"/>
      <c r="AE652"/>
      <c r="AF652"/>
      <c r="AG652"/>
      <c r="AH652"/>
    </row>
    <row r="653" spans="2:34" s="27" customFormat="1" x14ac:dyDescent="0.25">
      <c r="B653" s="399">
        <v>27</v>
      </c>
      <c r="C653" s="295">
        <v>9</v>
      </c>
      <c r="D653" s="28"/>
      <c r="E653" s="28"/>
      <c r="F653" s="28">
        <v>3</v>
      </c>
      <c r="G653" s="28">
        <v>2</v>
      </c>
      <c r="H653" s="28">
        <v>6</v>
      </c>
      <c r="I653" s="28">
        <v>7</v>
      </c>
      <c r="J653" s="28"/>
      <c r="K653" s="28"/>
      <c r="L653" s="28"/>
      <c r="M653" s="28">
        <v>3</v>
      </c>
      <c r="N653" s="30"/>
      <c r="Z653"/>
      <c r="AA653"/>
      <c r="AB653"/>
      <c r="AC653"/>
      <c r="AD653"/>
      <c r="AE653"/>
      <c r="AF653"/>
      <c r="AG653"/>
      <c r="AH653"/>
    </row>
    <row r="654" spans="2:34" s="27" customFormat="1" x14ac:dyDescent="0.25">
      <c r="B654" s="399">
        <v>28</v>
      </c>
      <c r="C654" s="295">
        <v>9</v>
      </c>
      <c r="D654" s="28"/>
      <c r="E654" s="28"/>
      <c r="F654" s="28">
        <v>3</v>
      </c>
      <c r="G654" s="28">
        <v>2</v>
      </c>
      <c r="H654" s="28">
        <v>6</v>
      </c>
      <c r="I654" s="28">
        <v>7</v>
      </c>
      <c r="J654" s="28"/>
      <c r="K654" s="28"/>
      <c r="L654" s="28"/>
      <c r="M654" s="28">
        <v>4</v>
      </c>
      <c r="N654" s="30"/>
      <c r="Z654"/>
      <c r="AA654"/>
      <c r="AB654"/>
      <c r="AC654"/>
      <c r="AD654"/>
      <c r="AE654"/>
      <c r="AF654"/>
      <c r="AG654"/>
      <c r="AH654"/>
    </row>
    <row r="655" spans="2:34" s="27" customFormat="1" x14ac:dyDescent="0.25">
      <c r="B655" s="399">
        <v>29</v>
      </c>
      <c r="C655" s="295">
        <v>9</v>
      </c>
      <c r="D655" s="28"/>
      <c r="E655" s="28"/>
      <c r="F655" s="28">
        <v>3</v>
      </c>
      <c r="G655" s="28">
        <v>2</v>
      </c>
      <c r="H655" s="28">
        <v>7</v>
      </c>
      <c r="I655" s="28">
        <v>8</v>
      </c>
      <c r="J655" s="28"/>
      <c r="K655" s="28"/>
      <c r="L655" s="28"/>
      <c r="M655" s="28">
        <v>4</v>
      </c>
      <c r="N655" s="30"/>
      <c r="Z655"/>
      <c r="AA655"/>
      <c r="AB655"/>
      <c r="AC655"/>
      <c r="AD655"/>
      <c r="AE655"/>
      <c r="AF655"/>
      <c r="AG655"/>
      <c r="AH655"/>
    </row>
    <row r="656" spans="2:34" s="27" customFormat="1" x14ac:dyDescent="0.25">
      <c r="B656" s="399">
        <v>30</v>
      </c>
      <c r="C656" s="295">
        <v>9</v>
      </c>
      <c r="D656" s="28"/>
      <c r="E656" s="28"/>
      <c r="F656" s="28">
        <v>3</v>
      </c>
      <c r="G656" s="28">
        <v>2</v>
      </c>
      <c r="H656" s="28">
        <v>7</v>
      </c>
      <c r="I656" s="28">
        <v>8</v>
      </c>
      <c r="J656" s="28"/>
      <c r="K656" s="28"/>
      <c r="L656" s="28"/>
      <c r="M656" s="28">
        <v>4</v>
      </c>
      <c r="N656" s="30"/>
      <c r="Z656"/>
      <c r="AA656"/>
      <c r="AB656"/>
      <c r="AC656"/>
      <c r="AD656"/>
      <c r="AE656"/>
      <c r="AF656"/>
      <c r="AG656"/>
      <c r="AH656"/>
    </row>
    <row r="657" spans="2:34" s="27" customFormat="1" x14ac:dyDescent="0.25">
      <c r="B657" s="399">
        <v>31</v>
      </c>
      <c r="C657" s="295">
        <v>9</v>
      </c>
      <c r="D657" s="28"/>
      <c r="E657" s="28"/>
      <c r="F657" s="28">
        <v>3</v>
      </c>
      <c r="G657" s="28">
        <v>2</v>
      </c>
      <c r="H657" s="28">
        <v>7</v>
      </c>
      <c r="I657" s="28">
        <v>8</v>
      </c>
      <c r="J657" s="28"/>
      <c r="K657" s="28"/>
      <c r="L657" s="28"/>
      <c r="M657" s="28">
        <v>4</v>
      </c>
      <c r="N657" s="30"/>
      <c r="Z657"/>
      <c r="AA657"/>
      <c r="AB657"/>
      <c r="AC657"/>
      <c r="AD657"/>
      <c r="AE657"/>
      <c r="AF657"/>
      <c r="AG657"/>
      <c r="AH657"/>
    </row>
    <row r="658" spans="2:34" s="27" customFormat="1" x14ac:dyDescent="0.25">
      <c r="B658" s="399">
        <v>32</v>
      </c>
      <c r="C658" s="295">
        <v>9</v>
      </c>
      <c r="D658" s="28"/>
      <c r="E658" s="28"/>
      <c r="F658" s="28">
        <v>3</v>
      </c>
      <c r="G658" s="28">
        <v>2</v>
      </c>
      <c r="H658" s="28">
        <v>8</v>
      </c>
      <c r="I658" s="28">
        <v>9</v>
      </c>
      <c r="J658" s="28"/>
      <c r="K658" s="28"/>
      <c r="L658" s="28"/>
      <c r="M658" s="28">
        <v>5</v>
      </c>
      <c r="N658" s="30"/>
      <c r="Z658"/>
      <c r="AA658"/>
      <c r="AB658"/>
      <c r="AC658"/>
      <c r="AD658"/>
      <c r="AE658"/>
      <c r="AF658"/>
      <c r="AG658"/>
      <c r="AH658"/>
    </row>
    <row r="659" spans="2:34" s="27" customFormat="1" x14ac:dyDescent="0.25">
      <c r="B659" s="399">
        <v>33</v>
      </c>
      <c r="C659" s="295">
        <v>9</v>
      </c>
      <c r="D659" s="28"/>
      <c r="E659" s="28"/>
      <c r="F659" s="28">
        <v>3</v>
      </c>
      <c r="G659" s="28">
        <v>2</v>
      </c>
      <c r="H659" s="28">
        <v>8</v>
      </c>
      <c r="I659" s="28">
        <v>9</v>
      </c>
      <c r="J659" s="28"/>
      <c r="K659" s="28"/>
      <c r="L659" s="28"/>
      <c r="M659" s="28">
        <v>5</v>
      </c>
      <c r="N659" s="30"/>
      <c r="Z659"/>
      <c r="AA659"/>
      <c r="AB659"/>
      <c r="AC659"/>
      <c r="AD659"/>
      <c r="AE659"/>
      <c r="AF659"/>
      <c r="AG659"/>
      <c r="AH659"/>
    </row>
    <row r="660" spans="2:34" s="27" customFormat="1" x14ac:dyDescent="0.25">
      <c r="B660" s="399">
        <v>34</v>
      </c>
      <c r="C660" s="295">
        <v>9</v>
      </c>
      <c r="D660" s="28"/>
      <c r="E660" s="28"/>
      <c r="F660" s="28">
        <v>3</v>
      </c>
      <c r="G660" s="28">
        <v>2</v>
      </c>
      <c r="H660" s="28">
        <v>8</v>
      </c>
      <c r="I660" s="28">
        <v>9</v>
      </c>
      <c r="J660" s="28"/>
      <c r="K660" s="28"/>
      <c r="L660" s="28"/>
      <c r="M660" s="28"/>
      <c r="N660" s="30"/>
      <c r="Z660"/>
      <c r="AA660"/>
      <c r="AB660"/>
      <c r="AC660"/>
      <c r="AD660"/>
      <c r="AE660"/>
      <c r="AF660"/>
      <c r="AG660"/>
      <c r="AH660"/>
    </row>
    <row r="661" spans="2:34" s="27" customFormat="1" x14ac:dyDescent="0.25">
      <c r="B661" s="399">
        <v>35</v>
      </c>
      <c r="C661" s="295">
        <v>9</v>
      </c>
      <c r="D661" s="28"/>
      <c r="E661" s="28"/>
      <c r="F661" s="28">
        <v>3</v>
      </c>
      <c r="G661" s="28">
        <v>2</v>
      </c>
      <c r="H661" s="28">
        <v>9</v>
      </c>
      <c r="I661" s="28">
        <v>9</v>
      </c>
      <c r="J661" s="28"/>
      <c r="K661" s="28"/>
      <c r="L661" s="28"/>
      <c r="M661" s="28"/>
      <c r="N661" s="30"/>
      <c r="Z661"/>
      <c r="AA661"/>
      <c r="AB661"/>
      <c r="AC661"/>
      <c r="AD661"/>
      <c r="AE661"/>
      <c r="AF661"/>
      <c r="AG661"/>
      <c r="AH661"/>
    </row>
    <row r="662" spans="2:34" s="27" customFormat="1" ht="15.75" thickBot="1" x14ac:dyDescent="0.3">
      <c r="B662" s="400">
        <v>36</v>
      </c>
      <c r="C662" s="296">
        <v>9</v>
      </c>
      <c r="D662" s="32"/>
      <c r="E662" s="32"/>
      <c r="F662" s="32">
        <v>3</v>
      </c>
      <c r="G662" s="32">
        <v>2</v>
      </c>
      <c r="H662" s="32">
        <v>9</v>
      </c>
      <c r="I662" s="32">
        <v>9</v>
      </c>
      <c r="J662" s="32"/>
      <c r="K662" s="32"/>
      <c r="L662" s="32"/>
      <c r="M662" s="32"/>
      <c r="N662" s="33"/>
      <c r="Z662"/>
      <c r="AA662"/>
      <c r="AB662"/>
      <c r="AC662"/>
      <c r="AD662"/>
      <c r="AE662"/>
      <c r="AF662"/>
      <c r="AG662"/>
      <c r="AH662"/>
    </row>
    <row r="663" spans="2:34" s="27" customFormat="1" ht="15.75" thickBot="1" x14ac:dyDescent="0.3">
      <c r="B663" s="26"/>
      <c r="Z663"/>
      <c r="AA663"/>
      <c r="AB663"/>
      <c r="AC663"/>
      <c r="AD663"/>
      <c r="AE663"/>
      <c r="AF663"/>
      <c r="AG663"/>
      <c r="AH663"/>
    </row>
    <row r="664" spans="2:34" s="27" customFormat="1" ht="15.75" thickBot="1" x14ac:dyDescent="0.3">
      <c r="B664" s="243" t="s">
        <v>613</v>
      </c>
      <c r="C664" s="242" t="s">
        <v>63</v>
      </c>
      <c r="D664" s="138" t="s">
        <v>64</v>
      </c>
      <c r="E664" s="138" t="s">
        <v>65</v>
      </c>
      <c r="F664" s="138" t="s">
        <v>66</v>
      </c>
      <c r="G664" s="138" t="s">
        <v>67</v>
      </c>
      <c r="H664" s="138" t="s">
        <v>68</v>
      </c>
      <c r="I664" s="138" t="s">
        <v>247</v>
      </c>
      <c r="J664" s="138" t="s">
        <v>69</v>
      </c>
      <c r="K664" s="138" t="s">
        <v>70</v>
      </c>
      <c r="L664" s="138" t="s">
        <v>333</v>
      </c>
      <c r="M664" s="138" t="s">
        <v>334</v>
      </c>
      <c r="N664" s="139"/>
      <c r="Z664"/>
      <c r="AA664"/>
      <c r="AB664"/>
      <c r="AC664"/>
      <c r="AD664"/>
      <c r="AE664"/>
      <c r="AF664"/>
      <c r="AG664"/>
      <c r="AH664"/>
    </row>
    <row r="665" spans="2:34" s="27" customFormat="1" x14ac:dyDescent="0.25">
      <c r="B665" s="398">
        <v>1</v>
      </c>
      <c r="C665" s="397">
        <v>0</v>
      </c>
      <c r="D665" s="133">
        <v>0</v>
      </c>
      <c r="E665" s="133"/>
      <c r="F665" s="133">
        <v>0</v>
      </c>
      <c r="G665" s="133"/>
      <c r="H665" s="133">
        <v>0</v>
      </c>
      <c r="I665" s="133">
        <v>0</v>
      </c>
      <c r="J665" s="133"/>
      <c r="K665" s="133"/>
      <c r="L665" s="133"/>
      <c r="M665" s="133">
        <v>0</v>
      </c>
      <c r="N665" s="136"/>
      <c r="Z665"/>
      <c r="AA665"/>
      <c r="AB665"/>
      <c r="AC665"/>
      <c r="AD665"/>
      <c r="AE665"/>
      <c r="AF665"/>
      <c r="AG665"/>
      <c r="AH665"/>
    </row>
    <row r="666" spans="2:34" s="27" customFormat="1" x14ac:dyDescent="0.25">
      <c r="B666" s="399">
        <v>2</v>
      </c>
      <c r="C666" s="295">
        <v>0</v>
      </c>
      <c r="D666" s="28">
        <v>0</v>
      </c>
      <c r="E666" s="28"/>
      <c r="F666" s="28">
        <v>0</v>
      </c>
      <c r="G666" s="28"/>
      <c r="H666" s="28">
        <v>0</v>
      </c>
      <c r="I666" s="28">
        <v>0</v>
      </c>
      <c r="J666" s="28"/>
      <c r="K666" s="28"/>
      <c r="L666" s="28"/>
      <c r="M666" s="28">
        <v>0</v>
      </c>
      <c r="N666" s="30"/>
      <c r="Z666"/>
      <c r="AA666"/>
      <c r="AB666"/>
      <c r="AC666"/>
      <c r="AD666"/>
      <c r="AE666"/>
      <c r="AF666"/>
      <c r="AG666"/>
      <c r="AH666"/>
    </row>
    <row r="667" spans="2:34" s="27" customFormat="1" x14ac:dyDescent="0.25">
      <c r="B667" s="399">
        <v>3</v>
      </c>
      <c r="C667" s="295">
        <v>0</v>
      </c>
      <c r="D667" s="28">
        <v>0</v>
      </c>
      <c r="E667" s="28"/>
      <c r="F667" s="28">
        <v>0</v>
      </c>
      <c r="G667" s="28"/>
      <c r="H667" s="28">
        <v>0</v>
      </c>
      <c r="I667" s="28">
        <v>0</v>
      </c>
      <c r="J667" s="28"/>
      <c r="K667" s="28"/>
      <c r="L667" s="28"/>
      <c r="M667" s="28">
        <v>0</v>
      </c>
      <c r="N667" s="30"/>
      <c r="Z667"/>
      <c r="AA667"/>
      <c r="AB667"/>
      <c r="AC667"/>
      <c r="AD667"/>
      <c r="AE667"/>
      <c r="AF667"/>
      <c r="AG667"/>
      <c r="AH667"/>
    </row>
    <row r="668" spans="2:34" s="27" customFormat="1" x14ac:dyDescent="0.25">
      <c r="B668" s="399">
        <v>4</v>
      </c>
      <c r="C668" s="295">
        <v>0</v>
      </c>
      <c r="D668" s="28">
        <v>0</v>
      </c>
      <c r="E668" s="28"/>
      <c r="F668" s="28">
        <v>0</v>
      </c>
      <c r="G668" s="28"/>
      <c r="H668" s="28">
        <v>0</v>
      </c>
      <c r="I668" s="28">
        <v>0</v>
      </c>
      <c r="J668" s="28"/>
      <c r="K668" s="28"/>
      <c r="L668" s="28"/>
      <c r="M668" s="28">
        <v>0</v>
      </c>
      <c r="N668" s="30"/>
      <c r="Z668"/>
      <c r="AA668"/>
      <c r="AB668"/>
      <c r="AC668"/>
      <c r="AD668"/>
      <c r="AE668"/>
      <c r="AF668"/>
      <c r="AG668"/>
      <c r="AH668"/>
    </row>
    <row r="669" spans="2:34" s="27" customFormat="1" x14ac:dyDescent="0.25">
      <c r="B669" s="399">
        <v>5</v>
      </c>
      <c r="C669" s="295">
        <v>0</v>
      </c>
      <c r="D669" s="28">
        <v>0</v>
      </c>
      <c r="E669" s="28"/>
      <c r="F669" s="28">
        <v>0</v>
      </c>
      <c r="G669" s="28"/>
      <c r="H669" s="28">
        <v>0</v>
      </c>
      <c r="I669" s="28">
        <v>0</v>
      </c>
      <c r="J669" s="28"/>
      <c r="K669" s="28"/>
      <c r="L669" s="28"/>
      <c r="M669" s="28">
        <v>0</v>
      </c>
      <c r="N669" s="30"/>
      <c r="Z669"/>
      <c r="AA669"/>
      <c r="AB669"/>
      <c r="AC669"/>
      <c r="AD669"/>
      <c r="AE669"/>
      <c r="AF669"/>
      <c r="AG669"/>
      <c r="AH669"/>
    </row>
    <row r="670" spans="2:34" s="27" customFormat="1" x14ac:dyDescent="0.25">
      <c r="B670" s="399">
        <v>6</v>
      </c>
      <c r="C670" s="295">
        <v>0</v>
      </c>
      <c r="D670" s="28">
        <v>1</v>
      </c>
      <c r="E670" s="28"/>
      <c r="F670" s="28">
        <v>0</v>
      </c>
      <c r="G670" s="28"/>
      <c r="H670" s="28">
        <v>0</v>
      </c>
      <c r="I670" s="28">
        <v>0</v>
      </c>
      <c r="J670" s="28"/>
      <c r="K670" s="28"/>
      <c r="L670" s="28"/>
      <c r="M670" s="28">
        <v>0</v>
      </c>
      <c r="N670" s="30"/>
      <c r="Z670"/>
      <c r="AA670"/>
      <c r="AB670"/>
      <c r="AC670"/>
      <c r="AD670"/>
      <c r="AE670"/>
      <c r="AF670"/>
      <c r="AG670"/>
      <c r="AH670"/>
    </row>
    <row r="671" spans="2:34" s="27" customFormat="1" x14ac:dyDescent="0.25">
      <c r="B671" s="399">
        <v>7</v>
      </c>
      <c r="C671" s="295">
        <v>1</v>
      </c>
      <c r="D671" s="28">
        <v>1</v>
      </c>
      <c r="E671" s="28"/>
      <c r="F671" s="28">
        <v>0</v>
      </c>
      <c r="G671" s="28"/>
      <c r="H671" s="28">
        <v>1</v>
      </c>
      <c r="I671" s="28">
        <v>0</v>
      </c>
      <c r="J671" s="28"/>
      <c r="K671" s="28"/>
      <c r="L671" s="28"/>
      <c r="M671" s="28">
        <v>0</v>
      </c>
      <c r="N671" s="30"/>
      <c r="Z671"/>
      <c r="AA671"/>
      <c r="AB671"/>
      <c r="AC671"/>
      <c r="AD671"/>
      <c r="AE671"/>
      <c r="AF671"/>
      <c r="AG671"/>
      <c r="AH671"/>
    </row>
    <row r="672" spans="2:34" s="27" customFormat="1" x14ac:dyDescent="0.25">
      <c r="B672" s="399">
        <v>8</v>
      </c>
      <c r="C672" s="295">
        <v>2</v>
      </c>
      <c r="D672" s="28">
        <v>2</v>
      </c>
      <c r="E672" s="28"/>
      <c r="F672" s="28">
        <v>0</v>
      </c>
      <c r="G672" s="28"/>
      <c r="H672" s="28">
        <v>2</v>
      </c>
      <c r="I672" s="28">
        <v>1</v>
      </c>
      <c r="J672" s="28"/>
      <c r="K672" s="28"/>
      <c r="L672" s="28"/>
      <c r="M672" s="28">
        <v>0</v>
      </c>
      <c r="N672" s="30"/>
      <c r="Z672"/>
      <c r="AA672"/>
      <c r="AB672"/>
      <c r="AC672"/>
      <c r="AD672"/>
      <c r="AE672"/>
      <c r="AF672"/>
      <c r="AG672"/>
      <c r="AH672"/>
    </row>
    <row r="673" spans="2:34" s="27" customFormat="1" x14ac:dyDescent="0.25">
      <c r="B673" s="399">
        <v>9</v>
      </c>
      <c r="C673" s="295">
        <v>2</v>
      </c>
      <c r="D673" s="28">
        <v>2</v>
      </c>
      <c r="E673" s="28"/>
      <c r="F673" s="28">
        <v>0</v>
      </c>
      <c r="G673" s="28"/>
      <c r="H673" s="28">
        <v>2</v>
      </c>
      <c r="I673" s="28">
        <v>2</v>
      </c>
      <c r="J673" s="28"/>
      <c r="K673" s="28"/>
      <c r="L673" s="28"/>
      <c r="M673" s="28">
        <v>0</v>
      </c>
      <c r="N673" s="30"/>
      <c r="Z673"/>
      <c r="AA673"/>
      <c r="AB673"/>
      <c r="AC673"/>
      <c r="AD673"/>
      <c r="AE673"/>
      <c r="AF673"/>
      <c r="AG673"/>
      <c r="AH673"/>
    </row>
    <row r="674" spans="2:34" s="27" customFormat="1" x14ac:dyDescent="0.25">
      <c r="B674" s="399">
        <v>10</v>
      </c>
      <c r="C674" s="295">
        <v>3</v>
      </c>
      <c r="D674" s="28">
        <v>3</v>
      </c>
      <c r="E674" s="28"/>
      <c r="F674" s="28">
        <v>0</v>
      </c>
      <c r="G674" s="28"/>
      <c r="H674" s="28">
        <v>2</v>
      </c>
      <c r="I674" s="28">
        <v>2</v>
      </c>
      <c r="J674" s="28"/>
      <c r="K674" s="28"/>
      <c r="L674" s="28"/>
      <c r="M674" s="28">
        <v>0</v>
      </c>
      <c r="N674" s="30"/>
      <c r="Z674"/>
      <c r="AA674"/>
      <c r="AB674"/>
      <c r="AC674"/>
      <c r="AD674"/>
      <c r="AE674"/>
      <c r="AF674"/>
      <c r="AG674"/>
      <c r="AH674"/>
    </row>
    <row r="675" spans="2:34" s="27" customFormat="1" x14ac:dyDescent="0.25">
      <c r="B675" s="399">
        <v>11</v>
      </c>
      <c r="C675" s="295">
        <v>3</v>
      </c>
      <c r="D675" s="28">
        <v>3</v>
      </c>
      <c r="E675" s="28"/>
      <c r="F675" s="28">
        <v>0</v>
      </c>
      <c r="G675" s="28"/>
      <c r="H675" s="28">
        <v>3</v>
      </c>
      <c r="I675" s="28">
        <v>3</v>
      </c>
      <c r="J675" s="28"/>
      <c r="K675" s="28"/>
      <c r="L675" s="28"/>
      <c r="M675" s="28">
        <v>0</v>
      </c>
      <c r="N675" s="30"/>
      <c r="Z675"/>
      <c r="AA675"/>
      <c r="AB675"/>
      <c r="AC675"/>
      <c r="AD675"/>
      <c r="AE675"/>
      <c r="AF675"/>
      <c r="AG675"/>
      <c r="AH675"/>
    </row>
    <row r="676" spans="2:34" s="27" customFormat="1" x14ac:dyDescent="0.25">
      <c r="B676" s="399">
        <v>12</v>
      </c>
      <c r="C676" s="295">
        <v>4</v>
      </c>
      <c r="D676" s="28">
        <v>4</v>
      </c>
      <c r="E676" s="28"/>
      <c r="F676" s="28">
        <v>0</v>
      </c>
      <c r="G676" s="28"/>
      <c r="H676" s="28">
        <v>4</v>
      </c>
      <c r="I676" s="28">
        <v>3</v>
      </c>
      <c r="J676" s="28"/>
      <c r="K676" s="28"/>
      <c r="L676" s="28"/>
      <c r="M676" s="28">
        <v>0</v>
      </c>
      <c r="N676" s="30"/>
      <c r="Z676"/>
      <c r="AA676"/>
      <c r="AB676"/>
      <c r="AC676"/>
      <c r="AD676"/>
      <c r="AE676"/>
      <c r="AF676"/>
      <c r="AG676"/>
      <c r="AH676"/>
    </row>
    <row r="677" spans="2:34" s="27" customFormat="1" x14ac:dyDescent="0.25">
      <c r="B677" s="399">
        <v>13</v>
      </c>
      <c r="C677" s="295">
        <v>5</v>
      </c>
      <c r="D677" s="28">
        <v>5</v>
      </c>
      <c r="E677" s="28"/>
      <c r="F677" s="28">
        <v>0</v>
      </c>
      <c r="G677" s="28"/>
      <c r="H677" s="28">
        <v>4</v>
      </c>
      <c r="I677" s="28">
        <v>3</v>
      </c>
      <c r="J677" s="28"/>
      <c r="K677" s="28"/>
      <c r="L677" s="28"/>
      <c r="M677" s="28">
        <v>0</v>
      </c>
      <c r="N677" s="30"/>
      <c r="Z677"/>
      <c r="AA677"/>
      <c r="AB677"/>
      <c r="AC677"/>
      <c r="AD677"/>
      <c r="AE677"/>
      <c r="AF677"/>
      <c r="AG677"/>
      <c r="AH677"/>
    </row>
    <row r="678" spans="2:34" s="27" customFormat="1" x14ac:dyDescent="0.25">
      <c r="B678" s="399">
        <v>14</v>
      </c>
      <c r="C678" s="295">
        <v>5</v>
      </c>
      <c r="D678" s="28">
        <v>6</v>
      </c>
      <c r="E678" s="28"/>
      <c r="F678" s="28">
        <v>0</v>
      </c>
      <c r="G678" s="28"/>
      <c r="H678" s="28">
        <v>4</v>
      </c>
      <c r="I678" s="28">
        <v>3</v>
      </c>
      <c r="J678" s="28"/>
      <c r="K678" s="28"/>
      <c r="L678" s="28"/>
      <c r="M678" s="28">
        <v>0</v>
      </c>
      <c r="N678" s="30"/>
      <c r="Z678"/>
      <c r="AA678"/>
      <c r="AB678"/>
      <c r="AC678"/>
      <c r="AD678"/>
      <c r="AE678"/>
      <c r="AF678"/>
      <c r="AG678"/>
      <c r="AH678"/>
    </row>
    <row r="679" spans="2:34" s="27" customFormat="1" x14ac:dyDescent="0.25">
      <c r="B679" s="399">
        <v>15</v>
      </c>
      <c r="C679" s="295">
        <v>6</v>
      </c>
      <c r="D679" s="28">
        <v>6</v>
      </c>
      <c r="E679" s="28"/>
      <c r="F679" s="28">
        <v>1</v>
      </c>
      <c r="G679" s="28"/>
      <c r="H679" s="28">
        <v>5</v>
      </c>
      <c r="I679" s="28">
        <v>4</v>
      </c>
      <c r="J679" s="28"/>
      <c r="K679" s="28"/>
      <c r="L679" s="28"/>
      <c r="M679" s="28">
        <v>0</v>
      </c>
      <c r="N679" s="30"/>
      <c r="Z679"/>
      <c r="AA679"/>
      <c r="AB679"/>
      <c r="AC679"/>
      <c r="AD679"/>
      <c r="AE679"/>
      <c r="AF679"/>
      <c r="AG679"/>
      <c r="AH679"/>
    </row>
    <row r="680" spans="2:34" s="27" customFormat="1" x14ac:dyDescent="0.25">
      <c r="B680" s="399">
        <v>16</v>
      </c>
      <c r="C680" s="295">
        <v>6</v>
      </c>
      <c r="D680" s="28">
        <v>6</v>
      </c>
      <c r="E680" s="28"/>
      <c r="F680" s="28">
        <v>1</v>
      </c>
      <c r="G680" s="28"/>
      <c r="H680" s="28">
        <v>5</v>
      </c>
      <c r="I680" s="28">
        <v>4</v>
      </c>
      <c r="J680" s="28"/>
      <c r="K680" s="28"/>
      <c r="L680" s="28"/>
      <c r="M680" s="28">
        <v>0</v>
      </c>
      <c r="N680" s="30"/>
      <c r="Z680"/>
      <c r="AA680"/>
      <c r="AB680"/>
      <c r="AC680"/>
      <c r="AD680"/>
      <c r="AE680"/>
      <c r="AF680"/>
      <c r="AG680"/>
      <c r="AH680"/>
    </row>
    <row r="681" spans="2:34" s="27" customFormat="1" x14ac:dyDescent="0.25">
      <c r="B681" s="399">
        <v>17</v>
      </c>
      <c r="C681" s="295">
        <v>7</v>
      </c>
      <c r="D681" s="28">
        <v>6</v>
      </c>
      <c r="E681" s="28"/>
      <c r="F681" s="28">
        <v>1</v>
      </c>
      <c r="G681" s="28"/>
      <c r="H681" s="28">
        <v>5</v>
      </c>
      <c r="I681" s="28">
        <v>4</v>
      </c>
      <c r="J681" s="28"/>
      <c r="K681" s="28"/>
      <c r="L681" s="28"/>
      <c r="M681" s="28">
        <v>0</v>
      </c>
      <c r="N681" s="30"/>
      <c r="Z681"/>
      <c r="AA681"/>
      <c r="AB681"/>
      <c r="AC681"/>
      <c r="AD681"/>
      <c r="AE681"/>
      <c r="AF681"/>
      <c r="AG681"/>
      <c r="AH681"/>
    </row>
    <row r="682" spans="2:34" s="27" customFormat="1" x14ac:dyDescent="0.25">
      <c r="B682" s="399">
        <v>18</v>
      </c>
      <c r="C682" s="295">
        <v>7</v>
      </c>
      <c r="D682" s="28">
        <v>6</v>
      </c>
      <c r="E682" s="28"/>
      <c r="F682" s="28">
        <v>1</v>
      </c>
      <c r="G682" s="28"/>
      <c r="H682" s="28">
        <v>5</v>
      </c>
      <c r="I682" s="28">
        <v>5</v>
      </c>
      <c r="J682" s="28"/>
      <c r="K682" s="28"/>
      <c r="L682" s="28"/>
      <c r="M682" s="28">
        <v>1</v>
      </c>
      <c r="N682" s="30"/>
      <c r="Z682"/>
      <c r="AA682"/>
      <c r="AB682"/>
      <c r="AC682"/>
      <c r="AD682"/>
      <c r="AE682"/>
      <c r="AF682"/>
      <c r="AG682"/>
      <c r="AH682"/>
    </row>
    <row r="683" spans="2:34" s="27" customFormat="1" x14ac:dyDescent="0.25">
      <c r="B683" s="399">
        <v>19</v>
      </c>
      <c r="C683" s="295">
        <v>8</v>
      </c>
      <c r="D683" s="28">
        <v>6</v>
      </c>
      <c r="E683" s="28"/>
      <c r="F683" s="28">
        <v>2</v>
      </c>
      <c r="G683" s="28"/>
      <c r="H683" s="28">
        <v>5</v>
      </c>
      <c r="I683" s="28">
        <v>5</v>
      </c>
      <c r="J683" s="28"/>
      <c r="K683" s="28"/>
      <c r="L683" s="28"/>
      <c r="M683" s="28">
        <v>2</v>
      </c>
      <c r="N683" s="30"/>
      <c r="Z683"/>
      <c r="AA683"/>
      <c r="AB683"/>
      <c r="AC683"/>
      <c r="AD683"/>
      <c r="AE683"/>
      <c r="AF683"/>
      <c r="AG683"/>
      <c r="AH683"/>
    </row>
    <row r="684" spans="2:34" s="27" customFormat="1" x14ac:dyDescent="0.25">
      <c r="B684" s="399">
        <v>20</v>
      </c>
      <c r="C684" s="295">
        <v>9</v>
      </c>
      <c r="D684" s="28">
        <v>6</v>
      </c>
      <c r="E684" s="28"/>
      <c r="F684" s="28">
        <v>3</v>
      </c>
      <c r="G684" s="28"/>
      <c r="H684" s="28">
        <v>5</v>
      </c>
      <c r="I684" s="28">
        <v>5</v>
      </c>
      <c r="J684" s="28"/>
      <c r="K684" s="28"/>
      <c r="L684" s="28"/>
      <c r="M684" s="28">
        <v>3</v>
      </c>
      <c r="N684" s="30"/>
      <c r="Z684"/>
      <c r="AA684"/>
      <c r="AB684"/>
      <c r="AC684"/>
      <c r="AD684"/>
      <c r="AE684"/>
      <c r="AF684"/>
      <c r="AG684"/>
      <c r="AH684"/>
    </row>
    <row r="685" spans="2:34" s="27" customFormat="1" x14ac:dyDescent="0.25">
      <c r="B685" s="399">
        <v>21</v>
      </c>
      <c r="C685" s="295">
        <v>9</v>
      </c>
      <c r="D685" s="28">
        <v>6</v>
      </c>
      <c r="E685" s="28"/>
      <c r="F685" s="28">
        <v>3</v>
      </c>
      <c r="G685" s="28"/>
      <c r="H685" s="28">
        <v>5</v>
      </c>
      <c r="I685" s="28">
        <v>5</v>
      </c>
      <c r="J685" s="28"/>
      <c r="K685" s="28"/>
      <c r="L685" s="28"/>
      <c r="M685" s="28">
        <v>3</v>
      </c>
      <c r="N685" s="30"/>
      <c r="Z685"/>
      <c r="AA685"/>
      <c r="AB685"/>
      <c r="AC685"/>
      <c r="AD685"/>
      <c r="AE685"/>
      <c r="AF685"/>
      <c r="AG685"/>
      <c r="AH685"/>
    </row>
    <row r="686" spans="2:34" s="27" customFormat="1" x14ac:dyDescent="0.25">
      <c r="B686" s="399">
        <v>22</v>
      </c>
      <c r="C686" s="295">
        <v>9</v>
      </c>
      <c r="D686" s="28">
        <v>6</v>
      </c>
      <c r="E686" s="28"/>
      <c r="F686" s="28">
        <v>3</v>
      </c>
      <c r="G686" s="28"/>
      <c r="H686" s="28">
        <v>5</v>
      </c>
      <c r="I686" s="28">
        <v>5</v>
      </c>
      <c r="J686" s="28"/>
      <c r="K686" s="28"/>
      <c r="L686" s="28"/>
      <c r="M686" s="28">
        <v>3</v>
      </c>
      <c r="N686" s="30"/>
      <c r="Z686"/>
      <c r="AA686"/>
      <c r="AB686"/>
      <c r="AC686"/>
      <c r="AD686"/>
      <c r="AE686"/>
      <c r="AF686"/>
      <c r="AG686"/>
      <c r="AH686"/>
    </row>
    <row r="687" spans="2:34" s="27" customFormat="1" x14ac:dyDescent="0.25">
      <c r="B687" s="399">
        <v>23</v>
      </c>
      <c r="C687" s="295">
        <v>9</v>
      </c>
      <c r="D687" s="28">
        <v>6</v>
      </c>
      <c r="E687" s="28"/>
      <c r="F687" s="28">
        <v>3</v>
      </c>
      <c r="G687" s="28"/>
      <c r="H687" s="28">
        <v>5</v>
      </c>
      <c r="I687" s="28">
        <v>5</v>
      </c>
      <c r="J687" s="28"/>
      <c r="K687" s="28"/>
      <c r="L687" s="28"/>
      <c r="M687" s="28">
        <v>3</v>
      </c>
      <c r="N687" s="30"/>
      <c r="Z687"/>
      <c r="AA687"/>
      <c r="AB687"/>
      <c r="AC687"/>
      <c r="AD687"/>
      <c r="AE687"/>
      <c r="AF687"/>
      <c r="AG687"/>
      <c r="AH687"/>
    </row>
    <row r="688" spans="2:34" s="27" customFormat="1" x14ac:dyDescent="0.25">
      <c r="B688" s="399">
        <v>24</v>
      </c>
      <c r="C688" s="295">
        <v>9</v>
      </c>
      <c r="D688" s="28"/>
      <c r="E688" s="28"/>
      <c r="F688" s="28">
        <v>3</v>
      </c>
      <c r="G688" s="28"/>
      <c r="H688" s="28">
        <v>5</v>
      </c>
      <c r="I688" s="28">
        <v>6</v>
      </c>
      <c r="J688" s="28"/>
      <c r="K688" s="28"/>
      <c r="L688" s="28"/>
      <c r="M688" s="28">
        <v>3</v>
      </c>
      <c r="N688" s="30"/>
      <c r="Z688"/>
      <c r="AA688"/>
      <c r="AB688"/>
      <c r="AC688"/>
      <c r="AD688"/>
      <c r="AE688"/>
      <c r="AF688"/>
      <c r="AG688"/>
      <c r="AH688"/>
    </row>
    <row r="689" spans="2:34" s="27" customFormat="1" x14ac:dyDescent="0.25">
      <c r="B689" s="399">
        <v>25</v>
      </c>
      <c r="C689" s="295">
        <v>9</v>
      </c>
      <c r="D689" s="28"/>
      <c r="E689" s="28"/>
      <c r="F689" s="28">
        <v>3</v>
      </c>
      <c r="G689" s="28"/>
      <c r="H689" s="28">
        <v>5</v>
      </c>
      <c r="I689" s="28">
        <v>6</v>
      </c>
      <c r="J689" s="28"/>
      <c r="K689" s="28"/>
      <c r="L689" s="28"/>
      <c r="M689" s="28">
        <v>3</v>
      </c>
      <c r="N689" s="30"/>
      <c r="Z689"/>
      <c r="AA689"/>
      <c r="AB689"/>
      <c r="AC689"/>
      <c r="AD689"/>
      <c r="AE689"/>
      <c r="AF689"/>
      <c r="AG689"/>
      <c r="AH689"/>
    </row>
    <row r="690" spans="2:34" s="27" customFormat="1" x14ac:dyDescent="0.25">
      <c r="B690" s="399">
        <v>26</v>
      </c>
      <c r="C690" s="295">
        <v>9</v>
      </c>
      <c r="D690" s="28"/>
      <c r="E690" s="28"/>
      <c r="F690" s="28">
        <v>3</v>
      </c>
      <c r="G690" s="28"/>
      <c r="H690" s="28">
        <v>6</v>
      </c>
      <c r="I690" s="28">
        <v>7</v>
      </c>
      <c r="J690" s="28"/>
      <c r="K690" s="28"/>
      <c r="L690" s="28"/>
      <c r="M690" s="28">
        <v>3</v>
      </c>
      <c r="N690" s="30"/>
      <c r="Z690"/>
      <c r="AA690"/>
      <c r="AB690"/>
      <c r="AC690"/>
      <c r="AD690"/>
      <c r="AE690"/>
      <c r="AF690"/>
      <c r="AG690"/>
      <c r="AH690"/>
    </row>
    <row r="691" spans="2:34" s="27" customFormat="1" x14ac:dyDescent="0.25">
      <c r="B691" s="399">
        <v>27</v>
      </c>
      <c r="C691" s="295">
        <v>9</v>
      </c>
      <c r="D691" s="28"/>
      <c r="E691" s="28"/>
      <c r="F691" s="28">
        <v>3</v>
      </c>
      <c r="G691" s="28"/>
      <c r="H691" s="28">
        <v>6</v>
      </c>
      <c r="I691" s="28">
        <v>7</v>
      </c>
      <c r="J691" s="28"/>
      <c r="K691" s="28"/>
      <c r="L691" s="28"/>
      <c r="M691" s="28">
        <v>3</v>
      </c>
      <c r="N691" s="30"/>
      <c r="Z691"/>
      <c r="AA691"/>
      <c r="AB691"/>
      <c r="AC691"/>
      <c r="AD691"/>
      <c r="AE691"/>
      <c r="AF691"/>
      <c r="AG691"/>
      <c r="AH691"/>
    </row>
    <row r="692" spans="2:34" s="27" customFormat="1" x14ac:dyDescent="0.25">
      <c r="B692" s="399">
        <v>28</v>
      </c>
      <c r="C692" s="295">
        <v>9</v>
      </c>
      <c r="D692" s="28"/>
      <c r="E692" s="28"/>
      <c r="F692" s="28">
        <v>3</v>
      </c>
      <c r="G692" s="28"/>
      <c r="H692" s="28">
        <v>6</v>
      </c>
      <c r="I692" s="28">
        <v>7</v>
      </c>
      <c r="J692" s="28"/>
      <c r="K692" s="28"/>
      <c r="L692" s="28"/>
      <c r="M692" s="28">
        <v>3</v>
      </c>
      <c r="N692" s="30"/>
      <c r="Z692"/>
      <c r="AA692"/>
      <c r="AB692"/>
      <c r="AC692"/>
      <c r="AD692"/>
      <c r="AE692"/>
      <c r="AF692"/>
      <c r="AG692"/>
      <c r="AH692"/>
    </row>
    <row r="693" spans="2:34" s="27" customFormat="1" x14ac:dyDescent="0.25">
      <c r="B693" s="399">
        <v>29</v>
      </c>
      <c r="C693" s="295">
        <v>9</v>
      </c>
      <c r="D693" s="28"/>
      <c r="E693" s="28"/>
      <c r="F693" s="28">
        <v>3</v>
      </c>
      <c r="G693" s="28"/>
      <c r="H693" s="28">
        <v>7</v>
      </c>
      <c r="I693" s="28">
        <v>8</v>
      </c>
      <c r="J693" s="28"/>
      <c r="K693" s="28"/>
      <c r="L693" s="28"/>
      <c r="M693" s="28">
        <v>4</v>
      </c>
      <c r="N693" s="30"/>
      <c r="Z693"/>
      <c r="AA693"/>
      <c r="AB693"/>
      <c r="AC693"/>
      <c r="AD693"/>
      <c r="AE693"/>
      <c r="AF693"/>
      <c r="AG693"/>
      <c r="AH693"/>
    </row>
    <row r="694" spans="2:34" s="27" customFormat="1" x14ac:dyDescent="0.25">
      <c r="B694" s="399">
        <v>30</v>
      </c>
      <c r="C694" s="295">
        <v>9</v>
      </c>
      <c r="D694" s="28"/>
      <c r="E694" s="28"/>
      <c r="F694" s="28">
        <v>3</v>
      </c>
      <c r="G694" s="28"/>
      <c r="H694" s="28">
        <v>7</v>
      </c>
      <c r="I694" s="28">
        <v>8</v>
      </c>
      <c r="J694" s="28"/>
      <c r="K694" s="28"/>
      <c r="L694" s="28"/>
      <c r="M694" s="28">
        <v>4</v>
      </c>
      <c r="N694" s="30"/>
      <c r="Z694"/>
      <c r="AA694"/>
      <c r="AB694"/>
      <c r="AC694"/>
      <c r="AD694"/>
      <c r="AE694"/>
      <c r="AF694"/>
      <c r="AG694"/>
      <c r="AH694"/>
    </row>
    <row r="695" spans="2:34" s="27" customFormat="1" x14ac:dyDescent="0.25">
      <c r="B695" s="399">
        <v>31</v>
      </c>
      <c r="C695" s="295">
        <v>9</v>
      </c>
      <c r="D695" s="28"/>
      <c r="E695" s="28"/>
      <c r="F695" s="28">
        <v>3</v>
      </c>
      <c r="G695" s="28"/>
      <c r="H695" s="28">
        <v>7</v>
      </c>
      <c r="I695" s="28">
        <v>8</v>
      </c>
      <c r="J695" s="28"/>
      <c r="K695" s="28"/>
      <c r="L695" s="28"/>
      <c r="M695" s="28">
        <v>4</v>
      </c>
      <c r="N695" s="30"/>
      <c r="Z695"/>
      <c r="AA695"/>
      <c r="AB695"/>
      <c r="AC695"/>
      <c r="AD695"/>
      <c r="AE695"/>
      <c r="AF695"/>
      <c r="AG695"/>
      <c r="AH695"/>
    </row>
    <row r="696" spans="2:34" s="27" customFormat="1" x14ac:dyDescent="0.25">
      <c r="B696" s="399">
        <v>32</v>
      </c>
      <c r="C696" s="295">
        <v>9</v>
      </c>
      <c r="D696" s="28"/>
      <c r="E696" s="28"/>
      <c r="F696" s="28">
        <v>3</v>
      </c>
      <c r="G696" s="28"/>
      <c r="H696" s="28">
        <v>8</v>
      </c>
      <c r="I696" s="28">
        <v>9</v>
      </c>
      <c r="J696" s="28"/>
      <c r="K696" s="28"/>
      <c r="L696" s="28"/>
      <c r="M696" s="28">
        <v>4</v>
      </c>
      <c r="N696" s="30"/>
      <c r="Z696"/>
      <c r="AA696"/>
      <c r="AB696"/>
      <c r="AC696"/>
      <c r="AD696"/>
      <c r="AE696"/>
      <c r="AF696"/>
      <c r="AG696"/>
      <c r="AH696"/>
    </row>
    <row r="697" spans="2:34" s="27" customFormat="1" x14ac:dyDescent="0.25">
      <c r="B697" s="399">
        <v>33</v>
      </c>
      <c r="C697" s="295">
        <v>9</v>
      </c>
      <c r="D697" s="28"/>
      <c r="E697" s="28"/>
      <c r="F697" s="28">
        <v>3</v>
      </c>
      <c r="G697" s="28"/>
      <c r="H697" s="28">
        <v>8</v>
      </c>
      <c r="I697" s="28">
        <v>9</v>
      </c>
      <c r="J697" s="28"/>
      <c r="K697" s="28"/>
      <c r="L697" s="28"/>
      <c r="M697" s="28">
        <v>5</v>
      </c>
      <c r="N697" s="30"/>
      <c r="Z697"/>
      <c r="AA697"/>
      <c r="AB697"/>
      <c r="AC697"/>
      <c r="AD697"/>
      <c r="AE697"/>
      <c r="AF697"/>
      <c r="AG697"/>
      <c r="AH697"/>
    </row>
    <row r="698" spans="2:34" s="27" customFormat="1" x14ac:dyDescent="0.25">
      <c r="B698" s="399">
        <v>34</v>
      </c>
      <c r="C698" s="295">
        <v>9</v>
      </c>
      <c r="D698" s="28"/>
      <c r="E698" s="28"/>
      <c r="F698" s="28">
        <v>3</v>
      </c>
      <c r="G698" s="28"/>
      <c r="H698" s="28">
        <v>8</v>
      </c>
      <c r="I698" s="28">
        <v>9</v>
      </c>
      <c r="J698" s="28"/>
      <c r="K698" s="28"/>
      <c r="L698" s="28"/>
      <c r="M698" s="28"/>
      <c r="N698" s="30"/>
      <c r="Z698"/>
      <c r="AA698"/>
      <c r="AB698"/>
      <c r="AC698"/>
      <c r="AD698"/>
      <c r="AE698"/>
      <c r="AF698"/>
      <c r="AG698"/>
      <c r="AH698"/>
    </row>
    <row r="699" spans="2:34" s="27" customFormat="1" x14ac:dyDescent="0.25">
      <c r="B699" s="399">
        <v>35</v>
      </c>
      <c r="C699" s="295">
        <v>9</v>
      </c>
      <c r="D699" s="28"/>
      <c r="E699" s="28"/>
      <c r="F699" s="28">
        <v>3</v>
      </c>
      <c r="G699" s="28"/>
      <c r="H699" s="28">
        <v>9</v>
      </c>
      <c r="I699" s="28">
        <v>9</v>
      </c>
      <c r="J699" s="28"/>
      <c r="K699" s="28"/>
      <c r="L699" s="28"/>
      <c r="M699" s="28"/>
      <c r="N699" s="30"/>
      <c r="Z699"/>
      <c r="AA699"/>
      <c r="AB699"/>
      <c r="AC699"/>
      <c r="AD699"/>
      <c r="AE699"/>
      <c r="AF699"/>
      <c r="AG699"/>
      <c r="AH699"/>
    </row>
    <row r="700" spans="2:34" s="27" customFormat="1" ht="15.75" thickBot="1" x14ac:dyDescent="0.3">
      <c r="B700" s="400">
        <v>36</v>
      </c>
      <c r="C700" s="296">
        <v>9</v>
      </c>
      <c r="D700" s="32"/>
      <c r="E700" s="32"/>
      <c r="F700" s="32">
        <v>3</v>
      </c>
      <c r="G700" s="32"/>
      <c r="H700" s="32">
        <v>9</v>
      </c>
      <c r="I700" s="32">
        <v>9</v>
      </c>
      <c r="J700" s="32"/>
      <c r="K700" s="32"/>
      <c r="L700" s="32"/>
      <c r="M700" s="32"/>
      <c r="N700" s="33"/>
      <c r="Z700"/>
      <c r="AA700"/>
      <c r="AB700"/>
      <c r="AC700"/>
      <c r="AD700"/>
      <c r="AE700"/>
      <c r="AF700"/>
      <c r="AG700"/>
      <c r="AH700"/>
    </row>
    <row r="701" spans="2:34" s="27" customFormat="1" ht="15.75" thickBot="1" x14ac:dyDescent="0.3">
      <c r="B701" s="26"/>
      <c r="Z701"/>
      <c r="AA701"/>
      <c r="AB701"/>
      <c r="AC701"/>
      <c r="AD701"/>
      <c r="AE701"/>
      <c r="AF701"/>
      <c r="AG701"/>
      <c r="AH701"/>
    </row>
    <row r="702" spans="2:34" s="27" customFormat="1" ht="15.75" thickBot="1" x14ac:dyDescent="0.3">
      <c r="B702" s="243" t="s">
        <v>614</v>
      </c>
      <c r="C702" s="242" t="s">
        <v>63</v>
      </c>
      <c r="D702" s="138" t="s">
        <v>64</v>
      </c>
      <c r="E702" s="138" t="s">
        <v>65</v>
      </c>
      <c r="F702" s="138" t="s">
        <v>66</v>
      </c>
      <c r="G702" s="138" t="s">
        <v>67</v>
      </c>
      <c r="H702" s="138" t="s">
        <v>68</v>
      </c>
      <c r="I702" s="138" t="s">
        <v>247</v>
      </c>
      <c r="J702" s="138" t="s">
        <v>69</v>
      </c>
      <c r="K702" s="138" t="s">
        <v>70</v>
      </c>
      <c r="L702" s="138" t="s">
        <v>333</v>
      </c>
      <c r="M702" s="138" t="s">
        <v>334</v>
      </c>
      <c r="N702" s="139"/>
      <c r="Z702"/>
      <c r="AA702"/>
      <c r="AB702"/>
      <c r="AC702"/>
      <c r="AD702"/>
      <c r="AE702"/>
      <c r="AF702"/>
      <c r="AG702"/>
      <c r="AH702"/>
    </row>
    <row r="703" spans="2:34" s="27" customFormat="1" x14ac:dyDescent="0.25">
      <c r="B703" s="398">
        <v>1</v>
      </c>
      <c r="C703" s="397">
        <v>0</v>
      </c>
      <c r="D703" s="133">
        <v>0</v>
      </c>
      <c r="E703" s="133"/>
      <c r="F703" s="133"/>
      <c r="G703" s="133"/>
      <c r="H703" s="133">
        <v>0</v>
      </c>
      <c r="I703" s="133">
        <v>0</v>
      </c>
      <c r="J703" s="133"/>
      <c r="K703" s="133"/>
      <c r="L703" s="133"/>
      <c r="M703" s="133"/>
      <c r="N703" s="136"/>
      <c r="Z703"/>
      <c r="AA703"/>
      <c r="AB703"/>
      <c r="AC703"/>
      <c r="AD703"/>
      <c r="AE703"/>
      <c r="AF703"/>
      <c r="AG703"/>
      <c r="AH703"/>
    </row>
    <row r="704" spans="2:34" s="27" customFormat="1" x14ac:dyDescent="0.25">
      <c r="B704" s="399">
        <v>2</v>
      </c>
      <c r="C704" s="295">
        <v>0</v>
      </c>
      <c r="D704" s="28">
        <v>0</v>
      </c>
      <c r="E704" s="28"/>
      <c r="F704" s="28"/>
      <c r="G704" s="28"/>
      <c r="H704" s="28">
        <v>0</v>
      </c>
      <c r="I704" s="28">
        <v>0</v>
      </c>
      <c r="J704" s="28"/>
      <c r="K704" s="28"/>
      <c r="L704" s="28"/>
      <c r="M704" s="28"/>
      <c r="N704" s="30"/>
      <c r="Z704"/>
      <c r="AA704"/>
      <c r="AB704"/>
      <c r="AC704"/>
      <c r="AD704"/>
      <c r="AE704"/>
      <c r="AF704"/>
      <c r="AG704"/>
      <c r="AH704"/>
    </row>
    <row r="705" spans="2:34" s="27" customFormat="1" x14ac:dyDescent="0.25">
      <c r="B705" s="399">
        <v>3</v>
      </c>
      <c r="C705" s="295">
        <v>0</v>
      </c>
      <c r="D705" s="28">
        <v>0</v>
      </c>
      <c r="E705" s="28"/>
      <c r="F705" s="28"/>
      <c r="G705" s="28"/>
      <c r="H705" s="28">
        <v>0</v>
      </c>
      <c r="I705" s="28">
        <v>0</v>
      </c>
      <c r="J705" s="28"/>
      <c r="K705" s="28"/>
      <c r="L705" s="28"/>
      <c r="M705" s="28"/>
      <c r="N705" s="30"/>
      <c r="Z705"/>
      <c r="AA705"/>
      <c r="AB705"/>
      <c r="AC705"/>
      <c r="AD705"/>
      <c r="AE705"/>
      <c r="AF705"/>
      <c r="AG705"/>
      <c r="AH705"/>
    </row>
    <row r="706" spans="2:34" s="27" customFormat="1" x14ac:dyDescent="0.25">
      <c r="B706" s="399">
        <v>4</v>
      </c>
      <c r="C706" s="295">
        <v>0</v>
      </c>
      <c r="D706" s="28">
        <v>0</v>
      </c>
      <c r="E706" s="28"/>
      <c r="F706" s="28"/>
      <c r="G706" s="28"/>
      <c r="H706" s="28">
        <v>0</v>
      </c>
      <c r="I706" s="28">
        <v>0</v>
      </c>
      <c r="J706" s="28"/>
      <c r="K706" s="28"/>
      <c r="L706" s="28"/>
      <c r="M706" s="28">
        <v>0</v>
      </c>
      <c r="N706" s="30"/>
      <c r="Z706"/>
      <c r="AA706"/>
      <c r="AB706"/>
      <c r="AC706"/>
      <c r="AD706"/>
      <c r="AE706"/>
      <c r="AF706"/>
      <c r="AG706"/>
      <c r="AH706"/>
    </row>
    <row r="707" spans="2:34" s="27" customFormat="1" x14ac:dyDescent="0.25">
      <c r="B707" s="399">
        <v>5</v>
      </c>
      <c r="C707" s="295">
        <v>0</v>
      </c>
      <c r="D707" s="28">
        <v>0</v>
      </c>
      <c r="E707" s="28"/>
      <c r="F707" s="28"/>
      <c r="G707" s="28"/>
      <c r="H707" s="28">
        <v>0</v>
      </c>
      <c r="I707" s="28">
        <v>0</v>
      </c>
      <c r="J707" s="28"/>
      <c r="K707" s="28"/>
      <c r="L707" s="28"/>
      <c r="M707" s="28">
        <v>0</v>
      </c>
      <c r="N707" s="30"/>
      <c r="Z707"/>
      <c r="AA707"/>
      <c r="AB707"/>
      <c r="AC707"/>
      <c r="AD707"/>
      <c r="AE707"/>
      <c r="AF707"/>
      <c r="AG707"/>
      <c r="AH707"/>
    </row>
    <row r="708" spans="2:34" s="27" customFormat="1" x14ac:dyDescent="0.25">
      <c r="B708" s="399">
        <v>6</v>
      </c>
      <c r="C708" s="295">
        <v>0</v>
      </c>
      <c r="D708" s="28">
        <v>0</v>
      </c>
      <c r="E708" s="28"/>
      <c r="F708" s="28"/>
      <c r="G708" s="28"/>
      <c r="H708" s="28">
        <v>0</v>
      </c>
      <c r="I708" s="28">
        <v>0</v>
      </c>
      <c r="J708" s="28"/>
      <c r="K708" s="28"/>
      <c r="L708" s="28"/>
      <c r="M708" s="28">
        <v>0</v>
      </c>
      <c r="N708" s="30"/>
      <c r="Z708"/>
      <c r="AA708"/>
      <c r="AB708"/>
      <c r="AC708"/>
      <c r="AD708"/>
      <c r="AE708"/>
      <c r="AF708"/>
      <c r="AG708"/>
      <c r="AH708"/>
    </row>
    <row r="709" spans="2:34" s="27" customFormat="1" x14ac:dyDescent="0.25">
      <c r="B709" s="399">
        <v>7</v>
      </c>
      <c r="C709" s="295">
        <v>0</v>
      </c>
      <c r="D709" s="28">
        <v>0</v>
      </c>
      <c r="E709" s="28"/>
      <c r="F709" s="28"/>
      <c r="G709" s="28"/>
      <c r="H709" s="28">
        <v>0</v>
      </c>
      <c r="I709" s="28">
        <v>0</v>
      </c>
      <c r="J709" s="28"/>
      <c r="K709" s="28"/>
      <c r="L709" s="28"/>
      <c r="M709" s="28">
        <v>0</v>
      </c>
      <c r="N709" s="30"/>
      <c r="Z709"/>
      <c r="AA709"/>
      <c r="AB709"/>
      <c r="AC709"/>
      <c r="AD709"/>
      <c r="AE709"/>
      <c r="AF709"/>
      <c r="AG709"/>
      <c r="AH709"/>
    </row>
    <row r="710" spans="2:34" s="27" customFormat="1" x14ac:dyDescent="0.25">
      <c r="B710" s="399">
        <v>8</v>
      </c>
      <c r="C710" s="295">
        <v>0</v>
      </c>
      <c r="D710" s="28">
        <v>0</v>
      </c>
      <c r="E710" s="28"/>
      <c r="F710" s="28"/>
      <c r="G710" s="28"/>
      <c r="H710" s="28">
        <v>0</v>
      </c>
      <c r="I710" s="28">
        <v>0</v>
      </c>
      <c r="J710" s="28"/>
      <c r="K710" s="28"/>
      <c r="L710" s="28"/>
      <c r="M710" s="28">
        <v>0</v>
      </c>
      <c r="N710" s="30"/>
      <c r="Z710"/>
      <c r="AA710"/>
      <c r="AB710"/>
      <c r="AC710"/>
      <c r="AD710"/>
      <c r="AE710"/>
      <c r="AF710"/>
      <c r="AG710"/>
      <c r="AH710"/>
    </row>
    <row r="711" spans="2:34" s="27" customFormat="1" x14ac:dyDescent="0.25">
      <c r="B711" s="399">
        <v>9</v>
      </c>
      <c r="C711" s="295">
        <v>1</v>
      </c>
      <c r="D711" s="28">
        <v>1</v>
      </c>
      <c r="E711" s="28"/>
      <c r="F711" s="28"/>
      <c r="G711" s="28"/>
      <c r="H711" s="28">
        <v>1</v>
      </c>
      <c r="I711" s="28">
        <v>0</v>
      </c>
      <c r="J711" s="28"/>
      <c r="K711" s="28"/>
      <c r="L711" s="28"/>
      <c r="M711" s="28">
        <v>0</v>
      </c>
      <c r="N711" s="30"/>
      <c r="Z711"/>
      <c r="AA711"/>
      <c r="AB711"/>
      <c r="AC711"/>
      <c r="AD711"/>
      <c r="AE711"/>
      <c r="AF711"/>
      <c r="AG711"/>
      <c r="AH711"/>
    </row>
    <row r="712" spans="2:34" s="27" customFormat="1" x14ac:dyDescent="0.25">
      <c r="B712" s="399">
        <v>10</v>
      </c>
      <c r="C712" s="295">
        <v>2</v>
      </c>
      <c r="D712" s="28">
        <v>2</v>
      </c>
      <c r="E712" s="28"/>
      <c r="F712" s="28"/>
      <c r="G712" s="28"/>
      <c r="H712" s="28">
        <v>2</v>
      </c>
      <c r="I712" s="28">
        <v>1</v>
      </c>
      <c r="J712" s="28"/>
      <c r="K712" s="28"/>
      <c r="L712" s="28"/>
      <c r="M712" s="28">
        <v>0</v>
      </c>
      <c r="N712" s="30"/>
      <c r="Z712"/>
      <c r="AA712"/>
      <c r="AB712"/>
      <c r="AC712"/>
      <c r="AD712"/>
      <c r="AE712"/>
      <c r="AF712"/>
      <c r="AG712"/>
      <c r="AH712"/>
    </row>
    <row r="713" spans="2:34" s="27" customFormat="1" x14ac:dyDescent="0.25">
      <c r="B713" s="399">
        <v>11</v>
      </c>
      <c r="C713" s="295">
        <v>2</v>
      </c>
      <c r="D713" s="28">
        <v>2</v>
      </c>
      <c r="E713" s="28"/>
      <c r="F713" s="28"/>
      <c r="G713" s="28"/>
      <c r="H713" s="28">
        <v>3</v>
      </c>
      <c r="I713" s="28">
        <v>2</v>
      </c>
      <c r="J713" s="28"/>
      <c r="K713" s="28"/>
      <c r="L713" s="28"/>
      <c r="M713" s="28">
        <v>0</v>
      </c>
      <c r="N713" s="30"/>
      <c r="Z713"/>
      <c r="AA713"/>
      <c r="AB713"/>
      <c r="AC713"/>
      <c r="AD713"/>
      <c r="AE713"/>
      <c r="AF713"/>
      <c r="AG713"/>
      <c r="AH713"/>
    </row>
    <row r="714" spans="2:34" s="27" customFormat="1" x14ac:dyDescent="0.25">
      <c r="B714" s="399">
        <v>12</v>
      </c>
      <c r="C714" s="295">
        <v>2</v>
      </c>
      <c r="D714" s="28">
        <v>3</v>
      </c>
      <c r="E714" s="28"/>
      <c r="F714" s="28"/>
      <c r="G714" s="28"/>
      <c r="H714" s="28">
        <v>4</v>
      </c>
      <c r="I714" s="28">
        <v>2</v>
      </c>
      <c r="J714" s="28"/>
      <c r="K714" s="28"/>
      <c r="L714" s="28"/>
      <c r="M714" s="28">
        <v>0</v>
      </c>
      <c r="N714" s="30"/>
      <c r="Z714"/>
      <c r="AA714"/>
      <c r="AB714"/>
      <c r="AC714"/>
      <c r="AD714"/>
      <c r="AE714"/>
      <c r="AF714"/>
      <c r="AG714"/>
      <c r="AH714"/>
    </row>
    <row r="715" spans="2:34" s="27" customFormat="1" x14ac:dyDescent="0.25">
      <c r="B715" s="399">
        <v>13</v>
      </c>
      <c r="C715" s="295">
        <v>2</v>
      </c>
      <c r="D715" s="28">
        <v>4</v>
      </c>
      <c r="E715" s="28"/>
      <c r="F715" s="28"/>
      <c r="G715" s="28"/>
      <c r="H715" s="28">
        <v>4</v>
      </c>
      <c r="I715" s="28">
        <v>2</v>
      </c>
      <c r="J715" s="28"/>
      <c r="K715" s="28"/>
      <c r="L715" s="28"/>
      <c r="M715" s="28">
        <v>0</v>
      </c>
      <c r="N715" s="30"/>
      <c r="Z715"/>
      <c r="AA715"/>
      <c r="AB715"/>
      <c r="AC715"/>
      <c r="AD715"/>
      <c r="AE715"/>
      <c r="AF715"/>
      <c r="AG715"/>
      <c r="AH715"/>
    </row>
    <row r="716" spans="2:34" s="27" customFormat="1" x14ac:dyDescent="0.25">
      <c r="B716" s="399">
        <v>14</v>
      </c>
      <c r="C716" s="295">
        <v>3</v>
      </c>
      <c r="D716" s="28">
        <v>5</v>
      </c>
      <c r="E716" s="28"/>
      <c r="F716" s="28"/>
      <c r="G716" s="28"/>
      <c r="H716" s="28">
        <v>4</v>
      </c>
      <c r="I716" s="28">
        <v>2</v>
      </c>
      <c r="J716" s="28"/>
      <c r="K716" s="28"/>
      <c r="L716" s="28"/>
      <c r="M716" s="28">
        <v>0</v>
      </c>
      <c r="N716" s="30"/>
      <c r="Z716"/>
      <c r="AA716"/>
      <c r="AB716"/>
      <c r="AC716"/>
      <c r="AD716"/>
      <c r="AE716"/>
      <c r="AF716"/>
      <c r="AG716"/>
      <c r="AH716"/>
    </row>
    <row r="717" spans="2:34" s="27" customFormat="1" x14ac:dyDescent="0.25">
      <c r="B717" s="399">
        <v>15</v>
      </c>
      <c r="C717" s="295">
        <v>4</v>
      </c>
      <c r="D717" s="28">
        <v>6</v>
      </c>
      <c r="E717" s="28"/>
      <c r="F717" s="28"/>
      <c r="G717" s="28"/>
      <c r="H717" s="28">
        <v>5</v>
      </c>
      <c r="I717" s="28">
        <v>2</v>
      </c>
      <c r="J717" s="28"/>
      <c r="K717" s="28"/>
      <c r="L717" s="28"/>
      <c r="M717" s="28">
        <v>0</v>
      </c>
      <c r="N717" s="30"/>
      <c r="Z717"/>
      <c r="AA717"/>
      <c r="AB717"/>
      <c r="AC717"/>
      <c r="AD717"/>
      <c r="AE717"/>
      <c r="AF717"/>
      <c r="AG717"/>
      <c r="AH717"/>
    </row>
    <row r="718" spans="2:34" s="27" customFormat="1" x14ac:dyDescent="0.25">
      <c r="B718" s="399">
        <v>16</v>
      </c>
      <c r="C718" s="295">
        <v>5</v>
      </c>
      <c r="D718" s="28">
        <v>6</v>
      </c>
      <c r="E718" s="28"/>
      <c r="F718" s="28"/>
      <c r="G718" s="28"/>
      <c r="H718" s="28">
        <v>5</v>
      </c>
      <c r="I718" s="28">
        <v>3</v>
      </c>
      <c r="J718" s="28"/>
      <c r="K718" s="28"/>
      <c r="L718" s="28"/>
      <c r="M718" s="28">
        <v>0</v>
      </c>
      <c r="N718" s="30"/>
      <c r="Z718"/>
      <c r="AA718"/>
      <c r="AB718"/>
      <c r="AC718"/>
      <c r="AD718"/>
      <c r="AE718"/>
      <c r="AF718"/>
      <c r="AG718"/>
      <c r="AH718"/>
    </row>
    <row r="719" spans="2:34" s="27" customFormat="1" x14ac:dyDescent="0.25">
      <c r="B719" s="399">
        <v>17</v>
      </c>
      <c r="C719" s="295">
        <v>5</v>
      </c>
      <c r="D719" s="28">
        <v>6</v>
      </c>
      <c r="E719" s="28"/>
      <c r="F719" s="28"/>
      <c r="G719" s="28"/>
      <c r="H719" s="28">
        <v>5</v>
      </c>
      <c r="I719" s="28">
        <v>3</v>
      </c>
      <c r="J719" s="28"/>
      <c r="K719" s="28"/>
      <c r="L719" s="28"/>
      <c r="M719" s="28">
        <v>0</v>
      </c>
      <c r="N719" s="30"/>
      <c r="Z719"/>
      <c r="AA719"/>
      <c r="AB719"/>
      <c r="AC719"/>
      <c r="AD719"/>
      <c r="AE719"/>
      <c r="AF719"/>
      <c r="AG719"/>
      <c r="AH719"/>
    </row>
    <row r="720" spans="2:34" s="27" customFormat="1" x14ac:dyDescent="0.25">
      <c r="B720" s="399">
        <v>18</v>
      </c>
      <c r="C720" s="295">
        <v>6</v>
      </c>
      <c r="D720" s="28">
        <v>6</v>
      </c>
      <c r="E720" s="28"/>
      <c r="F720" s="28"/>
      <c r="G720" s="28"/>
      <c r="H720" s="28">
        <v>5</v>
      </c>
      <c r="I720" s="28">
        <v>3</v>
      </c>
      <c r="J720" s="28"/>
      <c r="K720" s="28"/>
      <c r="L720" s="28"/>
      <c r="M720" s="28">
        <v>0</v>
      </c>
      <c r="N720" s="30"/>
      <c r="Z720"/>
      <c r="AA720"/>
      <c r="AB720"/>
      <c r="AC720"/>
      <c r="AD720"/>
      <c r="AE720"/>
      <c r="AF720"/>
      <c r="AG720"/>
      <c r="AH720"/>
    </row>
    <row r="721" spans="2:34" s="27" customFormat="1" x14ac:dyDescent="0.25">
      <c r="B721" s="399">
        <v>19</v>
      </c>
      <c r="C721" s="295">
        <v>6</v>
      </c>
      <c r="D721" s="28">
        <v>6</v>
      </c>
      <c r="E721" s="28"/>
      <c r="F721" s="28"/>
      <c r="G721" s="28"/>
      <c r="H721" s="28">
        <v>5</v>
      </c>
      <c r="I721" s="28">
        <v>4</v>
      </c>
      <c r="J721" s="28"/>
      <c r="K721" s="28"/>
      <c r="L721" s="28"/>
      <c r="M721" s="28">
        <v>0</v>
      </c>
      <c r="N721" s="30"/>
      <c r="Z721"/>
      <c r="AA721"/>
      <c r="AB721"/>
      <c r="AC721"/>
      <c r="AD721"/>
      <c r="AE721"/>
      <c r="AF721"/>
      <c r="AG721"/>
      <c r="AH721"/>
    </row>
    <row r="722" spans="2:34" s="27" customFormat="1" x14ac:dyDescent="0.25">
      <c r="B722" s="399">
        <v>20</v>
      </c>
      <c r="C722" s="295">
        <v>7</v>
      </c>
      <c r="D722" s="28">
        <v>6</v>
      </c>
      <c r="E722" s="28"/>
      <c r="F722" s="28"/>
      <c r="G722" s="28"/>
      <c r="H722" s="28">
        <v>5</v>
      </c>
      <c r="I722" s="28">
        <v>4</v>
      </c>
      <c r="J722" s="28"/>
      <c r="K722" s="28"/>
      <c r="L722" s="28"/>
      <c r="M722" s="28">
        <v>0</v>
      </c>
      <c r="N722" s="30"/>
      <c r="Z722"/>
      <c r="AA722"/>
      <c r="AB722"/>
      <c r="AC722"/>
      <c r="AD722"/>
      <c r="AE722"/>
      <c r="AF722"/>
      <c r="AG722"/>
      <c r="AH722"/>
    </row>
    <row r="723" spans="2:34" s="27" customFormat="1" x14ac:dyDescent="0.25">
      <c r="B723" s="399">
        <v>21</v>
      </c>
      <c r="C723" s="295">
        <v>8</v>
      </c>
      <c r="D723" s="28">
        <v>6</v>
      </c>
      <c r="E723" s="28"/>
      <c r="F723" s="28"/>
      <c r="G723" s="28"/>
      <c r="H723" s="28">
        <v>5</v>
      </c>
      <c r="I723" s="28">
        <v>5</v>
      </c>
      <c r="J723" s="28"/>
      <c r="K723" s="28"/>
      <c r="L723" s="28"/>
      <c r="M723" s="28">
        <v>1</v>
      </c>
      <c r="N723" s="30"/>
      <c r="Z723"/>
      <c r="AA723"/>
      <c r="AB723"/>
      <c r="AC723"/>
      <c r="AD723"/>
      <c r="AE723"/>
      <c r="AF723"/>
      <c r="AG723"/>
      <c r="AH723"/>
    </row>
    <row r="724" spans="2:34" s="27" customFormat="1" x14ac:dyDescent="0.25">
      <c r="B724" s="399">
        <v>22</v>
      </c>
      <c r="C724" s="295">
        <v>9</v>
      </c>
      <c r="D724" s="28">
        <v>6</v>
      </c>
      <c r="E724" s="28"/>
      <c r="F724" s="28"/>
      <c r="G724" s="28"/>
      <c r="H724" s="28">
        <v>5</v>
      </c>
      <c r="I724" s="28">
        <v>5</v>
      </c>
      <c r="J724" s="28"/>
      <c r="K724" s="28"/>
      <c r="L724" s="28"/>
      <c r="M724" s="28">
        <v>2</v>
      </c>
      <c r="N724" s="30"/>
      <c r="Z724"/>
      <c r="AA724"/>
      <c r="AB724"/>
      <c r="AC724"/>
      <c r="AD724"/>
      <c r="AE724"/>
      <c r="AF724"/>
      <c r="AG724"/>
      <c r="AH724"/>
    </row>
    <row r="725" spans="2:34" s="27" customFormat="1" x14ac:dyDescent="0.25">
      <c r="B725" s="399">
        <v>23</v>
      </c>
      <c r="C725" s="295">
        <v>9</v>
      </c>
      <c r="D725" s="28">
        <v>6</v>
      </c>
      <c r="E725" s="28"/>
      <c r="F725" s="28"/>
      <c r="G725" s="28"/>
      <c r="H725" s="28">
        <v>5</v>
      </c>
      <c r="I725" s="28">
        <v>5</v>
      </c>
      <c r="J725" s="28"/>
      <c r="K725" s="28"/>
      <c r="L725" s="28"/>
      <c r="M725" s="28">
        <v>3</v>
      </c>
      <c r="N725" s="30"/>
      <c r="Z725"/>
      <c r="AA725"/>
      <c r="AB725"/>
      <c r="AC725"/>
      <c r="AD725"/>
      <c r="AE725"/>
      <c r="AF725"/>
      <c r="AG725"/>
      <c r="AH725"/>
    </row>
    <row r="726" spans="2:34" s="27" customFormat="1" x14ac:dyDescent="0.25">
      <c r="B726" s="399">
        <v>24</v>
      </c>
      <c r="C726" s="295">
        <v>9</v>
      </c>
      <c r="D726" s="28"/>
      <c r="E726" s="28"/>
      <c r="F726" s="28"/>
      <c r="G726" s="28"/>
      <c r="H726" s="28">
        <v>5</v>
      </c>
      <c r="I726" s="28">
        <v>5</v>
      </c>
      <c r="J726" s="28"/>
      <c r="K726" s="28"/>
      <c r="L726" s="28"/>
      <c r="M726" s="28">
        <v>3</v>
      </c>
      <c r="N726" s="30"/>
      <c r="Z726"/>
      <c r="AA726"/>
      <c r="AB726"/>
      <c r="AC726"/>
      <c r="AD726"/>
      <c r="AE726"/>
      <c r="AF726"/>
      <c r="AG726"/>
      <c r="AH726"/>
    </row>
    <row r="727" spans="2:34" s="27" customFormat="1" x14ac:dyDescent="0.25">
      <c r="B727" s="399">
        <v>25</v>
      </c>
      <c r="C727" s="295">
        <v>9</v>
      </c>
      <c r="D727" s="28"/>
      <c r="E727" s="28"/>
      <c r="F727" s="28"/>
      <c r="G727" s="28"/>
      <c r="H727" s="28">
        <v>5</v>
      </c>
      <c r="I727" s="28">
        <v>6</v>
      </c>
      <c r="J727" s="28"/>
      <c r="K727" s="28"/>
      <c r="L727" s="28"/>
      <c r="M727" s="28">
        <v>3</v>
      </c>
      <c r="N727" s="30"/>
      <c r="Z727"/>
      <c r="AA727"/>
      <c r="AB727"/>
      <c r="AC727"/>
      <c r="AD727"/>
      <c r="AE727"/>
      <c r="AF727"/>
      <c r="AG727"/>
      <c r="AH727"/>
    </row>
    <row r="728" spans="2:34" s="27" customFormat="1" x14ac:dyDescent="0.25">
      <c r="B728" s="399">
        <v>26</v>
      </c>
      <c r="C728" s="295">
        <v>9</v>
      </c>
      <c r="D728" s="28"/>
      <c r="E728" s="28"/>
      <c r="F728" s="28"/>
      <c r="G728" s="28"/>
      <c r="H728" s="28">
        <v>5</v>
      </c>
      <c r="I728" s="28">
        <v>6</v>
      </c>
      <c r="J728" s="28"/>
      <c r="K728" s="28"/>
      <c r="L728" s="28"/>
      <c r="M728" s="28">
        <v>3</v>
      </c>
      <c r="N728" s="30"/>
      <c r="Z728"/>
      <c r="AA728"/>
      <c r="AB728"/>
      <c r="AC728"/>
      <c r="AD728"/>
      <c r="AE728"/>
      <c r="AF728"/>
      <c r="AG728"/>
      <c r="AH728"/>
    </row>
    <row r="729" spans="2:34" s="27" customFormat="1" x14ac:dyDescent="0.25">
      <c r="B729" s="399">
        <v>27</v>
      </c>
      <c r="C729" s="295">
        <v>9</v>
      </c>
      <c r="D729" s="28"/>
      <c r="E729" s="28"/>
      <c r="F729" s="28"/>
      <c r="G729" s="28"/>
      <c r="H729" s="28">
        <v>6</v>
      </c>
      <c r="I729" s="28">
        <v>6</v>
      </c>
      <c r="J729" s="28"/>
      <c r="K729" s="28"/>
      <c r="L729" s="28"/>
      <c r="M729" s="28">
        <v>3</v>
      </c>
      <c r="N729" s="30"/>
      <c r="Z729"/>
      <c r="AA729"/>
      <c r="AB729"/>
      <c r="AC729"/>
      <c r="AD729"/>
      <c r="AE729"/>
      <c r="AF729"/>
      <c r="AG729"/>
      <c r="AH729"/>
    </row>
    <row r="730" spans="2:34" s="27" customFormat="1" x14ac:dyDescent="0.25">
      <c r="B730" s="399">
        <v>28</v>
      </c>
      <c r="C730" s="295">
        <v>9</v>
      </c>
      <c r="D730" s="28"/>
      <c r="E730" s="28"/>
      <c r="F730" s="28"/>
      <c r="G730" s="28"/>
      <c r="H730" s="28">
        <v>6</v>
      </c>
      <c r="I730" s="28">
        <v>7</v>
      </c>
      <c r="J730" s="28"/>
      <c r="K730" s="28"/>
      <c r="L730" s="28"/>
      <c r="M730" s="28">
        <v>3</v>
      </c>
      <c r="N730" s="30"/>
      <c r="Z730"/>
      <c r="AA730"/>
      <c r="AB730"/>
      <c r="AC730"/>
      <c r="AD730"/>
      <c r="AE730"/>
      <c r="AF730"/>
      <c r="AG730"/>
      <c r="AH730"/>
    </row>
    <row r="731" spans="2:34" s="27" customFormat="1" x14ac:dyDescent="0.25">
      <c r="B731" s="399">
        <v>29</v>
      </c>
      <c r="C731" s="295">
        <v>9</v>
      </c>
      <c r="D731" s="28"/>
      <c r="E731" s="28"/>
      <c r="F731" s="28"/>
      <c r="G731" s="28"/>
      <c r="H731" s="28">
        <v>6</v>
      </c>
      <c r="I731" s="28">
        <v>7</v>
      </c>
      <c r="J731" s="28"/>
      <c r="K731" s="28"/>
      <c r="L731" s="28"/>
      <c r="M731" s="28">
        <v>3</v>
      </c>
      <c r="N731" s="30"/>
      <c r="Z731"/>
      <c r="AA731"/>
      <c r="AB731"/>
      <c r="AC731"/>
      <c r="AD731"/>
      <c r="AE731"/>
      <c r="AF731"/>
      <c r="AG731"/>
      <c r="AH731"/>
    </row>
    <row r="732" spans="2:34" s="27" customFormat="1" x14ac:dyDescent="0.25">
      <c r="B732" s="399">
        <v>30</v>
      </c>
      <c r="C732" s="295">
        <v>9</v>
      </c>
      <c r="D732" s="28"/>
      <c r="E732" s="28"/>
      <c r="F732" s="28"/>
      <c r="G732" s="28"/>
      <c r="H732" s="28">
        <v>7</v>
      </c>
      <c r="I732" s="28">
        <v>7</v>
      </c>
      <c r="J732" s="28"/>
      <c r="K732" s="28"/>
      <c r="L732" s="28"/>
      <c r="M732" s="28">
        <v>4</v>
      </c>
      <c r="N732" s="30"/>
      <c r="Z732"/>
      <c r="AA732"/>
      <c r="AB732"/>
      <c r="AC732"/>
      <c r="AD732"/>
      <c r="AE732"/>
      <c r="AF732"/>
      <c r="AG732"/>
      <c r="AH732"/>
    </row>
    <row r="733" spans="2:34" s="27" customFormat="1" x14ac:dyDescent="0.25">
      <c r="B733" s="399">
        <v>31</v>
      </c>
      <c r="C733" s="295">
        <v>9</v>
      </c>
      <c r="D733" s="28"/>
      <c r="E733" s="28"/>
      <c r="F733" s="28"/>
      <c r="G733" s="28"/>
      <c r="H733" s="28">
        <v>7</v>
      </c>
      <c r="I733" s="28">
        <v>8</v>
      </c>
      <c r="J733" s="28"/>
      <c r="K733" s="28"/>
      <c r="L733" s="28"/>
      <c r="M733" s="28">
        <v>4</v>
      </c>
      <c r="N733" s="30"/>
      <c r="Z733"/>
      <c r="AA733"/>
      <c r="AB733"/>
      <c r="AC733"/>
      <c r="AD733"/>
      <c r="AE733"/>
      <c r="AF733"/>
      <c r="AG733"/>
      <c r="AH733"/>
    </row>
    <row r="734" spans="2:34" s="27" customFormat="1" x14ac:dyDescent="0.25">
      <c r="B734" s="399">
        <v>32</v>
      </c>
      <c r="C734" s="295">
        <v>9</v>
      </c>
      <c r="D734" s="28"/>
      <c r="E734" s="28"/>
      <c r="F734" s="28"/>
      <c r="G734" s="28"/>
      <c r="H734" s="28">
        <v>7</v>
      </c>
      <c r="I734" s="28">
        <v>8</v>
      </c>
      <c r="J734" s="28"/>
      <c r="K734" s="28"/>
      <c r="L734" s="28"/>
      <c r="M734" s="28">
        <v>4</v>
      </c>
      <c r="N734" s="30"/>
      <c r="Z734"/>
      <c r="AA734"/>
      <c r="AB734"/>
      <c r="AC734"/>
      <c r="AD734"/>
      <c r="AE734"/>
      <c r="AF734"/>
      <c r="AG734"/>
      <c r="AH734"/>
    </row>
    <row r="735" spans="2:34" s="27" customFormat="1" x14ac:dyDescent="0.25">
      <c r="B735" s="399">
        <v>33</v>
      </c>
      <c r="C735" s="295">
        <v>9</v>
      </c>
      <c r="D735" s="28"/>
      <c r="E735" s="28"/>
      <c r="F735" s="28"/>
      <c r="G735" s="28"/>
      <c r="H735" s="28">
        <v>8</v>
      </c>
      <c r="I735" s="28">
        <v>8</v>
      </c>
      <c r="J735" s="28"/>
      <c r="K735" s="28"/>
      <c r="L735" s="28"/>
      <c r="M735" s="28">
        <v>5</v>
      </c>
      <c r="N735" s="30"/>
      <c r="Z735"/>
      <c r="AA735"/>
      <c r="AB735"/>
      <c r="AC735"/>
      <c r="AD735"/>
      <c r="AE735"/>
      <c r="AF735"/>
      <c r="AG735"/>
      <c r="AH735"/>
    </row>
    <row r="736" spans="2:34" s="27" customFormat="1" x14ac:dyDescent="0.25">
      <c r="B736" s="399">
        <v>34</v>
      </c>
      <c r="C736" s="295">
        <v>9</v>
      </c>
      <c r="D736" s="28"/>
      <c r="E736" s="28"/>
      <c r="F736" s="28"/>
      <c r="G736" s="28"/>
      <c r="H736" s="28">
        <v>8</v>
      </c>
      <c r="I736" s="28">
        <v>9</v>
      </c>
      <c r="J736" s="28"/>
      <c r="K736" s="28"/>
      <c r="L736" s="28"/>
      <c r="M736" s="28"/>
      <c r="N736" s="30"/>
      <c r="Z736"/>
      <c r="AA736"/>
      <c r="AB736"/>
      <c r="AC736"/>
      <c r="AD736"/>
      <c r="AE736"/>
      <c r="AF736"/>
      <c r="AG736"/>
      <c r="AH736"/>
    </row>
    <row r="737" spans="2:34" s="27" customFormat="1" x14ac:dyDescent="0.25">
      <c r="B737" s="399">
        <v>35</v>
      </c>
      <c r="C737" s="295">
        <v>9</v>
      </c>
      <c r="D737" s="28"/>
      <c r="E737" s="28"/>
      <c r="F737" s="28"/>
      <c r="G737" s="28"/>
      <c r="H737" s="28">
        <v>8</v>
      </c>
      <c r="I737" s="28">
        <v>9</v>
      </c>
      <c r="J737" s="28"/>
      <c r="K737" s="28"/>
      <c r="L737" s="28"/>
      <c r="M737" s="28"/>
      <c r="N737" s="30"/>
      <c r="Z737"/>
      <c r="AA737"/>
      <c r="AB737"/>
      <c r="AC737"/>
      <c r="AD737"/>
      <c r="AE737"/>
      <c r="AF737"/>
      <c r="AG737"/>
      <c r="AH737"/>
    </row>
    <row r="738" spans="2:34" s="27" customFormat="1" ht="15.75" thickBot="1" x14ac:dyDescent="0.3">
      <c r="B738" s="400">
        <v>36</v>
      </c>
      <c r="C738" s="296">
        <v>9</v>
      </c>
      <c r="D738" s="32"/>
      <c r="E738" s="32"/>
      <c r="F738" s="32"/>
      <c r="G738" s="32"/>
      <c r="H738" s="32">
        <v>9</v>
      </c>
      <c r="I738" s="32">
        <v>9</v>
      </c>
      <c r="J738" s="32"/>
      <c r="K738" s="32"/>
      <c r="L738" s="32"/>
      <c r="M738" s="32"/>
      <c r="N738" s="33"/>
      <c r="Z738"/>
      <c r="AA738"/>
      <c r="AB738"/>
      <c r="AC738"/>
      <c r="AD738"/>
      <c r="AE738"/>
      <c r="AF738"/>
      <c r="AG738"/>
      <c r="AH738"/>
    </row>
    <row r="739" spans="2:34" s="27" customFormat="1" ht="15.75" thickBot="1" x14ac:dyDescent="0.3">
      <c r="B739" s="26"/>
      <c r="Z739"/>
      <c r="AA739"/>
      <c r="AB739"/>
      <c r="AC739"/>
      <c r="AD739"/>
      <c r="AE739"/>
      <c r="AF739"/>
      <c r="AG739"/>
      <c r="AH739"/>
    </row>
    <row r="740" spans="2:34" s="27" customFormat="1" ht="15.75" thickBot="1" x14ac:dyDescent="0.3">
      <c r="B740" s="243" t="s">
        <v>615</v>
      </c>
      <c r="C740" s="242" t="s">
        <v>63</v>
      </c>
      <c r="D740" s="138" t="s">
        <v>64</v>
      </c>
      <c r="E740" s="138" t="s">
        <v>65</v>
      </c>
      <c r="F740" s="138" t="s">
        <v>66</v>
      </c>
      <c r="G740" s="138" t="s">
        <v>67</v>
      </c>
      <c r="H740" s="138" t="s">
        <v>68</v>
      </c>
      <c r="I740" s="138" t="s">
        <v>247</v>
      </c>
      <c r="J740" s="138" t="s">
        <v>69</v>
      </c>
      <c r="K740" s="138" t="s">
        <v>70</v>
      </c>
      <c r="L740" s="138" t="s">
        <v>333</v>
      </c>
      <c r="M740" s="138" t="s">
        <v>334</v>
      </c>
      <c r="N740" s="139"/>
      <c r="Z740"/>
      <c r="AA740"/>
      <c r="AB740"/>
      <c r="AC740"/>
      <c r="AD740"/>
      <c r="AE740"/>
      <c r="AF740"/>
      <c r="AG740"/>
      <c r="AH740"/>
    </row>
    <row r="741" spans="2:34" s="27" customFormat="1" x14ac:dyDescent="0.25">
      <c r="B741" s="398">
        <v>1</v>
      </c>
      <c r="C741" s="397">
        <v>0</v>
      </c>
      <c r="D741" s="133">
        <v>0</v>
      </c>
      <c r="E741" s="133"/>
      <c r="F741" s="133"/>
      <c r="G741" s="133"/>
      <c r="H741" s="133">
        <v>0</v>
      </c>
      <c r="I741" s="133">
        <v>0</v>
      </c>
      <c r="J741" s="133"/>
      <c r="K741" s="133"/>
      <c r="L741" s="133"/>
      <c r="M741" s="133"/>
      <c r="N741" s="136"/>
      <c r="Z741"/>
      <c r="AA741"/>
      <c r="AB741"/>
      <c r="AC741"/>
      <c r="AD741"/>
      <c r="AE741"/>
      <c r="AF741"/>
      <c r="AG741"/>
      <c r="AH741"/>
    </row>
    <row r="742" spans="2:34" s="27" customFormat="1" x14ac:dyDescent="0.25">
      <c r="B742" s="399">
        <v>2</v>
      </c>
      <c r="C742" s="295">
        <v>0</v>
      </c>
      <c r="D742" s="28">
        <v>0</v>
      </c>
      <c r="E742" s="28"/>
      <c r="F742" s="28"/>
      <c r="G742" s="28"/>
      <c r="H742" s="28">
        <v>0</v>
      </c>
      <c r="I742" s="28">
        <v>0</v>
      </c>
      <c r="J742" s="28"/>
      <c r="K742" s="28"/>
      <c r="L742" s="28"/>
      <c r="M742" s="28"/>
      <c r="N742" s="30"/>
      <c r="Z742"/>
      <c r="AA742"/>
      <c r="AB742"/>
      <c r="AC742"/>
      <c r="AD742"/>
      <c r="AE742"/>
      <c r="AF742"/>
      <c r="AG742"/>
      <c r="AH742"/>
    </row>
    <row r="743" spans="2:34" s="27" customFormat="1" x14ac:dyDescent="0.25">
      <c r="B743" s="399">
        <v>3</v>
      </c>
      <c r="C743" s="295">
        <v>0</v>
      </c>
      <c r="D743" s="28">
        <v>0</v>
      </c>
      <c r="E743" s="28"/>
      <c r="F743" s="28"/>
      <c r="G743" s="28"/>
      <c r="H743" s="28">
        <v>0</v>
      </c>
      <c r="I743" s="28">
        <v>0</v>
      </c>
      <c r="J743" s="28"/>
      <c r="K743" s="28"/>
      <c r="L743" s="28"/>
      <c r="M743" s="28"/>
      <c r="N743" s="30"/>
      <c r="Z743"/>
      <c r="AA743"/>
      <c r="AB743"/>
      <c r="AC743"/>
      <c r="AD743"/>
      <c r="AE743"/>
      <c r="AF743"/>
      <c r="AG743"/>
      <c r="AH743"/>
    </row>
    <row r="744" spans="2:34" s="27" customFormat="1" x14ac:dyDescent="0.25">
      <c r="B744" s="399">
        <v>4</v>
      </c>
      <c r="C744" s="295">
        <v>0</v>
      </c>
      <c r="D744" s="28">
        <v>0</v>
      </c>
      <c r="E744" s="28"/>
      <c r="F744" s="28"/>
      <c r="G744" s="28"/>
      <c r="H744" s="28">
        <v>0</v>
      </c>
      <c r="I744" s="28">
        <v>0</v>
      </c>
      <c r="J744" s="28"/>
      <c r="K744" s="28"/>
      <c r="L744" s="28"/>
      <c r="M744" s="28"/>
      <c r="N744" s="30"/>
      <c r="Z744"/>
      <c r="AA744"/>
      <c r="AB744"/>
      <c r="AC744"/>
      <c r="AD744"/>
      <c r="AE744"/>
      <c r="AF744"/>
      <c r="AG744"/>
      <c r="AH744"/>
    </row>
    <row r="745" spans="2:34" s="27" customFormat="1" x14ac:dyDescent="0.25">
      <c r="B745" s="399">
        <v>5</v>
      </c>
      <c r="C745" s="295">
        <v>0</v>
      </c>
      <c r="D745" s="28">
        <v>0</v>
      </c>
      <c r="E745" s="28"/>
      <c r="F745" s="28"/>
      <c r="G745" s="28"/>
      <c r="H745" s="28">
        <v>0</v>
      </c>
      <c r="I745" s="28">
        <v>0</v>
      </c>
      <c r="J745" s="28"/>
      <c r="K745" s="28"/>
      <c r="L745" s="28"/>
      <c r="M745" s="28"/>
      <c r="N745" s="30"/>
      <c r="Z745"/>
      <c r="AA745"/>
      <c r="AB745"/>
      <c r="AC745"/>
      <c r="AD745"/>
      <c r="AE745"/>
      <c r="AF745"/>
      <c r="AG745"/>
      <c r="AH745"/>
    </row>
    <row r="746" spans="2:34" s="27" customFormat="1" x14ac:dyDescent="0.25">
      <c r="B746" s="399">
        <v>6</v>
      </c>
      <c r="C746" s="295">
        <v>0</v>
      </c>
      <c r="D746" s="28">
        <v>0</v>
      </c>
      <c r="E746" s="28"/>
      <c r="F746" s="28"/>
      <c r="G746" s="28"/>
      <c r="H746" s="28">
        <v>0</v>
      </c>
      <c r="I746" s="28">
        <v>0</v>
      </c>
      <c r="J746" s="28"/>
      <c r="K746" s="28"/>
      <c r="L746" s="28"/>
      <c r="M746" s="28"/>
      <c r="N746" s="30"/>
      <c r="Z746"/>
      <c r="AA746"/>
      <c r="AB746"/>
      <c r="AC746"/>
      <c r="AD746"/>
      <c r="AE746"/>
      <c r="AF746"/>
      <c r="AG746"/>
      <c r="AH746"/>
    </row>
    <row r="747" spans="2:34" s="27" customFormat="1" x14ac:dyDescent="0.25">
      <c r="B747" s="399">
        <v>7</v>
      </c>
      <c r="C747" s="295">
        <v>0</v>
      </c>
      <c r="D747" s="28">
        <v>0</v>
      </c>
      <c r="E747" s="28"/>
      <c r="F747" s="28"/>
      <c r="G747" s="28"/>
      <c r="H747" s="28">
        <v>0</v>
      </c>
      <c r="I747" s="28">
        <v>0</v>
      </c>
      <c r="J747" s="28"/>
      <c r="K747" s="28"/>
      <c r="L747" s="28"/>
      <c r="M747" s="28"/>
      <c r="N747" s="30"/>
      <c r="Z747"/>
      <c r="AA747"/>
      <c r="AB747"/>
      <c r="AC747"/>
      <c r="AD747"/>
      <c r="AE747"/>
      <c r="AF747"/>
      <c r="AG747"/>
      <c r="AH747"/>
    </row>
    <row r="748" spans="2:34" s="27" customFormat="1" x14ac:dyDescent="0.25">
      <c r="B748" s="399">
        <v>8</v>
      </c>
      <c r="C748" s="295">
        <v>0</v>
      </c>
      <c r="D748" s="28">
        <v>0</v>
      </c>
      <c r="E748" s="28"/>
      <c r="F748" s="28"/>
      <c r="G748" s="28"/>
      <c r="H748" s="28">
        <v>0</v>
      </c>
      <c r="I748" s="28">
        <v>0</v>
      </c>
      <c r="J748" s="28"/>
      <c r="K748" s="28"/>
      <c r="L748" s="28"/>
      <c r="M748" s="28"/>
      <c r="N748" s="30"/>
      <c r="Z748"/>
      <c r="AA748"/>
      <c r="AB748"/>
      <c r="AC748"/>
      <c r="AD748"/>
      <c r="AE748"/>
      <c r="AF748"/>
      <c r="AG748"/>
      <c r="AH748"/>
    </row>
    <row r="749" spans="2:34" s="27" customFormat="1" x14ac:dyDescent="0.25">
      <c r="B749" s="399">
        <v>9</v>
      </c>
      <c r="C749" s="295">
        <v>0</v>
      </c>
      <c r="D749" s="28">
        <v>0</v>
      </c>
      <c r="E749" s="28"/>
      <c r="F749" s="28"/>
      <c r="G749" s="28"/>
      <c r="H749" s="28">
        <v>0</v>
      </c>
      <c r="I749" s="28">
        <v>0</v>
      </c>
      <c r="J749" s="28"/>
      <c r="K749" s="28"/>
      <c r="L749" s="28"/>
      <c r="M749" s="28"/>
      <c r="N749" s="30"/>
      <c r="Z749"/>
      <c r="AA749"/>
      <c r="AB749"/>
      <c r="AC749"/>
      <c r="AD749"/>
      <c r="AE749"/>
      <c r="AF749"/>
      <c r="AG749"/>
      <c r="AH749"/>
    </row>
    <row r="750" spans="2:34" s="27" customFormat="1" x14ac:dyDescent="0.25">
      <c r="B750" s="399">
        <v>10</v>
      </c>
      <c r="C750" s="295">
        <v>0</v>
      </c>
      <c r="D750" s="28">
        <v>0</v>
      </c>
      <c r="E750" s="28"/>
      <c r="F750" s="28"/>
      <c r="G750" s="28"/>
      <c r="H750" s="28">
        <v>0</v>
      </c>
      <c r="I750" s="28">
        <v>0</v>
      </c>
      <c r="J750" s="28"/>
      <c r="K750" s="28"/>
      <c r="L750" s="28"/>
      <c r="M750" s="28"/>
      <c r="N750" s="30"/>
      <c r="Z750"/>
      <c r="AA750"/>
      <c r="AB750"/>
      <c r="AC750"/>
      <c r="AD750"/>
      <c r="AE750"/>
      <c r="AF750"/>
      <c r="AG750"/>
      <c r="AH750"/>
    </row>
    <row r="751" spans="2:34" s="27" customFormat="1" x14ac:dyDescent="0.25">
      <c r="B751" s="399">
        <v>11</v>
      </c>
      <c r="C751" s="295">
        <v>1</v>
      </c>
      <c r="D751" s="28">
        <v>1</v>
      </c>
      <c r="E751" s="28"/>
      <c r="F751" s="28"/>
      <c r="G751" s="28"/>
      <c r="H751" s="28">
        <v>0</v>
      </c>
      <c r="I751" s="28">
        <v>0</v>
      </c>
      <c r="J751" s="28"/>
      <c r="K751" s="28"/>
      <c r="L751" s="28"/>
      <c r="M751" s="28"/>
      <c r="N751" s="30"/>
      <c r="Z751"/>
      <c r="AA751"/>
      <c r="AB751"/>
      <c r="AC751"/>
      <c r="AD751"/>
      <c r="AE751"/>
      <c r="AF751"/>
      <c r="AG751"/>
      <c r="AH751"/>
    </row>
    <row r="752" spans="2:34" s="27" customFormat="1" x14ac:dyDescent="0.25">
      <c r="B752" s="399">
        <v>12</v>
      </c>
      <c r="C752" s="295">
        <v>2</v>
      </c>
      <c r="D752" s="28">
        <v>2</v>
      </c>
      <c r="E752" s="28"/>
      <c r="F752" s="28"/>
      <c r="G752" s="28"/>
      <c r="H752" s="28">
        <v>1</v>
      </c>
      <c r="I752" s="28">
        <v>1</v>
      </c>
      <c r="J752" s="28"/>
      <c r="K752" s="28"/>
      <c r="L752" s="28"/>
      <c r="M752" s="28"/>
      <c r="N752" s="30"/>
      <c r="Z752"/>
      <c r="AA752"/>
      <c r="AB752"/>
      <c r="AC752"/>
      <c r="AD752"/>
      <c r="AE752"/>
      <c r="AF752"/>
      <c r="AG752"/>
      <c r="AH752"/>
    </row>
    <row r="753" spans="2:34" s="27" customFormat="1" x14ac:dyDescent="0.25">
      <c r="B753" s="399">
        <v>13</v>
      </c>
      <c r="C753" s="295">
        <v>2</v>
      </c>
      <c r="D753" s="28">
        <v>3</v>
      </c>
      <c r="E753" s="28"/>
      <c r="F753" s="28"/>
      <c r="G753" s="28"/>
      <c r="H753" s="28">
        <v>2</v>
      </c>
      <c r="I753" s="28">
        <v>2</v>
      </c>
      <c r="J753" s="28"/>
      <c r="K753" s="28"/>
      <c r="L753" s="28"/>
      <c r="M753" s="28"/>
      <c r="N753" s="30"/>
      <c r="Z753"/>
      <c r="AA753"/>
      <c r="AB753"/>
      <c r="AC753"/>
      <c r="AD753"/>
      <c r="AE753"/>
      <c r="AF753"/>
      <c r="AG753"/>
      <c r="AH753"/>
    </row>
    <row r="754" spans="2:34" s="27" customFormat="1" x14ac:dyDescent="0.25">
      <c r="B754" s="399">
        <v>14</v>
      </c>
      <c r="C754" s="295">
        <v>2</v>
      </c>
      <c r="D754" s="28">
        <v>4</v>
      </c>
      <c r="E754" s="28"/>
      <c r="F754" s="28"/>
      <c r="G754" s="28"/>
      <c r="H754" s="28">
        <v>2</v>
      </c>
      <c r="I754" s="28">
        <v>2</v>
      </c>
      <c r="J754" s="28"/>
      <c r="K754" s="28"/>
      <c r="L754" s="28"/>
      <c r="M754" s="28"/>
      <c r="N754" s="30"/>
      <c r="Z754"/>
      <c r="AA754"/>
      <c r="AB754"/>
      <c r="AC754"/>
      <c r="AD754"/>
      <c r="AE754"/>
      <c r="AF754"/>
      <c r="AG754"/>
      <c r="AH754"/>
    </row>
    <row r="755" spans="2:34" s="27" customFormat="1" x14ac:dyDescent="0.25">
      <c r="B755" s="399">
        <v>15</v>
      </c>
      <c r="C755" s="295">
        <v>2</v>
      </c>
      <c r="D755" s="28">
        <v>6</v>
      </c>
      <c r="E755" s="28"/>
      <c r="F755" s="28"/>
      <c r="G755" s="28"/>
      <c r="H755" s="28">
        <v>2</v>
      </c>
      <c r="I755" s="28">
        <v>2</v>
      </c>
      <c r="J755" s="28"/>
      <c r="K755" s="28"/>
      <c r="L755" s="28"/>
      <c r="M755" s="28"/>
      <c r="N755" s="30"/>
      <c r="Z755"/>
      <c r="AA755"/>
      <c r="AB755"/>
      <c r="AC755"/>
      <c r="AD755"/>
      <c r="AE755"/>
      <c r="AF755"/>
      <c r="AG755"/>
      <c r="AH755"/>
    </row>
    <row r="756" spans="2:34" s="27" customFormat="1" x14ac:dyDescent="0.25">
      <c r="B756" s="399">
        <v>16</v>
      </c>
      <c r="C756" s="295">
        <v>3</v>
      </c>
      <c r="D756" s="28">
        <v>6</v>
      </c>
      <c r="E756" s="28"/>
      <c r="F756" s="28"/>
      <c r="G756" s="28"/>
      <c r="H756" s="28">
        <v>3</v>
      </c>
      <c r="I756" s="28">
        <v>2</v>
      </c>
      <c r="J756" s="28"/>
      <c r="K756" s="28"/>
      <c r="L756" s="28"/>
      <c r="M756" s="28"/>
      <c r="N756" s="30"/>
      <c r="Z756"/>
      <c r="AA756"/>
      <c r="AB756"/>
      <c r="AC756"/>
      <c r="AD756"/>
      <c r="AE756"/>
      <c r="AF756"/>
      <c r="AG756"/>
      <c r="AH756"/>
    </row>
    <row r="757" spans="2:34" s="27" customFormat="1" x14ac:dyDescent="0.25">
      <c r="B757" s="399">
        <v>17</v>
      </c>
      <c r="C757" s="295">
        <v>3</v>
      </c>
      <c r="D757" s="28">
        <v>6</v>
      </c>
      <c r="E757" s="28"/>
      <c r="F757" s="28"/>
      <c r="G757" s="28"/>
      <c r="H757" s="28">
        <v>3</v>
      </c>
      <c r="I757" s="28">
        <v>2</v>
      </c>
      <c r="J757" s="28"/>
      <c r="K757" s="28"/>
      <c r="L757" s="28"/>
      <c r="M757" s="28"/>
      <c r="N757" s="30"/>
      <c r="Z757"/>
      <c r="AA757"/>
      <c r="AB757"/>
      <c r="AC757"/>
      <c r="AD757"/>
      <c r="AE757"/>
      <c r="AF757"/>
      <c r="AG757"/>
      <c r="AH757"/>
    </row>
    <row r="758" spans="2:34" s="27" customFormat="1" x14ac:dyDescent="0.25">
      <c r="B758" s="399">
        <v>18</v>
      </c>
      <c r="C758" s="295">
        <v>4</v>
      </c>
      <c r="D758" s="28">
        <v>6</v>
      </c>
      <c r="E758" s="28"/>
      <c r="F758" s="28"/>
      <c r="G758" s="28"/>
      <c r="H758" s="28">
        <v>3</v>
      </c>
      <c r="I758" s="28">
        <v>3</v>
      </c>
      <c r="J758" s="28"/>
      <c r="K758" s="28"/>
      <c r="L758" s="28"/>
      <c r="M758" s="28"/>
      <c r="N758" s="30"/>
      <c r="Z758"/>
      <c r="AA758"/>
      <c r="AB758"/>
      <c r="AC758"/>
      <c r="AD758"/>
      <c r="AE758"/>
      <c r="AF758"/>
      <c r="AG758"/>
      <c r="AH758"/>
    </row>
    <row r="759" spans="2:34" s="27" customFormat="1" x14ac:dyDescent="0.25">
      <c r="B759" s="399">
        <v>19</v>
      </c>
      <c r="C759" s="295">
        <v>4</v>
      </c>
      <c r="D759" s="28">
        <v>6</v>
      </c>
      <c r="E759" s="28"/>
      <c r="F759" s="28"/>
      <c r="G759" s="28"/>
      <c r="H759" s="28">
        <v>3</v>
      </c>
      <c r="I759" s="28">
        <v>3</v>
      </c>
      <c r="J759" s="28"/>
      <c r="K759" s="28"/>
      <c r="L759" s="28"/>
      <c r="M759" s="28"/>
      <c r="N759" s="30"/>
      <c r="Z759"/>
      <c r="AA759"/>
      <c r="AB759"/>
      <c r="AC759"/>
      <c r="AD759"/>
      <c r="AE759"/>
      <c r="AF759"/>
      <c r="AG759"/>
      <c r="AH759"/>
    </row>
    <row r="760" spans="2:34" s="27" customFormat="1" x14ac:dyDescent="0.25">
      <c r="B760" s="399">
        <v>20</v>
      </c>
      <c r="C760" s="295">
        <v>5</v>
      </c>
      <c r="D760" s="28">
        <v>6</v>
      </c>
      <c r="E760" s="28"/>
      <c r="F760" s="28"/>
      <c r="G760" s="28"/>
      <c r="H760" s="28">
        <v>4</v>
      </c>
      <c r="I760" s="28">
        <v>3</v>
      </c>
      <c r="J760" s="28"/>
      <c r="K760" s="28"/>
      <c r="L760" s="28"/>
      <c r="M760" s="28"/>
      <c r="N760" s="30"/>
      <c r="Z760"/>
      <c r="AA760"/>
      <c r="AB760"/>
      <c r="AC760"/>
      <c r="AD760"/>
      <c r="AE760"/>
      <c r="AF760"/>
      <c r="AG760"/>
      <c r="AH760"/>
    </row>
    <row r="761" spans="2:34" s="27" customFormat="1" x14ac:dyDescent="0.25">
      <c r="B761" s="399">
        <v>21</v>
      </c>
      <c r="C761" s="295">
        <v>6</v>
      </c>
      <c r="D761" s="28">
        <v>6</v>
      </c>
      <c r="E761" s="28"/>
      <c r="F761" s="28"/>
      <c r="G761" s="28"/>
      <c r="H761" s="28">
        <v>4</v>
      </c>
      <c r="I761" s="28">
        <v>4</v>
      </c>
      <c r="J761" s="28"/>
      <c r="K761" s="28"/>
      <c r="L761" s="28"/>
      <c r="M761" s="28"/>
      <c r="N761" s="30"/>
      <c r="Z761"/>
      <c r="AA761"/>
      <c r="AB761"/>
      <c r="AC761"/>
      <c r="AD761"/>
      <c r="AE761"/>
      <c r="AF761"/>
      <c r="AG761"/>
      <c r="AH761"/>
    </row>
    <row r="762" spans="2:34" s="27" customFormat="1" x14ac:dyDescent="0.25">
      <c r="B762" s="399">
        <v>22</v>
      </c>
      <c r="C762" s="295">
        <v>6</v>
      </c>
      <c r="D762" s="28">
        <v>6</v>
      </c>
      <c r="E762" s="28"/>
      <c r="F762" s="28"/>
      <c r="G762" s="28"/>
      <c r="H762" s="28">
        <v>5</v>
      </c>
      <c r="I762" s="28">
        <v>5</v>
      </c>
      <c r="J762" s="28"/>
      <c r="K762" s="28"/>
      <c r="L762" s="28"/>
      <c r="M762" s="28"/>
      <c r="N762" s="30"/>
      <c r="Z762"/>
      <c r="AA762"/>
      <c r="AB762"/>
      <c r="AC762"/>
      <c r="AD762"/>
      <c r="AE762"/>
      <c r="AF762"/>
      <c r="AG762"/>
      <c r="AH762"/>
    </row>
    <row r="763" spans="2:34" s="27" customFormat="1" x14ac:dyDescent="0.25">
      <c r="B763" s="399">
        <v>23</v>
      </c>
      <c r="C763" s="295">
        <v>7</v>
      </c>
      <c r="D763" s="28">
        <v>6</v>
      </c>
      <c r="E763" s="28"/>
      <c r="F763" s="28"/>
      <c r="G763" s="28"/>
      <c r="H763" s="28">
        <v>5</v>
      </c>
      <c r="I763" s="28">
        <v>5</v>
      </c>
      <c r="J763" s="28"/>
      <c r="K763" s="28"/>
      <c r="L763" s="28"/>
      <c r="M763" s="28"/>
      <c r="N763" s="30"/>
      <c r="Z763"/>
      <c r="AA763"/>
      <c r="AB763"/>
      <c r="AC763"/>
      <c r="AD763"/>
      <c r="AE763"/>
      <c r="AF763"/>
      <c r="AG763"/>
      <c r="AH763"/>
    </row>
    <row r="764" spans="2:34" s="27" customFormat="1" x14ac:dyDescent="0.25">
      <c r="B764" s="399">
        <v>24</v>
      </c>
      <c r="C764" s="295">
        <v>8</v>
      </c>
      <c r="D764" s="28"/>
      <c r="E764" s="28"/>
      <c r="F764" s="28"/>
      <c r="G764" s="28"/>
      <c r="H764" s="28">
        <v>5</v>
      </c>
      <c r="I764" s="28">
        <v>5</v>
      </c>
      <c r="J764" s="28"/>
      <c r="K764" s="28"/>
      <c r="L764" s="28"/>
      <c r="M764" s="28"/>
      <c r="N764" s="30"/>
      <c r="Z764"/>
      <c r="AA764"/>
      <c r="AB764"/>
      <c r="AC764"/>
      <c r="AD764"/>
      <c r="AE764"/>
      <c r="AF764"/>
      <c r="AG764"/>
      <c r="AH764"/>
    </row>
    <row r="765" spans="2:34" s="27" customFormat="1" x14ac:dyDescent="0.25">
      <c r="B765" s="399">
        <v>25</v>
      </c>
      <c r="C765" s="295">
        <v>8</v>
      </c>
      <c r="D765" s="28"/>
      <c r="E765" s="28"/>
      <c r="F765" s="28"/>
      <c r="G765" s="28"/>
      <c r="H765" s="28">
        <v>5</v>
      </c>
      <c r="I765" s="28">
        <v>6</v>
      </c>
      <c r="J765" s="28"/>
      <c r="K765" s="28"/>
      <c r="L765" s="28"/>
      <c r="M765" s="28"/>
      <c r="N765" s="30"/>
      <c r="Z765"/>
      <c r="AA765"/>
      <c r="AB765"/>
      <c r="AC765"/>
      <c r="AD765"/>
      <c r="AE765"/>
      <c r="AF765"/>
      <c r="AG765"/>
      <c r="AH765"/>
    </row>
    <row r="766" spans="2:34" s="27" customFormat="1" x14ac:dyDescent="0.25">
      <c r="B766" s="399">
        <v>26</v>
      </c>
      <c r="C766" s="295">
        <v>9</v>
      </c>
      <c r="D766" s="28"/>
      <c r="E766" s="28"/>
      <c r="F766" s="28"/>
      <c r="G766" s="28"/>
      <c r="H766" s="28">
        <v>5</v>
      </c>
      <c r="I766" s="28">
        <v>6</v>
      </c>
      <c r="J766" s="28"/>
      <c r="K766" s="28"/>
      <c r="L766" s="28"/>
      <c r="M766" s="28"/>
      <c r="N766" s="30"/>
      <c r="Z766"/>
      <c r="AA766"/>
      <c r="AB766"/>
      <c r="AC766"/>
      <c r="AD766"/>
      <c r="AE766"/>
      <c r="AF766"/>
      <c r="AG766"/>
      <c r="AH766"/>
    </row>
    <row r="767" spans="2:34" s="27" customFormat="1" x14ac:dyDescent="0.25">
      <c r="B767" s="399">
        <v>27</v>
      </c>
      <c r="C767" s="295">
        <v>9</v>
      </c>
      <c r="D767" s="28"/>
      <c r="E767" s="28"/>
      <c r="F767" s="28"/>
      <c r="G767" s="28"/>
      <c r="H767" s="28">
        <v>6</v>
      </c>
      <c r="I767" s="28">
        <v>6</v>
      </c>
      <c r="J767" s="28"/>
      <c r="K767" s="28"/>
      <c r="L767" s="28"/>
      <c r="M767" s="28"/>
      <c r="N767" s="30"/>
      <c r="Z767"/>
      <c r="AA767"/>
      <c r="AB767"/>
      <c r="AC767"/>
      <c r="AD767"/>
      <c r="AE767"/>
      <c r="AF767"/>
      <c r="AG767"/>
      <c r="AH767"/>
    </row>
    <row r="768" spans="2:34" s="27" customFormat="1" x14ac:dyDescent="0.25">
      <c r="B768" s="399">
        <v>28</v>
      </c>
      <c r="C768" s="295">
        <v>9</v>
      </c>
      <c r="D768" s="28"/>
      <c r="E768" s="28"/>
      <c r="F768" s="28"/>
      <c r="G768" s="28"/>
      <c r="H768" s="28">
        <v>6</v>
      </c>
      <c r="I768" s="28">
        <v>7</v>
      </c>
      <c r="J768" s="28"/>
      <c r="K768" s="28"/>
      <c r="L768" s="28"/>
      <c r="M768" s="28"/>
      <c r="N768" s="30"/>
      <c r="Z768"/>
      <c r="AA768"/>
      <c r="AB768"/>
      <c r="AC768"/>
      <c r="AD768"/>
      <c r="AE768"/>
      <c r="AF768"/>
      <c r="AG768"/>
      <c r="AH768"/>
    </row>
    <row r="769" spans="2:34" s="27" customFormat="1" x14ac:dyDescent="0.25">
      <c r="B769" s="399">
        <v>29</v>
      </c>
      <c r="C769" s="295">
        <v>9</v>
      </c>
      <c r="D769" s="28"/>
      <c r="E769" s="28"/>
      <c r="F769" s="28"/>
      <c r="G769" s="28"/>
      <c r="H769" s="28">
        <v>6</v>
      </c>
      <c r="I769" s="28">
        <v>7</v>
      </c>
      <c r="J769" s="28"/>
      <c r="K769" s="28"/>
      <c r="L769" s="28"/>
      <c r="M769" s="28"/>
      <c r="N769" s="30"/>
      <c r="Z769"/>
      <c r="AA769"/>
      <c r="AB769"/>
      <c r="AC769"/>
      <c r="AD769"/>
      <c r="AE769"/>
      <c r="AF769"/>
      <c r="AG769"/>
      <c r="AH769"/>
    </row>
    <row r="770" spans="2:34" s="27" customFormat="1" x14ac:dyDescent="0.25">
      <c r="B770" s="399">
        <v>30</v>
      </c>
      <c r="C770" s="295">
        <v>9</v>
      </c>
      <c r="D770" s="28"/>
      <c r="E770" s="28"/>
      <c r="F770" s="28"/>
      <c r="G770" s="28"/>
      <c r="H770" s="28">
        <v>7</v>
      </c>
      <c r="I770" s="28">
        <v>7</v>
      </c>
      <c r="J770" s="28"/>
      <c r="K770" s="28"/>
      <c r="L770" s="28"/>
      <c r="M770" s="28"/>
      <c r="N770" s="30"/>
      <c r="Z770"/>
      <c r="AA770"/>
      <c r="AB770"/>
      <c r="AC770"/>
      <c r="AD770"/>
      <c r="AE770"/>
      <c r="AF770"/>
      <c r="AG770"/>
      <c r="AH770"/>
    </row>
    <row r="771" spans="2:34" s="27" customFormat="1" x14ac:dyDescent="0.25">
      <c r="B771" s="399">
        <v>31</v>
      </c>
      <c r="C771" s="295">
        <v>9</v>
      </c>
      <c r="D771" s="28"/>
      <c r="E771" s="28"/>
      <c r="F771" s="28"/>
      <c r="G771" s="28"/>
      <c r="H771" s="28">
        <v>7</v>
      </c>
      <c r="I771" s="28">
        <v>8</v>
      </c>
      <c r="J771" s="28"/>
      <c r="K771" s="28"/>
      <c r="L771" s="28"/>
      <c r="M771" s="28"/>
      <c r="N771" s="30"/>
      <c r="Z771"/>
      <c r="AA771"/>
      <c r="AB771"/>
      <c r="AC771"/>
      <c r="AD771"/>
      <c r="AE771"/>
      <c r="AF771"/>
      <c r="AG771"/>
      <c r="AH771"/>
    </row>
    <row r="772" spans="2:34" s="27" customFormat="1" x14ac:dyDescent="0.25">
      <c r="B772" s="399">
        <v>32</v>
      </c>
      <c r="C772" s="295">
        <v>9</v>
      </c>
      <c r="D772" s="28"/>
      <c r="E772" s="28"/>
      <c r="F772" s="28"/>
      <c r="G772" s="28"/>
      <c r="H772" s="28">
        <v>7</v>
      </c>
      <c r="I772" s="28">
        <v>8</v>
      </c>
      <c r="J772" s="28"/>
      <c r="K772" s="28"/>
      <c r="L772" s="28"/>
      <c r="M772" s="28"/>
      <c r="N772" s="30"/>
      <c r="Z772"/>
      <c r="AA772"/>
      <c r="AB772"/>
      <c r="AC772"/>
      <c r="AD772"/>
      <c r="AE772"/>
      <c r="AF772"/>
      <c r="AG772"/>
      <c r="AH772"/>
    </row>
    <row r="773" spans="2:34" s="27" customFormat="1" x14ac:dyDescent="0.25">
      <c r="B773" s="399">
        <v>33</v>
      </c>
      <c r="C773" s="295">
        <v>9</v>
      </c>
      <c r="D773" s="28"/>
      <c r="E773" s="28"/>
      <c r="F773" s="28"/>
      <c r="G773" s="28"/>
      <c r="H773" s="28">
        <v>8</v>
      </c>
      <c r="I773" s="28">
        <v>8</v>
      </c>
      <c r="J773" s="28"/>
      <c r="K773" s="28"/>
      <c r="L773" s="28"/>
      <c r="M773" s="28"/>
      <c r="N773" s="30"/>
      <c r="Z773"/>
      <c r="AA773"/>
      <c r="AB773"/>
      <c r="AC773"/>
      <c r="AD773"/>
      <c r="AE773"/>
      <c r="AF773"/>
      <c r="AG773"/>
      <c r="AH773"/>
    </row>
    <row r="774" spans="2:34" s="27" customFormat="1" x14ac:dyDescent="0.25">
      <c r="B774" s="399">
        <v>34</v>
      </c>
      <c r="C774" s="295">
        <v>9</v>
      </c>
      <c r="D774" s="28"/>
      <c r="E774" s="28"/>
      <c r="F774" s="28"/>
      <c r="G774" s="28"/>
      <c r="H774" s="28">
        <v>8</v>
      </c>
      <c r="I774" s="28">
        <v>9</v>
      </c>
      <c r="J774" s="28"/>
      <c r="K774" s="28"/>
      <c r="L774" s="28"/>
      <c r="M774" s="28"/>
      <c r="N774" s="30"/>
      <c r="Z774"/>
      <c r="AA774"/>
      <c r="AB774"/>
      <c r="AC774"/>
      <c r="AD774"/>
      <c r="AE774"/>
      <c r="AF774"/>
      <c r="AG774"/>
      <c r="AH774"/>
    </row>
    <row r="775" spans="2:34" s="27" customFormat="1" x14ac:dyDescent="0.25">
      <c r="B775" s="399">
        <v>35</v>
      </c>
      <c r="C775" s="295">
        <v>9</v>
      </c>
      <c r="D775" s="28"/>
      <c r="E775" s="28"/>
      <c r="F775" s="28"/>
      <c r="G775" s="28"/>
      <c r="H775" s="28">
        <v>8</v>
      </c>
      <c r="I775" s="28">
        <v>9</v>
      </c>
      <c r="J775" s="28"/>
      <c r="K775" s="28"/>
      <c r="L775" s="28"/>
      <c r="M775" s="28"/>
      <c r="N775" s="30"/>
      <c r="Z775"/>
      <c r="AA775"/>
      <c r="AB775"/>
      <c r="AC775"/>
      <c r="AD775"/>
      <c r="AE775"/>
      <c r="AF775"/>
      <c r="AG775"/>
      <c r="AH775"/>
    </row>
    <row r="776" spans="2:34" s="27" customFormat="1" ht="15.75" thickBot="1" x14ac:dyDescent="0.3">
      <c r="B776" s="400">
        <v>36</v>
      </c>
      <c r="C776" s="296">
        <v>9</v>
      </c>
      <c r="D776" s="32"/>
      <c r="E776" s="32"/>
      <c r="F776" s="32"/>
      <c r="G776" s="32"/>
      <c r="H776" s="32">
        <v>9</v>
      </c>
      <c r="I776" s="32">
        <v>9</v>
      </c>
      <c r="J776" s="32"/>
      <c r="K776" s="32"/>
      <c r="L776" s="32"/>
      <c r="M776" s="32"/>
      <c r="N776" s="33"/>
      <c r="Z776"/>
      <c r="AA776"/>
      <c r="AB776"/>
      <c r="AC776"/>
      <c r="AD776"/>
      <c r="AE776"/>
      <c r="AF776"/>
      <c r="AG776"/>
      <c r="AH776"/>
    </row>
    <row r="777" spans="2:34" s="27" customFormat="1" ht="15.75" thickBot="1" x14ac:dyDescent="0.3">
      <c r="B777" s="26"/>
      <c r="Z777"/>
      <c r="AA777"/>
      <c r="AB777"/>
      <c r="AC777"/>
      <c r="AD777"/>
      <c r="AE777"/>
      <c r="AF777"/>
      <c r="AG777"/>
      <c r="AH777"/>
    </row>
    <row r="778" spans="2:34" s="27" customFormat="1" ht="15.75" thickBot="1" x14ac:dyDescent="0.3">
      <c r="B778" s="243" t="s">
        <v>616</v>
      </c>
      <c r="C778" s="242" t="s">
        <v>63</v>
      </c>
      <c r="D778" s="138" t="s">
        <v>64</v>
      </c>
      <c r="E778" s="138" t="s">
        <v>65</v>
      </c>
      <c r="F778" s="138" t="s">
        <v>66</v>
      </c>
      <c r="G778" s="138" t="s">
        <v>67</v>
      </c>
      <c r="H778" s="138" t="s">
        <v>68</v>
      </c>
      <c r="I778" s="138" t="s">
        <v>247</v>
      </c>
      <c r="J778" s="138" t="s">
        <v>69</v>
      </c>
      <c r="K778" s="138" t="s">
        <v>70</v>
      </c>
      <c r="L778" s="138" t="s">
        <v>333</v>
      </c>
      <c r="M778" s="138" t="s">
        <v>334</v>
      </c>
      <c r="N778" s="139"/>
      <c r="Z778"/>
      <c r="AA778"/>
      <c r="AB778"/>
      <c r="AC778"/>
      <c r="AD778"/>
      <c r="AE778"/>
      <c r="AF778"/>
      <c r="AG778"/>
      <c r="AH778"/>
    </row>
    <row r="779" spans="2:34" s="27" customFormat="1" x14ac:dyDescent="0.25">
      <c r="B779" s="398">
        <v>1</v>
      </c>
      <c r="C779" s="397">
        <v>0</v>
      </c>
      <c r="D779" s="133">
        <v>0</v>
      </c>
      <c r="E779" s="133"/>
      <c r="F779" s="133"/>
      <c r="G779" s="133"/>
      <c r="H779" s="133">
        <v>0</v>
      </c>
      <c r="I779" s="133">
        <v>0</v>
      </c>
      <c r="J779" s="133"/>
      <c r="K779" s="133"/>
      <c r="L779" s="133"/>
      <c r="M779" s="133"/>
      <c r="N779" s="136"/>
      <c r="Z779"/>
      <c r="AA779"/>
      <c r="AB779"/>
      <c r="AC779"/>
      <c r="AD779"/>
      <c r="AE779"/>
      <c r="AF779"/>
      <c r="AG779"/>
      <c r="AH779"/>
    </row>
    <row r="780" spans="2:34" s="27" customFormat="1" x14ac:dyDescent="0.25">
      <c r="B780" s="399">
        <v>2</v>
      </c>
      <c r="C780" s="295">
        <v>0</v>
      </c>
      <c r="D780" s="28">
        <v>0</v>
      </c>
      <c r="E780" s="28"/>
      <c r="F780" s="28"/>
      <c r="G780" s="28"/>
      <c r="H780" s="28">
        <v>0</v>
      </c>
      <c r="I780" s="28">
        <v>0</v>
      </c>
      <c r="J780" s="28"/>
      <c r="K780" s="28"/>
      <c r="L780" s="28"/>
      <c r="M780" s="28"/>
      <c r="N780" s="30"/>
      <c r="Z780"/>
      <c r="AA780"/>
      <c r="AB780"/>
      <c r="AC780"/>
      <c r="AD780"/>
      <c r="AE780"/>
      <c r="AF780"/>
      <c r="AG780"/>
      <c r="AH780"/>
    </row>
    <row r="781" spans="2:34" s="27" customFormat="1" x14ac:dyDescent="0.25">
      <c r="B781" s="399">
        <v>3</v>
      </c>
      <c r="C781" s="295">
        <v>0</v>
      </c>
      <c r="D781" s="28">
        <v>0</v>
      </c>
      <c r="E781" s="28"/>
      <c r="F781" s="28"/>
      <c r="G781" s="28"/>
      <c r="H781" s="28">
        <v>0</v>
      </c>
      <c r="I781" s="28">
        <v>0</v>
      </c>
      <c r="J781" s="28"/>
      <c r="K781" s="28"/>
      <c r="L781" s="28"/>
      <c r="M781" s="28"/>
      <c r="N781" s="30"/>
      <c r="Z781"/>
      <c r="AA781"/>
      <c r="AB781"/>
      <c r="AC781"/>
      <c r="AD781"/>
      <c r="AE781"/>
      <c r="AF781"/>
      <c r="AG781"/>
      <c r="AH781"/>
    </row>
    <row r="782" spans="2:34" s="27" customFormat="1" x14ac:dyDescent="0.25">
      <c r="B782" s="399">
        <v>4</v>
      </c>
      <c r="C782" s="295">
        <v>0</v>
      </c>
      <c r="D782" s="28">
        <v>0</v>
      </c>
      <c r="E782" s="28"/>
      <c r="F782" s="28"/>
      <c r="G782" s="28"/>
      <c r="H782" s="28">
        <v>0</v>
      </c>
      <c r="I782" s="28">
        <v>0</v>
      </c>
      <c r="J782" s="28"/>
      <c r="K782" s="28"/>
      <c r="L782" s="28"/>
      <c r="M782" s="28"/>
      <c r="N782" s="30"/>
      <c r="Z782"/>
      <c r="AA782"/>
      <c r="AB782"/>
      <c r="AC782"/>
      <c r="AD782"/>
      <c r="AE782"/>
      <c r="AF782"/>
      <c r="AG782"/>
      <c r="AH782"/>
    </row>
    <row r="783" spans="2:34" s="27" customFormat="1" x14ac:dyDescent="0.25">
      <c r="B783" s="399">
        <v>5</v>
      </c>
      <c r="C783" s="295">
        <v>0</v>
      </c>
      <c r="D783" s="28">
        <v>0</v>
      </c>
      <c r="E783" s="28"/>
      <c r="F783" s="28"/>
      <c r="G783" s="28"/>
      <c r="H783" s="28">
        <v>0</v>
      </c>
      <c r="I783" s="28">
        <v>0</v>
      </c>
      <c r="J783" s="28"/>
      <c r="K783" s="28"/>
      <c r="L783" s="28"/>
      <c r="M783" s="28"/>
      <c r="N783" s="30"/>
      <c r="Z783"/>
      <c r="AA783"/>
      <c r="AB783"/>
      <c r="AC783"/>
      <c r="AD783"/>
      <c r="AE783"/>
      <c r="AF783"/>
      <c r="AG783"/>
      <c r="AH783"/>
    </row>
    <row r="784" spans="2:34" s="27" customFormat="1" x14ac:dyDescent="0.25">
      <c r="B784" s="399">
        <v>6</v>
      </c>
      <c r="C784" s="295">
        <v>0</v>
      </c>
      <c r="D784" s="28">
        <v>0</v>
      </c>
      <c r="E784" s="28"/>
      <c r="F784" s="28"/>
      <c r="G784" s="28"/>
      <c r="H784" s="28">
        <v>0</v>
      </c>
      <c r="I784" s="28">
        <v>0</v>
      </c>
      <c r="J784" s="28"/>
      <c r="K784" s="28"/>
      <c r="L784" s="28"/>
      <c r="M784" s="28"/>
      <c r="N784" s="30"/>
      <c r="Z784"/>
      <c r="AA784"/>
      <c r="AB784"/>
      <c r="AC784"/>
      <c r="AD784"/>
      <c r="AE784"/>
      <c r="AF784"/>
      <c r="AG784"/>
      <c r="AH784"/>
    </row>
    <row r="785" spans="2:34" s="27" customFormat="1" x14ac:dyDescent="0.25">
      <c r="B785" s="399">
        <v>7</v>
      </c>
      <c r="C785" s="295">
        <v>0</v>
      </c>
      <c r="D785" s="28">
        <v>0</v>
      </c>
      <c r="E785" s="28"/>
      <c r="F785" s="28"/>
      <c r="G785" s="28"/>
      <c r="H785" s="28">
        <v>0</v>
      </c>
      <c r="I785" s="28">
        <v>0</v>
      </c>
      <c r="J785" s="28"/>
      <c r="K785" s="28"/>
      <c r="L785" s="28"/>
      <c r="M785" s="28"/>
      <c r="N785" s="30"/>
      <c r="Z785"/>
      <c r="AA785"/>
      <c r="AB785"/>
      <c r="AC785"/>
      <c r="AD785"/>
      <c r="AE785"/>
      <c r="AF785"/>
      <c r="AG785"/>
      <c r="AH785"/>
    </row>
    <row r="786" spans="2:34" s="27" customFormat="1" x14ac:dyDescent="0.25">
      <c r="B786" s="399">
        <v>8</v>
      </c>
      <c r="C786" s="295">
        <v>0</v>
      </c>
      <c r="D786" s="28">
        <v>0</v>
      </c>
      <c r="E786" s="28"/>
      <c r="F786" s="28"/>
      <c r="G786" s="28"/>
      <c r="H786" s="28">
        <v>0</v>
      </c>
      <c r="I786" s="28">
        <v>0</v>
      </c>
      <c r="J786" s="28"/>
      <c r="K786" s="28"/>
      <c r="L786" s="28"/>
      <c r="M786" s="28"/>
      <c r="N786" s="30"/>
      <c r="Z786"/>
      <c r="AA786"/>
      <c r="AB786"/>
      <c r="AC786"/>
      <c r="AD786"/>
      <c r="AE786"/>
      <c r="AF786"/>
      <c r="AG786"/>
      <c r="AH786"/>
    </row>
    <row r="787" spans="2:34" s="27" customFormat="1" x14ac:dyDescent="0.25">
      <c r="B787" s="399">
        <v>9</v>
      </c>
      <c r="C787" s="295">
        <v>0</v>
      </c>
      <c r="D787" s="28">
        <v>0</v>
      </c>
      <c r="E787" s="28"/>
      <c r="F787" s="28"/>
      <c r="G787" s="28"/>
      <c r="H787" s="28">
        <v>0</v>
      </c>
      <c r="I787" s="28">
        <v>0</v>
      </c>
      <c r="J787" s="28"/>
      <c r="K787" s="28"/>
      <c r="L787" s="28"/>
      <c r="M787" s="28"/>
      <c r="N787" s="30"/>
      <c r="Z787"/>
      <c r="AA787"/>
      <c r="AB787"/>
      <c r="AC787"/>
      <c r="AD787"/>
      <c r="AE787"/>
      <c r="AF787"/>
      <c r="AG787"/>
      <c r="AH787"/>
    </row>
    <row r="788" spans="2:34" s="27" customFormat="1" x14ac:dyDescent="0.25">
      <c r="B788" s="399">
        <v>10</v>
      </c>
      <c r="C788" s="295">
        <v>0</v>
      </c>
      <c r="D788" s="28">
        <v>0</v>
      </c>
      <c r="E788" s="28"/>
      <c r="F788" s="28"/>
      <c r="G788" s="28"/>
      <c r="H788" s="28">
        <v>0</v>
      </c>
      <c r="I788" s="28">
        <v>0</v>
      </c>
      <c r="J788" s="28"/>
      <c r="K788" s="28"/>
      <c r="L788" s="28"/>
      <c r="M788" s="28"/>
      <c r="N788" s="30"/>
      <c r="Z788"/>
      <c r="AA788"/>
      <c r="AB788"/>
      <c r="AC788"/>
      <c r="AD788"/>
      <c r="AE788"/>
      <c r="AF788"/>
      <c r="AG788"/>
      <c r="AH788"/>
    </row>
    <row r="789" spans="2:34" s="27" customFormat="1" x14ac:dyDescent="0.25">
      <c r="B789" s="399">
        <v>11</v>
      </c>
      <c r="C789" s="295">
        <v>0</v>
      </c>
      <c r="D789" s="28">
        <v>0</v>
      </c>
      <c r="E789" s="28"/>
      <c r="F789" s="28"/>
      <c r="G789" s="28"/>
      <c r="H789" s="28">
        <v>0</v>
      </c>
      <c r="I789" s="28">
        <v>0</v>
      </c>
      <c r="J789" s="28"/>
      <c r="K789" s="28"/>
      <c r="L789" s="28"/>
      <c r="M789" s="28"/>
      <c r="N789" s="30"/>
      <c r="Z789"/>
      <c r="AA789"/>
      <c r="AB789"/>
      <c r="AC789"/>
      <c r="AD789"/>
      <c r="AE789"/>
      <c r="AF789"/>
      <c r="AG789"/>
      <c r="AH789"/>
    </row>
    <row r="790" spans="2:34" s="27" customFormat="1" x14ac:dyDescent="0.25">
      <c r="B790" s="399">
        <v>12</v>
      </c>
      <c r="C790" s="295">
        <v>0</v>
      </c>
      <c r="D790" s="28">
        <v>1</v>
      </c>
      <c r="E790" s="28"/>
      <c r="F790" s="28"/>
      <c r="G790" s="28"/>
      <c r="H790" s="28">
        <v>0</v>
      </c>
      <c r="I790" s="28">
        <v>0</v>
      </c>
      <c r="J790" s="28"/>
      <c r="K790" s="28"/>
      <c r="L790" s="28"/>
      <c r="M790" s="28"/>
      <c r="N790" s="30"/>
      <c r="Z790"/>
      <c r="AA790"/>
      <c r="AB790"/>
      <c r="AC790"/>
      <c r="AD790"/>
      <c r="AE790"/>
      <c r="AF790"/>
      <c r="AG790"/>
      <c r="AH790"/>
    </row>
    <row r="791" spans="2:34" s="27" customFormat="1" x14ac:dyDescent="0.25">
      <c r="B791" s="399">
        <v>13</v>
      </c>
      <c r="C791" s="295">
        <v>0</v>
      </c>
      <c r="D791" s="28">
        <v>2</v>
      </c>
      <c r="E791" s="28"/>
      <c r="F791" s="28"/>
      <c r="G791" s="28"/>
      <c r="H791" s="28">
        <v>0</v>
      </c>
      <c r="I791" s="28">
        <v>0</v>
      </c>
      <c r="J791" s="28"/>
      <c r="K791" s="28"/>
      <c r="L791" s="28"/>
      <c r="M791" s="28"/>
      <c r="N791" s="30"/>
      <c r="Z791"/>
      <c r="AA791"/>
      <c r="AB791"/>
      <c r="AC791"/>
      <c r="AD791"/>
      <c r="AE791"/>
      <c r="AF791"/>
      <c r="AG791"/>
      <c r="AH791"/>
    </row>
    <row r="792" spans="2:34" s="27" customFormat="1" x14ac:dyDescent="0.25">
      <c r="B792" s="399">
        <v>14</v>
      </c>
      <c r="C792" s="295">
        <v>0</v>
      </c>
      <c r="D792" s="28">
        <v>3</v>
      </c>
      <c r="E792" s="28"/>
      <c r="F792" s="28"/>
      <c r="G792" s="28"/>
      <c r="H792" s="28">
        <v>1</v>
      </c>
      <c r="I792" s="28">
        <v>1</v>
      </c>
      <c r="J792" s="28"/>
      <c r="K792" s="28"/>
      <c r="L792" s="28"/>
      <c r="M792" s="28"/>
      <c r="N792" s="30"/>
      <c r="Z792"/>
      <c r="AA792"/>
      <c r="AB792"/>
      <c r="AC792"/>
      <c r="AD792"/>
      <c r="AE792"/>
      <c r="AF792"/>
      <c r="AG792"/>
      <c r="AH792"/>
    </row>
    <row r="793" spans="2:34" s="27" customFormat="1" x14ac:dyDescent="0.25">
      <c r="B793" s="399">
        <v>15</v>
      </c>
      <c r="C793" s="295">
        <v>0</v>
      </c>
      <c r="D793" s="28">
        <v>6</v>
      </c>
      <c r="E793" s="28"/>
      <c r="F793" s="28"/>
      <c r="G793" s="28"/>
      <c r="H793" s="28">
        <v>1</v>
      </c>
      <c r="I793" s="28">
        <v>2</v>
      </c>
      <c r="J793" s="28"/>
      <c r="K793" s="28"/>
      <c r="L793" s="28"/>
      <c r="M793" s="28"/>
      <c r="N793" s="30"/>
      <c r="Z793"/>
      <c r="AA793"/>
      <c r="AB793"/>
      <c r="AC793"/>
      <c r="AD793"/>
      <c r="AE793"/>
      <c r="AF793"/>
      <c r="AG793"/>
      <c r="AH793"/>
    </row>
    <row r="794" spans="2:34" s="27" customFormat="1" x14ac:dyDescent="0.25">
      <c r="B794" s="399">
        <v>16</v>
      </c>
      <c r="C794" s="295">
        <v>1</v>
      </c>
      <c r="D794" s="28">
        <v>6</v>
      </c>
      <c r="E794" s="28"/>
      <c r="F794" s="28"/>
      <c r="G794" s="28"/>
      <c r="H794" s="28">
        <v>2</v>
      </c>
      <c r="I794" s="28">
        <v>2</v>
      </c>
      <c r="J794" s="28"/>
      <c r="K794" s="28"/>
      <c r="L794" s="28"/>
      <c r="M794" s="28"/>
      <c r="N794" s="30"/>
      <c r="Z794"/>
      <c r="AA794"/>
      <c r="AB794"/>
      <c r="AC794"/>
      <c r="AD794"/>
      <c r="AE794"/>
      <c r="AF794"/>
      <c r="AG794"/>
      <c r="AH794"/>
    </row>
    <row r="795" spans="2:34" s="27" customFormat="1" x14ac:dyDescent="0.25">
      <c r="B795" s="399">
        <v>17</v>
      </c>
      <c r="C795" s="295">
        <v>1</v>
      </c>
      <c r="D795" s="28">
        <v>6</v>
      </c>
      <c r="E795" s="28"/>
      <c r="F795" s="28"/>
      <c r="G795" s="28"/>
      <c r="H795" s="28">
        <v>3</v>
      </c>
      <c r="I795" s="28">
        <v>2</v>
      </c>
      <c r="J795" s="28"/>
      <c r="K795" s="28"/>
      <c r="L795" s="28"/>
      <c r="M795" s="28"/>
      <c r="N795" s="30"/>
      <c r="Z795"/>
      <c r="AA795"/>
      <c r="AB795"/>
      <c r="AC795"/>
      <c r="AD795"/>
      <c r="AE795"/>
      <c r="AF795"/>
      <c r="AG795"/>
      <c r="AH795"/>
    </row>
    <row r="796" spans="2:34" s="27" customFormat="1" x14ac:dyDescent="0.25">
      <c r="B796" s="399">
        <v>18</v>
      </c>
      <c r="C796" s="295">
        <v>1</v>
      </c>
      <c r="D796" s="28">
        <v>6</v>
      </c>
      <c r="E796" s="28"/>
      <c r="F796" s="28"/>
      <c r="G796" s="28"/>
      <c r="H796" s="28">
        <v>3</v>
      </c>
      <c r="I796" s="28">
        <v>2</v>
      </c>
      <c r="J796" s="28"/>
      <c r="K796" s="28"/>
      <c r="L796" s="28"/>
      <c r="M796" s="28"/>
      <c r="N796" s="30"/>
      <c r="Z796"/>
      <c r="AA796"/>
      <c r="AB796"/>
      <c r="AC796"/>
      <c r="AD796"/>
      <c r="AE796"/>
      <c r="AF796"/>
      <c r="AG796"/>
      <c r="AH796"/>
    </row>
    <row r="797" spans="2:34" s="27" customFormat="1" x14ac:dyDescent="0.25">
      <c r="B797" s="399">
        <v>19</v>
      </c>
      <c r="C797" s="295">
        <v>2</v>
      </c>
      <c r="D797" s="28">
        <v>6</v>
      </c>
      <c r="E797" s="28"/>
      <c r="F797" s="28"/>
      <c r="G797" s="28"/>
      <c r="H797" s="28">
        <v>3</v>
      </c>
      <c r="I797" s="28">
        <v>2</v>
      </c>
      <c r="J797" s="28"/>
      <c r="K797" s="28"/>
      <c r="L797" s="28"/>
      <c r="M797" s="28"/>
      <c r="N797" s="30"/>
      <c r="Z797"/>
      <c r="AA797"/>
      <c r="AB797"/>
      <c r="AC797"/>
      <c r="AD797"/>
      <c r="AE797"/>
      <c r="AF797"/>
      <c r="AG797"/>
      <c r="AH797"/>
    </row>
    <row r="798" spans="2:34" s="27" customFormat="1" x14ac:dyDescent="0.25">
      <c r="B798" s="399">
        <v>20</v>
      </c>
      <c r="C798" s="295">
        <v>2</v>
      </c>
      <c r="D798" s="28">
        <v>6</v>
      </c>
      <c r="E798" s="28"/>
      <c r="F798" s="28"/>
      <c r="G798" s="28"/>
      <c r="H798" s="28">
        <v>3</v>
      </c>
      <c r="I798" s="28">
        <v>3</v>
      </c>
      <c r="J798" s="28"/>
      <c r="K798" s="28"/>
      <c r="L798" s="28"/>
      <c r="M798" s="28"/>
      <c r="N798" s="30"/>
      <c r="Z798"/>
      <c r="AA798"/>
      <c r="AB798"/>
      <c r="AC798"/>
      <c r="AD798"/>
      <c r="AE798"/>
      <c r="AF798"/>
      <c r="AG798"/>
      <c r="AH798"/>
    </row>
    <row r="799" spans="2:34" s="27" customFormat="1" x14ac:dyDescent="0.25">
      <c r="B799" s="399">
        <v>21</v>
      </c>
      <c r="C799" s="295">
        <v>2</v>
      </c>
      <c r="D799" s="28">
        <v>6</v>
      </c>
      <c r="E799" s="28"/>
      <c r="F799" s="28"/>
      <c r="G799" s="28"/>
      <c r="H799" s="28">
        <v>4</v>
      </c>
      <c r="I799" s="28">
        <v>3</v>
      </c>
      <c r="J799" s="28"/>
      <c r="K799" s="28"/>
      <c r="L799" s="28"/>
      <c r="M799" s="28"/>
      <c r="N799" s="30"/>
      <c r="Z799"/>
      <c r="AA799"/>
      <c r="AB799"/>
      <c r="AC799"/>
      <c r="AD799"/>
      <c r="AE799"/>
      <c r="AF799"/>
      <c r="AG799"/>
      <c r="AH799"/>
    </row>
    <row r="800" spans="2:34" s="27" customFormat="1" x14ac:dyDescent="0.25">
      <c r="B800" s="399">
        <v>22</v>
      </c>
      <c r="C800" s="295">
        <v>3</v>
      </c>
      <c r="D800" s="28">
        <v>6</v>
      </c>
      <c r="E800" s="28"/>
      <c r="F800" s="28"/>
      <c r="G800" s="28"/>
      <c r="H800" s="28">
        <v>4</v>
      </c>
      <c r="I800" s="28">
        <v>4</v>
      </c>
      <c r="J800" s="28"/>
      <c r="K800" s="28"/>
      <c r="L800" s="28"/>
      <c r="M800" s="28"/>
      <c r="N800" s="30"/>
      <c r="Z800"/>
      <c r="AA800"/>
      <c r="AB800"/>
      <c r="AC800"/>
      <c r="AD800"/>
      <c r="AE800"/>
      <c r="AF800"/>
      <c r="AG800"/>
      <c r="AH800"/>
    </row>
    <row r="801" spans="2:34" s="27" customFormat="1" x14ac:dyDescent="0.25">
      <c r="B801" s="399">
        <v>23</v>
      </c>
      <c r="C801" s="295">
        <v>3</v>
      </c>
      <c r="D801" s="28">
        <v>6</v>
      </c>
      <c r="E801" s="28"/>
      <c r="F801" s="28"/>
      <c r="G801" s="28"/>
      <c r="H801" s="28">
        <v>5</v>
      </c>
      <c r="I801" s="28">
        <v>5</v>
      </c>
      <c r="J801" s="28"/>
      <c r="K801" s="28"/>
      <c r="L801" s="28"/>
      <c r="M801" s="28"/>
      <c r="N801" s="30"/>
      <c r="Z801"/>
      <c r="AA801"/>
      <c r="AB801"/>
      <c r="AC801"/>
      <c r="AD801"/>
      <c r="AE801"/>
      <c r="AF801"/>
      <c r="AG801"/>
      <c r="AH801"/>
    </row>
    <row r="802" spans="2:34" s="27" customFormat="1" x14ac:dyDescent="0.25">
      <c r="B802" s="399">
        <v>24</v>
      </c>
      <c r="C802" s="295">
        <v>3</v>
      </c>
      <c r="D802" s="28"/>
      <c r="E802" s="28"/>
      <c r="F802" s="28"/>
      <c r="G802" s="28"/>
      <c r="H802" s="28">
        <v>5</v>
      </c>
      <c r="I802" s="28">
        <v>5</v>
      </c>
      <c r="J802" s="28"/>
      <c r="K802" s="28"/>
      <c r="L802" s="28"/>
      <c r="M802" s="28"/>
      <c r="N802" s="30"/>
      <c r="Z802"/>
      <c r="AA802"/>
      <c r="AB802"/>
      <c r="AC802"/>
      <c r="AD802"/>
      <c r="AE802"/>
      <c r="AF802"/>
      <c r="AG802"/>
      <c r="AH802"/>
    </row>
    <row r="803" spans="2:34" s="27" customFormat="1" x14ac:dyDescent="0.25">
      <c r="B803" s="399">
        <v>25</v>
      </c>
      <c r="C803" s="295">
        <v>4</v>
      </c>
      <c r="D803" s="28"/>
      <c r="E803" s="28"/>
      <c r="F803" s="28"/>
      <c r="G803" s="28"/>
      <c r="H803" s="28">
        <v>5</v>
      </c>
      <c r="I803" s="28">
        <v>6</v>
      </c>
      <c r="J803" s="28"/>
      <c r="K803" s="28"/>
      <c r="L803" s="28"/>
      <c r="M803" s="28"/>
      <c r="N803" s="30"/>
      <c r="Z803"/>
      <c r="AA803"/>
      <c r="AB803"/>
      <c r="AC803"/>
      <c r="AD803"/>
      <c r="AE803"/>
      <c r="AF803"/>
      <c r="AG803"/>
      <c r="AH803"/>
    </row>
    <row r="804" spans="2:34" s="27" customFormat="1" x14ac:dyDescent="0.25">
      <c r="B804" s="399">
        <v>26</v>
      </c>
      <c r="C804" s="295">
        <v>4</v>
      </c>
      <c r="D804" s="28"/>
      <c r="E804" s="28"/>
      <c r="F804" s="28"/>
      <c r="G804" s="28"/>
      <c r="H804" s="28">
        <v>5</v>
      </c>
      <c r="I804" s="28">
        <v>6</v>
      </c>
      <c r="J804" s="28"/>
      <c r="K804" s="28"/>
      <c r="L804" s="28"/>
      <c r="M804" s="28"/>
      <c r="N804" s="30"/>
      <c r="Z804"/>
      <c r="AA804"/>
      <c r="AB804"/>
      <c r="AC804"/>
      <c r="AD804"/>
      <c r="AE804"/>
      <c r="AF804"/>
      <c r="AG804"/>
      <c r="AH804"/>
    </row>
    <row r="805" spans="2:34" s="27" customFormat="1" x14ac:dyDescent="0.25">
      <c r="B805" s="399">
        <v>27</v>
      </c>
      <c r="C805" s="295">
        <v>5</v>
      </c>
      <c r="D805" s="28"/>
      <c r="E805" s="28"/>
      <c r="F805" s="28"/>
      <c r="G805" s="28"/>
      <c r="H805" s="28">
        <v>6</v>
      </c>
      <c r="I805" s="28">
        <v>6</v>
      </c>
      <c r="J805" s="28"/>
      <c r="K805" s="28"/>
      <c r="L805" s="28"/>
      <c r="M805" s="28"/>
      <c r="N805" s="30"/>
      <c r="Z805"/>
      <c r="AA805"/>
      <c r="AB805"/>
      <c r="AC805"/>
      <c r="AD805"/>
      <c r="AE805"/>
      <c r="AF805"/>
      <c r="AG805"/>
      <c r="AH805"/>
    </row>
    <row r="806" spans="2:34" s="27" customFormat="1" x14ac:dyDescent="0.25">
      <c r="B806" s="399">
        <v>28</v>
      </c>
      <c r="C806" s="295">
        <v>6</v>
      </c>
      <c r="D806" s="28"/>
      <c r="E806" s="28"/>
      <c r="F806" s="28"/>
      <c r="G806" s="28"/>
      <c r="H806" s="28">
        <v>6</v>
      </c>
      <c r="I806" s="28">
        <v>7</v>
      </c>
      <c r="J806" s="28"/>
      <c r="K806" s="28"/>
      <c r="L806" s="28"/>
      <c r="M806" s="28"/>
      <c r="N806" s="30"/>
      <c r="Z806"/>
      <c r="AA806"/>
      <c r="AB806"/>
      <c r="AC806"/>
      <c r="AD806"/>
      <c r="AE806"/>
      <c r="AF806"/>
      <c r="AG806"/>
      <c r="AH806"/>
    </row>
    <row r="807" spans="2:34" s="27" customFormat="1" x14ac:dyDescent="0.25">
      <c r="B807" s="399">
        <v>29</v>
      </c>
      <c r="C807" s="295">
        <v>7</v>
      </c>
      <c r="D807" s="28"/>
      <c r="E807" s="28"/>
      <c r="F807" s="28"/>
      <c r="G807" s="28"/>
      <c r="H807" s="28">
        <v>6</v>
      </c>
      <c r="I807" s="28">
        <v>7</v>
      </c>
      <c r="J807" s="28"/>
      <c r="K807" s="28"/>
      <c r="L807" s="28"/>
      <c r="M807" s="28"/>
      <c r="N807" s="30"/>
      <c r="Z807"/>
      <c r="AA807"/>
      <c r="AB807"/>
      <c r="AC807"/>
      <c r="AD807"/>
      <c r="AE807"/>
      <c r="AF807"/>
      <c r="AG807"/>
      <c r="AH807"/>
    </row>
    <row r="808" spans="2:34" s="27" customFormat="1" x14ac:dyDescent="0.25">
      <c r="B808" s="399">
        <v>30</v>
      </c>
      <c r="C808" s="295">
        <v>7</v>
      </c>
      <c r="D808" s="28"/>
      <c r="E808" s="28"/>
      <c r="F808" s="28"/>
      <c r="G808" s="28"/>
      <c r="H808" s="28">
        <v>7</v>
      </c>
      <c r="I808" s="28">
        <v>7</v>
      </c>
      <c r="J808" s="28"/>
      <c r="K808" s="28"/>
      <c r="L808" s="28"/>
      <c r="M808" s="28"/>
      <c r="N808" s="30"/>
      <c r="Z808"/>
      <c r="AA808"/>
      <c r="AB808"/>
      <c r="AC808"/>
      <c r="AD808"/>
      <c r="AE808"/>
      <c r="AF808"/>
      <c r="AG808"/>
      <c r="AH808"/>
    </row>
    <row r="809" spans="2:34" s="27" customFormat="1" x14ac:dyDescent="0.25">
      <c r="B809" s="399">
        <v>31</v>
      </c>
      <c r="C809" s="295">
        <v>7</v>
      </c>
      <c r="D809" s="28"/>
      <c r="E809" s="28"/>
      <c r="F809" s="28"/>
      <c r="G809" s="28"/>
      <c r="H809" s="28">
        <v>7</v>
      </c>
      <c r="I809" s="28">
        <v>8</v>
      </c>
      <c r="J809" s="28"/>
      <c r="K809" s="28"/>
      <c r="L809" s="28"/>
      <c r="M809" s="28"/>
      <c r="N809" s="30"/>
      <c r="Z809"/>
      <c r="AA809"/>
      <c r="AB809"/>
      <c r="AC809"/>
      <c r="AD809"/>
      <c r="AE809"/>
      <c r="AF809"/>
      <c r="AG809"/>
      <c r="AH809"/>
    </row>
    <row r="810" spans="2:34" s="27" customFormat="1" x14ac:dyDescent="0.25">
      <c r="B810" s="399">
        <v>32</v>
      </c>
      <c r="C810" s="295">
        <v>7</v>
      </c>
      <c r="D810" s="28"/>
      <c r="E810" s="28"/>
      <c r="F810" s="28"/>
      <c r="G810" s="28"/>
      <c r="H810" s="28">
        <v>7</v>
      </c>
      <c r="I810" s="28">
        <v>8</v>
      </c>
      <c r="J810" s="28"/>
      <c r="K810" s="28"/>
      <c r="L810" s="28"/>
      <c r="M810" s="28"/>
      <c r="N810" s="30"/>
      <c r="Z810"/>
      <c r="AA810"/>
      <c r="AB810"/>
      <c r="AC810"/>
      <c r="AD810"/>
      <c r="AE810"/>
      <c r="AF810"/>
      <c r="AG810"/>
      <c r="AH810"/>
    </row>
    <row r="811" spans="2:34" s="27" customFormat="1" x14ac:dyDescent="0.25">
      <c r="B811" s="399">
        <v>33</v>
      </c>
      <c r="C811" s="295">
        <v>7</v>
      </c>
      <c r="D811" s="28"/>
      <c r="E811" s="28"/>
      <c r="F811" s="28"/>
      <c r="G811" s="28"/>
      <c r="H811" s="28">
        <v>8</v>
      </c>
      <c r="I811" s="28">
        <v>8</v>
      </c>
      <c r="J811" s="28"/>
      <c r="K811" s="28"/>
      <c r="L811" s="28"/>
      <c r="M811" s="28"/>
      <c r="N811" s="30"/>
      <c r="Z811"/>
      <c r="AA811"/>
      <c r="AB811"/>
      <c r="AC811"/>
      <c r="AD811"/>
      <c r="AE811"/>
      <c r="AF811"/>
      <c r="AG811"/>
      <c r="AH811"/>
    </row>
    <row r="812" spans="2:34" s="27" customFormat="1" x14ac:dyDescent="0.25">
      <c r="B812" s="399">
        <v>34</v>
      </c>
      <c r="C812" s="295">
        <v>7</v>
      </c>
      <c r="D812" s="28"/>
      <c r="E812" s="28"/>
      <c r="F812" s="28"/>
      <c r="G812" s="28"/>
      <c r="H812" s="28">
        <v>8</v>
      </c>
      <c r="I812" s="28">
        <v>9</v>
      </c>
      <c r="J812" s="28"/>
      <c r="K812" s="28"/>
      <c r="L812" s="28"/>
      <c r="M812" s="28"/>
      <c r="N812" s="30"/>
      <c r="Z812"/>
      <c r="AA812"/>
      <c r="AB812"/>
      <c r="AC812"/>
      <c r="AD812"/>
      <c r="AE812"/>
      <c r="AF812"/>
      <c r="AG812"/>
      <c r="AH812"/>
    </row>
    <row r="813" spans="2:34" s="27" customFormat="1" x14ac:dyDescent="0.25">
      <c r="B813" s="399">
        <v>35</v>
      </c>
      <c r="C813" s="295">
        <v>7</v>
      </c>
      <c r="D813" s="28"/>
      <c r="E813" s="28"/>
      <c r="F813" s="28"/>
      <c r="G813" s="28"/>
      <c r="H813" s="28">
        <v>8</v>
      </c>
      <c r="I813" s="28">
        <v>9</v>
      </c>
      <c r="J813" s="28"/>
      <c r="K813" s="28"/>
      <c r="L813" s="28"/>
      <c r="M813" s="28"/>
      <c r="N813" s="30"/>
      <c r="Z813"/>
      <c r="AA813"/>
      <c r="AB813"/>
      <c r="AC813"/>
      <c r="AD813"/>
      <c r="AE813"/>
      <c r="AF813"/>
      <c r="AG813"/>
      <c r="AH813"/>
    </row>
    <row r="814" spans="2:34" s="27" customFormat="1" ht="15.75" thickBot="1" x14ac:dyDescent="0.3">
      <c r="B814" s="400">
        <v>36</v>
      </c>
      <c r="C814" s="296">
        <v>7</v>
      </c>
      <c r="D814" s="32"/>
      <c r="E814" s="32"/>
      <c r="F814" s="32"/>
      <c r="G814" s="32"/>
      <c r="H814" s="32">
        <v>9</v>
      </c>
      <c r="I814" s="32">
        <v>9</v>
      </c>
      <c r="J814" s="32"/>
      <c r="K814" s="32"/>
      <c r="L814" s="32"/>
      <c r="M814" s="32"/>
      <c r="N814" s="33"/>
      <c r="Z814"/>
      <c r="AA814"/>
      <c r="AB814"/>
      <c r="AC814"/>
      <c r="AD814"/>
      <c r="AE814"/>
      <c r="AF814"/>
      <c r="AG814"/>
      <c r="AH814"/>
    </row>
    <row r="815" spans="2:34" s="27" customFormat="1" ht="15.75" thickBot="1" x14ac:dyDescent="0.3">
      <c r="B815" s="26"/>
      <c r="Z815"/>
      <c r="AA815"/>
      <c r="AB815"/>
      <c r="AC815"/>
      <c r="AD815"/>
      <c r="AE815"/>
      <c r="AF815"/>
      <c r="AG815"/>
      <c r="AH815"/>
    </row>
    <row r="816" spans="2:34" s="27" customFormat="1" ht="15.75" thickBot="1" x14ac:dyDescent="0.3">
      <c r="B816" s="243" t="s">
        <v>617</v>
      </c>
      <c r="C816" s="242" t="s">
        <v>63</v>
      </c>
      <c r="D816" s="138" t="s">
        <v>64</v>
      </c>
      <c r="E816" s="138" t="s">
        <v>65</v>
      </c>
      <c r="F816" s="138" t="s">
        <v>66</v>
      </c>
      <c r="G816" s="138" t="s">
        <v>67</v>
      </c>
      <c r="H816" s="138" t="s">
        <v>68</v>
      </c>
      <c r="I816" s="138" t="s">
        <v>247</v>
      </c>
      <c r="J816" s="138" t="s">
        <v>69</v>
      </c>
      <c r="K816" s="138" t="s">
        <v>70</v>
      </c>
      <c r="L816" s="138" t="s">
        <v>333</v>
      </c>
      <c r="M816" s="138" t="s">
        <v>334</v>
      </c>
      <c r="N816" s="139"/>
      <c r="Z816"/>
      <c r="AA816"/>
      <c r="AB816"/>
      <c r="AC816"/>
      <c r="AD816"/>
      <c r="AE816"/>
      <c r="AF816"/>
      <c r="AG816"/>
      <c r="AH816"/>
    </row>
    <row r="817" spans="2:34" s="27" customFormat="1" x14ac:dyDescent="0.25">
      <c r="B817" s="398">
        <v>1</v>
      </c>
      <c r="C817" s="397"/>
      <c r="D817" s="133"/>
      <c r="E817" s="133"/>
      <c r="F817" s="133"/>
      <c r="G817" s="133"/>
      <c r="H817" s="133">
        <v>0</v>
      </c>
      <c r="I817" s="133"/>
      <c r="J817" s="133"/>
      <c r="K817" s="133"/>
      <c r="L817" s="133"/>
      <c r="M817" s="133"/>
      <c r="N817" s="136"/>
      <c r="Z817"/>
      <c r="AA817"/>
      <c r="AB817"/>
      <c r="AC817"/>
      <c r="AD817"/>
      <c r="AE817"/>
      <c r="AF817"/>
      <c r="AG817"/>
      <c r="AH817"/>
    </row>
    <row r="818" spans="2:34" s="27" customFormat="1" x14ac:dyDescent="0.25">
      <c r="B818" s="399">
        <v>2</v>
      </c>
      <c r="C818" s="295"/>
      <c r="D818" s="28"/>
      <c r="E818" s="28"/>
      <c r="F818" s="28"/>
      <c r="G818" s="28"/>
      <c r="H818" s="28">
        <v>0</v>
      </c>
      <c r="I818" s="28"/>
      <c r="J818" s="28"/>
      <c r="K818" s="28"/>
      <c r="L818" s="28"/>
      <c r="M818" s="28"/>
      <c r="N818" s="30"/>
      <c r="Z818"/>
      <c r="AA818"/>
      <c r="AB818"/>
      <c r="AC818"/>
      <c r="AD818"/>
      <c r="AE818"/>
      <c r="AF818"/>
      <c r="AG818"/>
      <c r="AH818"/>
    </row>
    <row r="819" spans="2:34" s="27" customFormat="1" x14ac:dyDescent="0.25">
      <c r="B819" s="399">
        <v>3</v>
      </c>
      <c r="C819" s="295"/>
      <c r="D819" s="28"/>
      <c r="E819" s="28"/>
      <c r="F819" s="28"/>
      <c r="G819" s="28"/>
      <c r="H819" s="28">
        <v>0</v>
      </c>
      <c r="I819" s="28"/>
      <c r="J819" s="28"/>
      <c r="K819" s="28"/>
      <c r="L819" s="28"/>
      <c r="M819" s="28"/>
      <c r="N819" s="30"/>
      <c r="Z819"/>
      <c r="AA819"/>
      <c r="AB819"/>
      <c r="AC819"/>
      <c r="AD819"/>
      <c r="AE819"/>
      <c r="AF819"/>
      <c r="AG819"/>
      <c r="AH819"/>
    </row>
    <row r="820" spans="2:34" s="27" customFormat="1" x14ac:dyDescent="0.25">
      <c r="B820" s="399">
        <v>4</v>
      </c>
      <c r="C820" s="295"/>
      <c r="D820" s="28"/>
      <c r="E820" s="28"/>
      <c r="F820" s="28"/>
      <c r="G820" s="28"/>
      <c r="H820" s="28">
        <v>0</v>
      </c>
      <c r="I820" s="28"/>
      <c r="J820" s="28"/>
      <c r="K820" s="28"/>
      <c r="L820" s="28"/>
      <c r="M820" s="28"/>
      <c r="N820" s="30"/>
      <c r="Z820"/>
      <c r="AA820"/>
      <c r="AB820"/>
      <c r="AC820"/>
      <c r="AD820"/>
      <c r="AE820"/>
      <c r="AF820"/>
      <c r="AG820"/>
      <c r="AH820"/>
    </row>
    <row r="821" spans="2:34" s="27" customFormat="1" x14ac:dyDescent="0.25">
      <c r="B821" s="399">
        <v>5</v>
      </c>
      <c r="C821" s="295"/>
      <c r="D821" s="28"/>
      <c r="E821" s="28"/>
      <c r="F821" s="28"/>
      <c r="G821" s="28"/>
      <c r="H821" s="28">
        <v>0</v>
      </c>
      <c r="I821" s="28"/>
      <c r="J821" s="28"/>
      <c r="K821" s="28"/>
      <c r="L821" s="28"/>
      <c r="M821" s="28"/>
      <c r="N821" s="30"/>
      <c r="Z821"/>
      <c r="AA821"/>
      <c r="AB821"/>
      <c r="AC821"/>
      <c r="AD821"/>
      <c r="AE821"/>
      <c r="AF821"/>
      <c r="AG821"/>
      <c r="AH821"/>
    </row>
    <row r="822" spans="2:34" s="27" customFormat="1" x14ac:dyDescent="0.25">
      <c r="B822" s="399">
        <v>6</v>
      </c>
      <c r="C822" s="295"/>
      <c r="D822" s="28"/>
      <c r="E822" s="28"/>
      <c r="F822" s="28"/>
      <c r="G822" s="28"/>
      <c r="H822" s="28">
        <v>0</v>
      </c>
      <c r="I822" s="28"/>
      <c r="J822" s="28"/>
      <c r="K822" s="28"/>
      <c r="L822" s="28"/>
      <c r="M822" s="28"/>
      <c r="N822" s="30"/>
      <c r="Z822"/>
      <c r="AA822"/>
      <c r="AB822"/>
      <c r="AC822"/>
      <c r="AD822"/>
      <c r="AE822"/>
      <c r="AF822"/>
      <c r="AG822"/>
      <c r="AH822"/>
    </row>
    <row r="823" spans="2:34" s="27" customFormat="1" x14ac:dyDescent="0.25">
      <c r="B823" s="399">
        <v>7</v>
      </c>
      <c r="C823" s="295"/>
      <c r="D823" s="28"/>
      <c r="E823" s="28"/>
      <c r="F823" s="28"/>
      <c r="G823" s="28"/>
      <c r="H823" s="28">
        <v>0</v>
      </c>
      <c r="I823" s="28"/>
      <c r="J823" s="28"/>
      <c r="K823" s="28"/>
      <c r="L823" s="28"/>
      <c r="M823" s="28"/>
      <c r="N823" s="30"/>
      <c r="Z823"/>
      <c r="AA823"/>
      <c r="AB823"/>
      <c r="AC823"/>
      <c r="AD823"/>
      <c r="AE823"/>
      <c r="AF823"/>
      <c r="AG823"/>
      <c r="AH823"/>
    </row>
    <row r="824" spans="2:34" s="27" customFormat="1" x14ac:dyDescent="0.25">
      <c r="B824" s="399">
        <v>8</v>
      </c>
      <c r="C824" s="295"/>
      <c r="D824" s="28"/>
      <c r="E824" s="28"/>
      <c r="F824" s="28"/>
      <c r="G824" s="28"/>
      <c r="H824" s="28">
        <v>0</v>
      </c>
      <c r="I824" s="28"/>
      <c r="J824" s="28"/>
      <c r="K824" s="28"/>
      <c r="L824" s="28"/>
      <c r="M824" s="28"/>
      <c r="N824" s="30"/>
      <c r="Z824"/>
      <c r="AA824"/>
      <c r="AB824"/>
      <c r="AC824"/>
      <c r="AD824"/>
      <c r="AE824"/>
      <c r="AF824"/>
      <c r="AG824"/>
      <c r="AH824"/>
    </row>
    <row r="825" spans="2:34" s="27" customFormat="1" x14ac:dyDescent="0.25">
      <c r="B825" s="399">
        <v>9</v>
      </c>
      <c r="C825" s="295"/>
      <c r="D825" s="28"/>
      <c r="E825" s="28"/>
      <c r="F825" s="28"/>
      <c r="G825" s="28"/>
      <c r="H825" s="28">
        <v>0</v>
      </c>
      <c r="I825" s="28"/>
      <c r="J825" s="28"/>
      <c r="K825" s="28"/>
      <c r="L825" s="28"/>
      <c r="M825" s="28"/>
      <c r="N825" s="30"/>
      <c r="Z825"/>
      <c r="AA825"/>
      <c r="AB825"/>
      <c r="AC825"/>
      <c r="AD825"/>
      <c r="AE825"/>
      <c r="AF825"/>
      <c r="AG825"/>
      <c r="AH825"/>
    </row>
    <row r="826" spans="2:34" s="27" customFormat="1" x14ac:dyDescent="0.25">
      <c r="B826" s="399">
        <v>10</v>
      </c>
      <c r="C826" s="295"/>
      <c r="D826" s="28"/>
      <c r="E826" s="28"/>
      <c r="F826" s="28"/>
      <c r="G826" s="28"/>
      <c r="H826" s="28">
        <v>0</v>
      </c>
      <c r="I826" s="28"/>
      <c r="J826" s="28"/>
      <c r="K826" s="28"/>
      <c r="L826" s="28"/>
      <c r="M826" s="28"/>
      <c r="N826" s="30"/>
      <c r="Z826"/>
      <c r="AA826"/>
      <c r="AB826"/>
      <c r="AC826"/>
      <c r="AD826"/>
      <c r="AE826"/>
      <c r="AF826"/>
      <c r="AG826"/>
      <c r="AH826"/>
    </row>
    <row r="827" spans="2:34" s="27" customFormat="1" x14ac:dyDescent="0.25">
      <c r="B827" s="399">
        <v>11</v>
      </c>
      <c r="C827" s="295"/>
      <c r="D827" s="28"/>
      <c r="E827" s="28"/>
      <c r="F827" s="28"/>
      <c r="G827" s="28"/>
      <c r="H827" s="28">
        <v>0</v>
      </c>
      <c r="I827" s="28"/>
      <c r="J827" s="28"/>
      <c r="K827" s="28"/>
      <c r="L827" s="28"/>
      <c r="M827" s="28"/>
      <c r="N827" s="30"/>
      <c r="Z827"/>
      <c r="AA827"/>
      <c r="AB827"/>
      <c r="AC827"/>
      <c r="AD827"/>
      <c r="AE827"/>
      <c r="AF827"/>
      <c r="AG827"/>
      <c r="AH827"/>
    </row>
    <row r="828" spans="2:34" s="27" customFormat="1" x14ac:dyDescent="0.25">
      <c r="B828" s="399">
        <v>12</v>
      </c>
      <c r="C828" s="295"/>
      <c r="D828" s="28"/>
      <c r="E828" s="28"/>
      <c r="F828" s="28"/>
      <c r="G828" s="28"/>
      <c r="H828" s="28">
        <v>0</v>
      </c>
      <c r="I828" s="28"/>
      <c r="J828" s="28"/>
      <c r="K828" s="28"/>
      <c r="L828" s="28"/>
      <c r="M828" s="28"/>
      <c r="N828" s="30"/>
      <c r="Z828"/>
      <c r="AA828"/>
      <c r="AB828"/>
      <c r="AC828"/>
      <c r="AD828"/>
      <c r="AE828"/>
      <c r="AF828"/>
      <c r="AG828"/>
      <c r="AH828"/>
    </row>
    <row r="829" spans="2:34" s="27" customFormat="1" x14ac:dyDescent="0.25">
      <c r="B829" s="399">
        <v>13</v>
      </c>
      <c r="C829" s="295"/>
      <c r="D829" s="28"/>
      <c r="E829" s="28"/>
      <c r="F829" s="28"/>
      <c r="G829" s="28"/>
      <c r="H829" s="28">
        <v>0</v>
      </c>
      <c r="I829" s="28"/>
      <c r="J829" s="28"/>
      <c r="K829" s="28"/>
      <c r="L829" s="28"/>
      <c r="M829" s="28"/>
      <c r="N829" s="30"/>
      <c r="Z829"/>
      <c r="AA829"/>
      <c r="AB829"/>
      <c r="AC829"/>
      <c r="AD829"/>
      <c r="AE829"/>
      <c r="AF829"/>
      <c r="AG829"/>
      <c r="AH829"/>
    </row>
    <row r="830" spans="2:34" s="27" customFormat="1" x14ac:dyDescent="0.25">
      <c r="B830" s="399">
        <v>14</v>
      </c>
      <c r="C830" s="295"/>
      <c r="D830" s="28"/>
      <c r="E830" s="28"/>
      <c r="F830" s="28"/>
      <c r="G830" s="28"/>
      <c r="H830" s="28">
        <v>0</v>
      </c>
      <c r="I830" s="28"/>
      <c r="J830" s="28"/>
      <c r="K830" s="28"/>
      <c r="L830" s="28"/>
      <c r="M830" s="28"/>
      <c r="N830" s="30"/>
      <c r="Z830"/>
      <c r="AA830"/>
      <c r="AB830"/>
      <c r="AC830"/>
      <c r="AD830"/>
      <c r="AE830"/>
      <c r="AF830"/>
      <c r="AG830"/>
      <c r="AH830"/>
    </row>
    <row r="831" spans="2:34" s="27" customFormat="1" x14ac:dyDescent="0.25">
      <c r="B831" s="399">
        <v>15</v>
      </c>
      <c r="C831" s="295"/>
      <c r="D831" s="28"/>
      <c r="E831" s="28"/>
      <c r="F831" s="28"/>
      <c r="G831" s="28"/>
      <c r="H831" s="28">
        <v>0</v>
      </c>
      <c r="I831" s="28"/>
      <c r="J831" s="28"/>
      <c r="K831" s="28"/>
      <c r="L831" s="28"/>
      <c r="M831" s="28"/>
      <c r="N831" s="30"/>
      <c r="Z831"/>
      <c r="AA831"/>
      <c r="AB831"/>
      <c r="AC831"/>
      <c r="AD831"/>
      <c r="AE831"/>
      <c r="AF831"/>
      <c r="AG831"/>
      <c r="AH831"/>
    </row>
    <row r="832" spans="2:34" s="27" customFormat="1" x14ac:dyDescent="0.25">
      <c r="B832" s="399">
        <v>16</v>
      </c>
      <c r="C832" s="295"/>
      <c r="D832" s="28"/>
      <c r="E832" s="28"/>
      <c r="F832" s="28"/>
      <c r="G832" s="28"/>
      <c r="H832" s="28">
        <v>1</v>
      </c>
      <c r="I832" s="28"/>
      <c r="J832" s="28"/>
      <c r="K832" s="28"/>
      <c r="L832" s="28"/>
      <c r="M832" s="28"/>
      <c r="N832" s="30"/>
      <c r="Z832"/>
      <c r="AA832"/>
      <c r="AB832"/>
      <c r="AC832"/>
      <c r="AD832"/>
      <c r="AE832"/>
      <c r="AF832"/>
      <c r="AG832"/>
      <c r="AH832"/>
    </row>
    <row r="833" spans="2:34" s="27" customFormat="1" x14ac:dyDescent="0.25">
      <c r="B833" s="399">
        <v>17</v>
      </c>
      <c r="C833" s="295"/>
      <c r="D833" s="28"/>
      <c r="E833" s="28"/>
      <c r="F833" s="28"/>
      <c r="G833" s="28"/>
      <c r="H833" s="28">
        <v>2</v>
      </c>
      <c r="I833" s="28"/>
      <c r="J833" s="28"/>
      <c r="K833" s="28"/>
      <c r="L833" s="28"/>
      <c r="M833" s="28"/>
      <c r="N833" s="30"/>
      <c r="Z833"/>
      <c r="AA833"/>
      <c r="AB833"/>
      <c r="AC833"/>
      <c r="AD833"/>
      <c r="AE833"/>
      <c r="AF833"/>
      <c r="AG833"/>
      <c r="AH833"/>
    </row>
    <row r="834" spans="2:34" s="27" customFormat="1" x14ac:dyDescent="0.25">
      <c r="B834" s="399">
        <v>18</v>
      </c>
      <c r="C834" s="295"/>
      <c r="D834" s="28"/>
      <c r="E834" s="28"/>
      <c r="F834" s="28"/>
      <c r="G834" s="28"/>
      <c r="H834" s="28">
        <v>2</v>
      </c>
      <c r="I834" s="28"/>
      <c r="J834" s="28"/>
      <c r="K834" s="28"/>
      <c r="L834" s="28"/>
      <c r="M834" s="28"/>
      <c r="N834" s="30"/>
      <c r="Z834"/>
      <c r="AA834"/>
      <c r="AB834"/>
      <c r="AC834"/>
      <c r="AD834"/>
      <c r="AE834"/>
      <c r="AF834"/>
      <c r="AG834"/>
      <c r="AH834"/>
    </row>
    <row r="835" spans="2:34" s="27" customFormat="1" x14ac:dyDescent="0.25">
      <c r="B835" s="399">
        <v>19</v>
      </c>
      <c r="C835" s="295"/>
      <c r="D835" s="28"/>
      <c r="E835" s="28"/>
      <c r="F835" s="28"/>
      <c r="G835" s="28"/>
      <c r="H835" s="28">
        <v>3</v>
      </c>
      <c r="I835" s="28"/>
      <c r="J835" s="28"/>
      <c r="K835" s="28"/>
      <c r="L835" s="28"/>
      <c r="M835" s="28"/>
      <c r="N835" s="30"/>
      <c r="Z835"/>
      <c r="AA835"/>
      <c r="AB835"/>
      <c r="AC835"/>
      <c r="AD835"/>
      <c r="AE835"/>
      <c r="AF835"/>
      <c r="AG835"/>
      <c r="AH835"/>
    </row>
    <row r="836" spans="2:34" s="27" customFormat="1" x14ac:dyDescent="0.25">
      <c r="B836" s="399">
        <v>20</v>
      </c>
      <c r="C836" s="295"/>
      <c r="D836" s="28"/>
      <c r="E836" s="28"/>
      <c r="F836" s="28"/>
      <c r="G836" s="28"/>
      <c r="H836" s="28">
        <v>3</v>
      </c>
      <c r="I836" s="28"/>
      <c r="J836" s="28"/>
      <c r="K836" s="28"/>
      <c r="L836" s="28"/>
      <c r="M836" s="28"/>
      <c r="N836" s="30"/>
      <c r="Z836"/>
      <c r="AA836"/>
      <c r="AB836"/>
      <c r="AC836"/>
      <c r="AD836"/>
      <c r="AE836"/>
      <c r="AF836"/>
      <c r="AG836"/>
      <c r="AH836"/>
    </row>
    <row r="837" spans="2:34" s="27" customFormat="1" x14ac:dyDescent="0.25">
      <c r="B837" s="399">
        <v>21</v>
      </c>
      <c r="C837" s="295"/>
      <c r="D837" s="28"/>
      <c r="E837" s="28"/>
      <c r="F837" s="28"/>
      <c r="G837" s="28"/>
      <c r="H837" s="28">
        <v>4</v>
      </c>
      <c r="I837" s="28"/>
      <c r="J837" s="28"/>
      <c r="K837" s="28"/>
      <c r="L837" s="28"/>
      <c r="M837" s="28"/>
      <c r="N837" s="30"/>
      <c r="Z837"/>
      <c r="AA837"/>
      <c r="AB837"/>
      <c r="AC837"/>
      <c r="AD837"/>
      <c r="AE837"/>
      <c r="AF837"/>
      <c r="AG837"/>
      <c r="AH837"/>
    </row>
    <row r="838" spans="2:34" s="27" customFormat="1" x14ac:dyDescent="0.25">
      <c r="B838" s="399">
        <v>22</v>
      </c>
      <c r="C838" s="295"/>
      <c r="D838" s="28"/>
      <c r="E838" s="28"/>
      <c r="F838" s="28"/>
      <c r="G838" s="28"/>
      <c r="H838" s="28">
        <v>4</v>
      </c>
      <c r="I838" s="28"/>
      <c r="J838" s="28"/>
      <c r="K838" s="28"/>
      <c r="L838" s="28"/>
      <c r="M838" s="28"/>
      <c r="N838" s="30"/>
      <c r="Z838"/>
      <c r="AA838"/>
      <c r="AB838"/>
      <c r="AC838"/>
      <c r="AD838"/>
      <c r="AE838"/>
      <c r="AF838"/>
      <c r="AG838"/>
      <c r="AH838"/>
    </row>
    <row r="839" spans="2:34" s="27" customFormat="1" x14ac:dyDescent="0.25">
      <c r="B839" s="399">
        <v>23</v>
      </c>
      <c r="C839" s="295"/>
      <c r="D839" s="28"/>
      <c r="E839" s="28"/>
      <c r="F839" s="28"/>
      <c r="G839" s="28"/>
      <c r="H839" s="28">
        <v>5</v>
      </c>
      <c r="I839" s="28"/>
      <c r="J839" s="28"/>
      <c r="K839" s="28"/>
      <c r="L839" s="28"/>
      <c r="M839" s="28"/>
      <c r="N839" s="30"/>
      <c r="Z839"/>
      <c r="AA839"/>
      <c r="AB839"/>
      <c r="AC839"/>
      <c r="AD839"/>
      <c r="AE839"/>
      <c r="AF839"/>
      <c r="AG839"/>
      <c r="AH839"/>
    </row>
    <row r="840" spans="2:34" s="27" customFormat="1" x14ac:dyDescent="0.25">
      <c r="B840" s="399">
        <v>24</v>
      </c>
      <c r="C840" s="295"/>
      <c r="D840" s="28"/>
      <c r="E840" s="28"/>
      <c r="F840" s="28"/>
      <c r="G840" s="28"/>
      <c r="H840" s="28">
        <v>5</v>
      </c>
      <c r="I840" s="28"/>
      <c r="J840" s="28"/>
      <c r="K840" s="28"/>
      <c r="L840" s="28"/>
      <c r="M840" s="28"/>
      <c r="N840" s="30"/>
      <c r="Z840"/>
      <c r="AA840"/>
      <c r="AB840"/>
      <c r="AC840"/>
      <c r="AD840"/>
      <c r="AE840"/>
      <c r="AF840"/>
      <c r="AG840"/>
      <c r="AH840"/>
    </row>
    <row r="841" spans="2:34" s="27" customFormat="1" x14ac:dyDescent="0.25">
      <c r="B841" s="399">
        <v>25</v>
      </c>
      <c r="C841" s="295"/>
      <c r="D841" s="28"/>
      <c r="E841" s="28"/>
      <c r="F841" s="28"/>
      <c r="G841" s="28"/>
      <c r="H841" s="28">
        <v>5</v>
      </c>
      <c r="I841" s="28"/>
      <c r="J841" s="28"/>
      <c r="K841" s="28"/>
      <c r="L841" s="28"/>
      <c r="M841" s="28"/>
      <c r="N841" s="30"/>
      <c r="Z841"/>
      <c r="AA841"/>
      <c r="AB841"/>
      <c r="AC841"/>
      <c r="AD841"/>
      <c r="AE841"/>
      <c r="AF841"/>
      <c r="AG841"/>
      <c r="AH841"/>
    </row>
    <row r="842" spans="2:34" s="27" customFormat="1" x14ac:dyDescent="0.25">
      <c r="B842" s="399">
        <v>26</v>
      </c>
      <c r="C842" s="295"/>
      <c r="D842" s="28"/>
      <c r="E842" s="28"/>
      <c r="F842" s="28"/>
      <c r="G842" s="28"/>
      <c r="H842" s="28">
        <v>5</v>
      </c>
      <c r="I842" s="28"/>
      <c r="J842" s="28"/>
      <c r="K842" s="28"/>
      <c r="L842" s="28"/>
      <c r="M842" s="28"/>
      <c r="N842" s="30"/>
      <c r="Z842"/>
      <c r="AA842"/>
      <c r="AB842"/>
      <c r="AC842"/>
      <c r="AD842"/>
      <c r="AE842"/>
      <c r="AF842"/>
      <c r="AG842"/>
      <c r="AH842"/>
    </row>
    <row r="843" spans="2:34" s="27" customFormat="1" x14ac:dyDescent="0.25">
      <c r="B843" s="399">
        <v>27</v>
      </c>
      <c r="C843" s="295"/>
      <c r="D843" s="28"/>
      <c r="E843" s="28"/>
      <c r="F843" s="28"/>
      <c r="G843" s="28"/>
      <c r="H843" s="28">
        <v>5</v>
      </c>
      <c r="I843" s="28"/>
      <c r="J843" s="28"/>
      <c r="K843" s="28"/>
      <c r="L843" s="28"/>
      <c r="M843" s="28"/>
      <c r="N843" s="30"/>
      <c r="Z843"/>
      <c r="AA843"/>
      <c r="AB843"/>
      <c r="AC843"/>
      <c r="AD843"/>
      <c r="AE843"/>
      <c r="AF843"/>
      <c r="AG843"/>
      <c r="AH843"/>
    </row>
    <row r="844" spans="2:34" s="27" customFormat="1" x14ac:dyDescent="0.25">
      <c r="B844" s="399">
        <v>28</v>
      </c>
      <c r="C844" s="295"/>
      <c r="D844" s="28"/>
      <c r="E844" s="28"/>
      <c r="F844" s="28"/>
      <c r="G844" s="28"/>
      <c r="H844" s="28">
        <v>6</v>
      </c>
      <c r="I844" s="28"/>
      <c r="J844" s="28"/>
      <c r="K844" s="28"/>
      <c r="L844" s="28"/>
      <c r="M844" s="28"/>
      <c r="N844" s="30"/>
      <c r="Z844"/>
      <c r="AA844"/>
      <c r="AB844"/>
      <c r="AC844"/>
      <c r="AD844"/>
      <c r="AE844"/>
      <c r="AF844"/>
      <c r="AG844"/>
      <c r="AH844"/>
    </row>
    <row r="845" spans="2:34" s="27" customFormat="1" x14ac:dyDescent="0.25">
      <c r="B845" s="399">
        <v>29</v>
      </c>
      <c r="C845" s="295"/>
      <c r="D845" s="28"/>
      <c r="E845" s="28"/>
      <c r="F845" s="28"/>
      <c r="G845" s="28"/>
      <c r="H845" s="28">
        <v>6</v>
      </c>
      <c r="I845" s="28"/>
      <c r="J845" s="28"/>
      <c r="K845" s="28"/>
      <c r="L845" s="28"/>
      <c r="M845" s="28"/>
      <c r="N845" s="30"/>
      <c r="Z845"/>
      <c r="AA845"/>
      <c r="AB845"/>
      <c r="AC845"/>
      <c r="AD845"/>
      <c r="AE845"/>
      <c r="AF845"/>
      <c r="AG845"/>
      <c r="AH845"/>
    </row>
    <row r="846" spans="2:34" s="27" customFormat="1" x14ac:dyDescent="0.25">
      <c r="B846" s="399">
        <v>30</v>
      </c>
      <c r="C846" s="295"/>
      <c r="D846" s="28"/>
      <c r="E846" s="28"/>
      <c r="F846" s="28"/>
      <c r="G846" s="28"/>
      <c r="H846" s="28">
        <v>6</v>
      </c>
      <c r="I846" s="28"/>
      <c r="J846" s="28"/>
      <c r="K846" s="28"/>
      <c r="L846" s="28"/>
      <c r="M846" s="28"/>
      <c r="N846" s="30"/>
      <c r="Z846"/>
      <c r="AA846"/>
      <c r="AB846"/>
      <c r="AC846"/>
      <c r="AD846"/>
      <c r="AE846"/>
      <c r="AF846"/>
      <c r="AG846"/>
      <c r="AH846"/>
    </row>
    <row r="847" spans="2:34" s="27" customFormat="1" x14ac:dyDescent="0.25">
      <c r="B847" s="399">
        <v>31</v>
      </c>
      <c r="C847" s="295"/>
      <c r="D847" s="28"/>
      <c r="E847" s="28"/>
      <c r="F847" s="28"/>
      <c r="G847" s="28"/>
      <c r="H847" s="28">
        <v>7</v>
      </c>
      <c r="I847" s="28"/>
      <c r="J847" s="28"/>
      <c r="K847" s="28"/>
      <c r="L847" s="28"/>
      <c r="M847" s="28"/>
      <c r="N847" s="30"/>
      <c r="Z847"/>
      <c r="AA847"/>
      <c r="AB847"/>
      <c r="AC847"/>
      <c r="AD847"/>
      <c r="AE847"/>
      <c r="AF847"/>
      <c r="AG847"/>
      <c r="AH847"/>
    </row>
    <row r="848" spans="2:34" s="27" customFormat="1" x14ac:dyDescent="0.25">
      <c r="B848" s="399">
        <v>32</v>
      </c>
      <c r="C848" s="295"/>
      <c r="D848" s="28"/>
      <c r="E848" s="28"/>
      <c r="F848" s="28"/>
      <c r="G848" s="28"/>
      <c r="H848" s="28">
        <v>7</v>
      </c>
      <c r="I848" s="28"/>
      <c r="J848" s="28"/>
      <c r="K848" s="28"/>
      <c r="L848" s="28"/>
      <c r="M848" s="28"/>
      <c r="N848" s="30"/>
      <c r="Z848"/>
      <c r="AA848"/>
      <c r="AB848"/>
      <c r="AC848"/>
      <c r="AD848"/>
      <c r="AE848"/>
      <c r="AF848"/>
      <c r="AG848"/>
      <c r="AH848"/>
    </row>
    <row r="849" spans="2:34" s="27" customFormat="1" x14ac:dyDescent="0.25">
      <c r="B849" s="399">
        <v>33</v>
      </c>
      <c r="C849" s="295"/>
      <c r="D849" s="28"/>
      <c r="E849" s="28"/>
      <c r="F849" s="28"/>
      <c r="G849" s="28"/>
      <c r="H849" s="28">
        <v>7</v>
      </c>
      <c r="I849" s="28"/>
      <c r="J849" s="28"/>
      <c r="K849" s="28"/>
      <c r="L849" s="28"/>
      <c r="M849" s="28"/>
      <c r="N849" s="30"/>
      <c r="Z849"/>
      <c r="AA849"/>
      <c r="AB849"/>
      <c r="AC849"/>
      <c r="AD849"/>
      <c r="AE849"/>
      <c r="AF849"/>
      <c r="AG849"/>
      <c r="AH849"/>
    </row>
    <row r="850" spans="2:34" s="27" customFormat="1" x14ac:dyDescent="0.25">
      <c r="B850" s="399">
        <v>34</v>
      </c>
      <c r="C850" s="295"/>
      <c r="D850" s="28"/>
      <c r="E850" s="28"/>
      <c r="F850" s="28"/>
      <c r="G850" s="28"/>
      <c r="H850" s="28">
        <v>8</v>
      </c>
      <c r="I850" s="28"/>
      <c r="J850" s="28"/>
      <c r="K850" s="28"/>
      <c r="L850" s="28"/>
      <c r="M850" s="28"/>
      <c r="N850" s="30"/>
      <c r="Z850"/>
      <c r="AA850"/>
      <c r="AB850"/>
      <c r="AC850"/>
      <c r="AD850"/>
      <c r="AE850"/>
      <c r="AF850"/>
      <c r="AG850"/>
      <c r="AH850"/>
    </row>
    <row r="851" spans="2:34" s="27" customFormat="1" x14ac:dyDescent="0.25">
      <c r="B851" s="399">
        <v>35</v>
      </c>
      <c r="C851" s="295"/>
      <c r="D851" s="28"/>
      <c r="E851" s="28"/>
      <c r="F851" s="28"/>
      <c r="G851" s="28"/>
      <c r="H851" s="28">
        <v>8</v>
      </c>
      <c r="I851" s="28"/>
      <c r="J851" s="28"/>
      <c r="K851" s="28"/>
      <c r="L851" s="28"/>
      <c r="M851" s="28"/>
      <c r="N851" s="30"/>
      <c r="Z851"/>
      <c r="AA851"/>
      <c r="AB851"/>
      <c r="AC851"/>
      <c r="AD851"/>
      <c r="AE851"/>
      <c r="AF851"/>
      <c r="AG851"/>
      <c r="AH851"/>
    </row>
    <row r="852" spans="2:34" s="27" customFormat="1" ht="15.75" thickBot="1" x14ac:dyDescent="0.3">
      <c r="B852" s="400">
        <v>36</v>
      </c>
      <c r="C852" s="296"/>
      <c r="D852" s="32"/>
      <c r="E852" s="32"/>
      <c r="F852" s="32"/>
      <c r="G852" s="32"/>
      <c r="H852" s="32">
        <v>9</v>
      </c>
      <c r="I852" s="32"/>
      <c r="J852" s="32"/>
      <c r="K852" s="32"/>
      <c r="L852" s="32"/>
      <c r="M852" s="32"/>
      <c r="N852" s="33"/>
      <c r="Z852"/>
      <c r="AA852"/>
      <c r="AB852"/>
      <c r="AC852"/>
      <c r="AD852"/>
      <c r="AE852"/>
      <c r="AF852"/>
      <c r="AG852"/>
      <c r="AH852"/>
    </row>
    <row r="853" spans="2:34" s="27" customFormat="1" ht="15.75" thickBot="1" x14ac:dyDescent="0.3">
      <c r="B853" s="26"/>
      <c r="Z853"/>
      <c r="AA853"/>
      <c r="AB853"/>
      <c r="AC853"/>
      <c r="AD853"/>
      <c r="AE853"/>
      <c r="AF853"/>
      <c r="AG853"/>
      <c r="AH853"/>
    </row>
    <row r="854" spans="2:34" s="27" customFormat="1" ht="15.75" thickBot="1" x14ac:dyDescent="0.3">
      <c r="B854" s="243" t="s">
        <v>618</v>
      </c>
      <c r="C854" s="242" t="s">
        <v>63</v>
      </c>
      <c r="D854" s="138" t="s">
        <v>64</v>
      </c>
      <c r="E854" s="138" t="s">
        <v>65</v>
      </c>
      <c r="F854" s="138" t="s">
        <v>66</v>
      </c>
      <c r="G854" s="138" t="s">
        <v>67</v>
      </c>
      <c r="H854" s="138" t="s">
        <v>68</v>
      </c>
      <c r="I854" s="138" t="s">
        <v>247</v>
      </c>
      <c r="J854" s="138" t="s">
        <v>69</v>
      </c>
      <c r="K854" s="138" t="s">
        <v>70</v>
      </c>
      <c r="L854" s="138" t="s">
        <v>333</v>
      </c>
      <c r="M854" s="138" t="s">
        <v>334</v>
      </c>
      <c r="N854" s="139"/>
      <c r="Z854"/>
      <c r="AA854"/>
      <c r="AB854"/>
      <c r="AC854"/>
      <c r="AD854"/>
      <c r="AE854"/>
      <c r="AF854"/>
      <c r="AG854"/>
      <c r="AH854"/>
    </row>
    <row r="855" spans="2:34" s="27" customFormat="1" x14ac:dyDescent="0.25">
      <c r="B855" s="398">
        <v>1</v>
      </c>
      <c r="C855" s="397"/>
      <c r="D855" s="133"/>
      <c r="E855" s="133"/>
      <c r="F855" s="133"/>
      <c r="G855" s="133"/>
      <c r="H855" s="133">
        <v>0</v>
      </c>
      <c r="I855" s="133"/>
      <c r="J855" s="133"/>
      <c r="K855" s="133"/>
      <c r="L855" s="133"/>
      <c r="M855" s="133"/>
      <c r="N855" s="136"/>
      <c r="Z855"/>
      <c r="AA855"/>
      <c r="AB855"/>
      <c r="AC855"/>
      <c r="AD855"/>
      <c r="AE855"/>
      <c r="AF855"/>
      <c r="AG855"/>
      <c r="AH855"/>
    </row>
    <row r="856" spans="2:34" s="27" customFormat="1" x14ac:dyDescent="0.25">
      <c r="B856" s="399">
        <v>2</v>
      </c>
      <c r="C856" s="295"/>
      <c r="D856" s="28"/>
      <c r="E856" s="28"/>
      <c r="F856" s="28"/>
      <c r="G856" s="28"/>
      <c r="H856" s="28">
        <v>0</v>
      </c>
      <c r="I856" s="28"/>
      <c r="J856" s="28"/>
      <c r="K856" s="28"/>
      <c r="L856" s="28"/>
      <c r="M856" s="28"/>
      <c r="N856" s="30"/>
      <c r="Z856"/>
      <c r="AA856"/>
      <c r="AB856"/>
      <c r="AC856"/>
      <c r="AD856"/>
      <c r="AE856"/>
      <c r="AF856"/>
      <c r="AG856"/>
      <c r="AH856"/>
    </row>
    <row r="857" spans="2:34" s="27" customFormat="1" x14ac:dyDescent="0.25">
      <c r="B857" s="399">
        <v>3</v>
      </c>
      <c r="C857" s="295"/>
      <c r="D857" s="28"/>
      <c r="E857" s="28"/>
      <c r="F857" s="28"/>
      <c r="G857" s="28"/>
      <c r="H857" s="28">
        <v>0</v>
      </c>
      <c r="I857" s="28"/>
      <c r="J857" s="28"/>
      <c r="K857" s="28"/>
      <c r="L857" s="28"/>
      <c r="M857" s="28"/>
      <c r="N857" s="30"/>
      <c r="Z857"/>
      <c r="AA857"/>
      <c r="AB857"/>
      <c r="AC857"/>
      <c r="AD857"/>
      <c r="AE857"/>
      <c r="AF857"/>
      <c r="AG857"/>
      <c r="AH857"/>
    </row>
    <row r="858" spans="2:34" s="27" customFormat="1" x14ac:dyDescent="0.25">
      <c r="B858" s="399">
        <v>4</v>
      </c>
      <c r="C858" s="295"/>
      <c r="D858" s="28"/>
      <c r="E858" s="28"/>
      <c r="F858" s="28"/>
      <c r="G858" s="28"/>
      <c r="H858" s="28">
        <v>0</v>
      </c>
      <c r="I858" s="28"/>
      <c r="J858" s="28"/>
      <c r="K858" s="28"/>
      <c r="L858" s="28"/>
      <c r="M858" s="28"/>
      <c r="N858" s="30"/>
      <c r="Z858"/>
      <c r="AA858"/>
      <c r="AB858"/>
      <c r="AC858"/>
      <c r="AD858"/>
      <c r="AE858"/>
      <c r="AF858"/>
      <c r="AG858"/>
      <c r="AH858"/>
    </row>
    <row r="859" spans="2:34" s="27" customFormat="1" x14ac:dyDescent="0.25">
      <c r="B859" s="399">
        <v>5</v>
      </c>
      <c r="C859" s="295"/>
      <c r="D859" s="28"/>
      <c r="E859" s="28"/>
      <c r="F859" s="28"/>
      <c r="G859" s="28"/>
      <c r="H859" s="28">
        <v>0</v>
      </c>
      <c r="I859" s="28"/>
      <c r="J859" s="28"/>
      <c r="K859" s="28"/>
      <c r="L859" s="28"/>
      <c r="M859" s="28"/>
      <c r="N859" s="30"/>
      <c r="Z859"/>
      <c r="AA859"/>
      <c r="AB859"/>
      <c r="AC859"/>
      <c r="AD859"/>
      <c r="AE859"/>
      <c r="AF859"/>
      <c r="AG859"/>
      <c r="AH859"/>
    </row>
    <row r="860" spans="2:34" s="27" customFormat="1" x14ac:dyDescent="0.25">
      <c r="B860" s="399">
        <v>6</v>
      </c>
      <c r="C860" s="295"/>
      <c r="D860" s="28"/>
      <c r="E860" s="28"/>
      <c r="F860" s="28"/>
      <c r="G860" s="28"/>
      <c r="H860" s="28">
        <v>0</v>
      </c>
      <c r="I860" s="28"/>
      <c r="J860" s="28"/>
      <c r="K860" s="28"/>
      <c r="L860" s="28"/>
      <c r="M860" s="28"/>
      <c r="N860" s="30"/>
      <c r="Z860"/>
      <c r="AA860"/>
      <c r="AB860"/>
      <c r="AC860"/>
      <c r="AD860"/>
      <c r="AE860"/>
      <c r="AF860"/>
      <c r="AG860"/>
      <c r="AH860"/>
    </row>
    <row r="861" spans="2:34" s="27" customFormat="1" x14ac:dyDescent="0.25">
      <c r="B861" s="399">
        <v>7</v>
      </c>
      <c r="C861" s="295"/>
      <c r="D861" s="28"/>
      <c r="E861" s="28"/>
      <c r="F861" s="28"/>
      <c r="G861" s="28"/>
      <c r="H861" s="28">
        <v>0</v>
      </c>
      <c r="I861" s="28"/>
      <c r="J861" s="28"/>
      <c r="K861" s="28"/>
      <c r="L861" s="28"/>
      <c r="M861" s="28"/>
      <c r="N861" s="30"/>
      <c r="Z861"/>
      <c r="AA861"/>
      <c r="AB861"/>
      <c r="AC861"/>
      <c r="AD861"/>
      <c r="AE861"/>
      <c r="AF861"/>
      <c r="AG861"/>
      <c r="AH861"/>
    </row>
    <row r="862" spans="2:34" s="27" customFormat="1" x14ac:dyDescent="0.25">
      <c r="B862" s="399">
        <v>8</v>
      </c>
      <c r="C862" s="295"/>
      <c r="D862" s="28"/>
      <c r="E862" s="28"/>
      <c r="F862" s="28"/>
      <c r="G862" s="28"/>
      <c r="H862" s="28">
        <v>0</v>
      </c>
      <c r="I862" s="28"/>
      <c r="J862" s="28"/>
      <c r="K862" s="28"/>
      <c r="L862" s="28"/>
      <c r="M862" s="28"/>
      <c r="N862" s="30"/>
      <c r="Z862"/>
      <c r="AA862"/>
      <c r="AB862"/>
      <c r="AC862"/>
      <c r="AD862"/>
      <c r="AE862"/>
      <c r="AF862"/>
      <c r="AG862"/>
      <c r="AH862"/>
    </row>
    <row r="863" spans="2:34" s="27" customFormat="1" x14ac:dyDescent="0.25">
      <c r="B863" s="399">
        <v>9</v>
      </c>
      <c r="C863" s="295"/>
      <c r="D863" s="28"/>
      <c r="E863" s="28"/>
      <c r="F863" s="28"/>
      <c r="G863" s="28"/>
      <c r="H863" s="28">
        <v>0</v>
      </c>
      <c r="I863" s="28"/>
      <c r="J863" s="28"/>
      <c r="K863" s="28"/>
      <c r="L863" s="28"/>
      <c r="M863" s="28"/>
      <c r="N863" s="30"/>
      <c r="Z863"/>
      <c r="AA863"/>
      <c r="AB863"/>
      <c r="AC863"/>
      <c r="AD863"/>
      <c r="AE863"/>
      <c r="AF863"/>
      <c r="AG863"/>
      <c r="AH863"/>
    </row>
    <row r="864" spans="2:34" s="27" customFormat="1" x14ac:dyDescent="0.25">
      <c r="B864" s="399">
        <v>10</v>
      </c>
      <c r="C864" s="295"/>
      <c r="D864" s="28"/>
      <c r="E864" s="28"/>
      <c r="F864" s="28"/>
      <c r="G864" s="28"/>
      <c r="H864" s="28">
        <v>0</v>
      </c>
      <c r="I864" s="28"/>
      <c r="J864" s="28"/>
      <c r="K864" s="28"/>
      <c r="L864" s="28"/>
      <c r="M864" s="28"/>
      <c r="N864" s="30"/>
      <c r="Z864"/>
      <c r="AA864"/>
      <c r="AB864"/>
      <c r="AC864"/>
      <c r="AD864"/>
      <c r="AE864"/>
      <c r="AF864"/>
      <c r="AG864"/>
      <c r="AH864"/>
    </row>
    <row r="865" spans="2:34" s="27" customFormat="1" x14ac:dyDescent="0.25">
      <c r="B865" s="399">
        <v>11</v>
      </c>
      <c r="C865" s="295"/>
      <c r="D865" s="28"/>
      <c r="E865" s="28"/>
      <c r="F865" s="28"/>
      <c r="G865" s="28"/>
      <c r="H865" s="28">
        <v>0</v>
      </c>
      <c r="I865" s="28"/>
      <c r="J865" s="28"/>
      <c r="K865" s="28"/>
      <c r="L865" s="28"/>
      <c r="M865" s="28"/>
      <c r="N865" s="30"/>
      <c r="Z865"/>
      <c r="AA865"/>
      <c r="AB865"/>
      <c r="AC865"/>
      <c r="AD865"/>
      <c r="AE865"/>
      <c r="AF865"/>
      <c r="AG865"/>
      <c r="AH865"/>
    </row>
    <row r="866" spans="2:34" s="27" customFormat="1" x14ac:dyDescent="0.25">
      <c r="B866" s="399">
        <v>12</v>
      </c>
      <c r="C866" s="295"/>
      <c r="D866" s="28"/>
      <c r="E866" s="28"/>
      <c r="F866" s="28"/>
      <c r="G866" s="28"/>
      <c r="H866" s="28">
        <v>0</v>
      </c>
      <c r="I866" s="28"/>
      <c r="J866" s="28"/>
      <c r="K866" s="28"/>
      <c r="L866" s="28"/>
      <c r="M866" s="28"/>
      <c r="N866" s="30"/>
      <c r="Z866"/>
      <c r="AA866"/>
      <c r="AB866"/>
      <c r="AC866"/>
      <c r="AD866"/>
      <c r="AE866"/>
      <c r="AF866"/>
      <c r="AG866"/>
      <c r="AH866"/>
    </row>
    <row r="867" spans="2:34" s="27" customFormat="1" x14ac:dyDescent="0.25">
      <c r="B867" s="399">
        <v>13</v>
      </c>
      <c r="C867" s="295"/>
      <c r="D867" s="28"/>
      <c r="E867" s="28"/>
      <c r="F867" s="28"/>
      <c r="G867" s="28"/>
      <c r="H867" s="28">
        <v>0</v>
      </c>
      <c r="I867" s="28"/>
      <c r="J867" s="28"/>
      <c r="K867" s="28"/>
      <c r="L867" s="28"/>
      <c r="M867" s="28"/>
      <c r="N867" s="30"/>
      <c r="Z867"/>
      <c r="AA867"/>
      <c r="AB867"/>
      <c r="AC867"/>
      <c r="AD867"/>
      <c r="AE867"/>
      <c r="AF867"/>
      <c r="AG867"/>
      <c r="AH867"/>
    </row>
    <row r="868" spans="2:34" s="27" customFormat="1" x14ac:dyDescent="0.25">
      <c r="B868" s="399">
        <v>14</v>
      </c>
      <c r="C868" s="295"/>
      <c r="D868" s="28"/>
      <c r="E868" s="28"/>
      <c r="F868" s="28"/>
      <c r="G868" s="28"/>
      <c r="H868" s="28">
        <v>0</v>
      </c>
      <c r="I868" s="28"/>
      <c r="J868" s="28"/>
      <c r="K868" s="28"/>
      <c r="L868" s="28"/>
      <c r="M868" s="28"/>
      <c r="N868" s="30"/>
      <c r="Z868"/>
      <c r="AA868"/>
      <c r="AB868"/>
      <c r="AC868"/>
      <c r="AD868"/>
      <c r="AE868"/>
      <c r="AF868"/>
      <c r="AG868"/>
      <c r="AH868"/>
    </row>
    <row r="869" spans="2:34" s="27" customFormat="1" x14ac:dyDescent="0.25">
      <c r="B869" s="399">
        <v>15</v>
      </c>
      <c r="C869" s="295"/>
      <c r="D869" s="28"/>
      <c r="E869" s="28"/>
      <c r="F869" s="28"/>
      <c r="G869" s="28"/>
      <c r="H869" s="28">
        <v>0</v>
      </c>
      <c r="I869" s="28"/>
      <c r="J869" s="28"/>
      <c r="K869" s="28"/>
      <c r="L869" s="28"/>
      <c r="M869" s="28"/>
      <c r="N869" s="30"/>
      <c r="Z869"/>
      <c r="AA869"/>
      <c r="AB869"/>
      <c r="AC869"/>
      <c r="AD869"/>
      <c r="AE869"/>
      <c r="AF869"/>
      <c r="AG869"/>
      <c r="AH869"/>
    </row>
    <row r="870" spans="2:34" s="27" customFormat="1" x14ac:dyDescent="0.25">
      <c r="B870" s="399">
        <v>16</v>
      </c>
      <c r="C870" s="295"/>
      <c r="D870" s="28"/>
      <c r="E870" s="28"/>
      <c r="F870" s="28"/>
      <c r="G870" s="28"/>
      <c r="H870" s="28">
        <v>0</v>
      </c>
      <c r="I870" s="28"/>
      <c r="J870" s="28"/>
      <c r="K870" s="28"/>
      <c r="L870" s="28"/>
      <c r="M870" s="28"/>
      <c r="N870" s="30"/>
      <c r="Z870"/>
      <c r="AA870"/>
      <c r="AB870"/>
      <c r="AC870"/>
      <c r="AD870"/>
      <c r="AE870"/>
      <c r="AF870"/>
      <c r="AG870"/>
      <c r="AH870"/>
    </row>
    <row r="871" spans="2:34" s="27" customFormat="1" x14ac:dyDescent="0.25">
      <c r="B871" s="399">
        <v>17</v>
      </c>
      <c r="C871" s="295"/>
      <c r="D871" s="28"/>
      <c r="E871" s="28"/>
      <c r="F871" s="28"/>
      <c r="G871" s="28"/>
      <c r="H871" s="28">
        <v>0</v>
      </c>
      <c r="I871" s="28"/>
      <c r="J871" s="28"/>
      <c r="K871" s="28"/>
      <c r="L871" s="28"/>
      <c r="M871" s="28"/>
      <c r="N871" s="30"/>
      <c r="Z871"/>
      <c r="AA871"/>
      <c r="AB871"/>
      <c r="AC871"/>
      <c r="AD871"/>
      <c r="AE871"/>
      <c r="AF871"/>
      <c r="AG871"/>
      <c r="AH871"/>
    </row>
    <row r="872" spans="2:34" s="27" customFormat="1" x14ac:dyDescent="0.25">
      <c r="B872" s="399">
        <v>18</v>
      </c>
      <c r="C872" s="295"/>
      <c r="D872" s="28"/>
      <c r="E872" s="28"/>
      <c r="F872" s="28"/>
      <c r="G872" s="28"/>
      <c r="H872" s="28">
        <v>1</v>
      </c>
      <c r="I872" s="28"/>
      <c r="J872" s="28"/>
      <c r="K872" s="28"/>
      <c r="L872" s="28"/>
      <c r="M872" s="28"/>
      <c r="N872" s="30"/>
      <c r="Z872"/>
      <c r="AA872"/>
      <c r="AB872"/>
      <c r="AC872"/>
      <c r="AD872"/>
      <c r="AE872"/>
      <c r="AF872"/>
      <c r="AG872"/>
      <c r="AH872"/>
    </row>
    <row r="873" spans="2:34" s="27" customFormat="1" x14ac:dyDescent="0.25">
      <c r="B873" s="399">
        <v>19</v>
      </c>
      <c r="C873" s="295"/>
      <c r="D873" s="28"/>
      <c r="E873" s="28"/>
      <c r="F873" s="28"/>
      <c r="G873" s="28"/>
      <c r="H873" s="28">
        <v>1</v>
      </c>
      <c r="I873" s="28"/>
      <c r="J873" s="28"/>
      <c r="K873" s="28"/>
      <c r="L873" s="28"/>
      <c r="M873" s="28"/>
      <c r="N873" s="30"/>
      <c r="Z873"/>
      <c r="AA873"/>
      <c r="AB873"/>
      <c r="AC873"/>
      <c r="AD873"/>
      <c r="AE873"/>
      <c r="AF873"/>
      <c r="AG873"/>
      <c r="AH873"/>
    </row>
    <row r="874" spans="2:34" s="27" customFormat="1" x14ac:dyDescent="0.25">
      <c r="B874" s="399">
        <v>20</v>
      </c>
      <c r="C874" s="295"/>
      <c r="D874" s="28"/>
      <c r="E874" s="28"/>
      <c r="F874" s="28"/>
      <c r="G874" s="28"/>
      <c r="H874" s="28">
        <v>2</v>
      </c>
      <c r="I874" s="28"/>
      <c r="J874" s="28"/>
      <c r="K874" s="28"/>
      <c r="L874" s="28"/>
      <c r="M874" s="28"/>
      <c r="N874" s="30"/>
      <c r="Z874"/>
      <c r="AA874"/>
      <c r="AB874"/>
      <c r="AC874"/>
      <c r="AD874"/>
      <c r="AE874"/>
      <c r="AF874"/>
      <c r="AG874"/>
      <c r="AH874"/>
    </row>
    <row r="875" spans="2:34" s="27" customFormat="1" x14ac:dyDescent="0.25">
      <c r="B875" s="399">
        <v>21</v>
      </c>
      <c r="C875" s="295"/>
      <c r="D875" s="28"/>
      <c r="E875" s="28"/>
      <c r="F875" s="28"/>
      <c r="G875" s="28"/>
      <c r="H875" s="28">
        <v>2</v>
      </c>
      <c r="I875" s="28"/>
      <c r="J875" s="28"/>
      <c r="K875" s="28"/>
      <c r="L875" s="28"/>
      <c r="M875" s="28"/>
      <c r="N875" s="30"/>
      <c r="Z875"/>
      <c r="AA875"/>
      <c r="AB875"/>
      <c r="AC875"/>
      <c r="AD875"/>
      <c r="AE875"/>
      <c r="AF875"/>
      <c r="AG875"/>
      <c r="AH875"/>
    </row>
    <row r="876" spans="2:34" s="27" customFormat="1" x14ac:dyDescent="0.25">
      <c r="B876" s="399">
        <v>22</v>
      </c>
      <c r="C876" s="295"/>
      <c r="D876" s="28"/>
      <c r="E876" s="28"/>
      <c r="F876" s="28"/>
      <c r="G876" s="28"/>
      <c r="H876" s="28">
        <v>3</v>
      </c>
      <c r="I876" s="28"/>
      <c r="J876" s="28"/>
      <c r="K876" s="28"/>
      <c r="L876" s="28"/>
      <c r="M876" s="28"/>
      <c r="N876" s="30"/>
      <c r="Z876"/>
      <c r="AA876"/>
      <c r="AB876"/>
      <c r="AC876"/>
      <c r="AD876"/>
      <c r="AE876"/>
      <c r="AF876"/>
      <c r="AG876"/>
      <c r="AH876"/>
    </row>
    <row r="877" spans="2:34" s="27" customFormat="1" x14ac:dyDescent="0.25">
      <c r="B877" s="399">
        <v>23</v>
      </c>
      <c r="C877" s="295"/>
      <c r="D877" s="28"/>
      <c r="E877" s="28"/>
      <c r="F877" s="28"/>
      <c r="G877" s="28"/>
      <c r="H877" s="28">
        <v>3</v>
      </c>
      <c r="I877" s="28"/>
      <c r="J877" s="28"/>
      <c r="K877" s="28"/>
      <c r="L877" s="28"/>
      <c r="M877" s="28"/>
      <c r="N877" s="30"/>
      <c r="Z877"/>
      <c r="AA877"/>
      <c r="AB877"/>
      <c r="AC877"/>
      <c r="AD877"/>
      <c r="AE877"/>
      <c r="AF877"/>
      <c r="AG877"/>
      <c r="AH877"/>
    </row>
    <row r="878" spans="2:34" s="27" customFormat="1" x14ac:dyDescent="0.25">
      <c r="B878" s="399">
        <v>24</v>
      </c>
      <c r="C878" s="295"/>
      <c r="D878" s="28"/>
      <c r="E878" s="28"/>
      <c r="F878" s="28"/>
      <c r="G878" s="28"/>
      <c r="H878" s="28">
        <v>4</v>
      </c>
      <c r="I878" s="28"/>
      <c r="J878" s="28"/>
      <c r="K878" s="28"/>
      <c r="L878" s="28"/>
      <c r="M878" s="28"/>
      <c r="N878" s="30"/>
      <c r="Z878"/>
      <c r="AA878"/>
      <c r="AB878"/>
      <c r="AC878"/>
      <c r="AD878"/>
      <c r="AE878"/>
      <c r="AF878"/>
      <c r="AG878"/>
      <c r="AH878"/>
    </row>
    <row r="879" spans="2:34" s="27" customFormat="1" x14ac:dyDescent="0.25">
      <c r="B879" s="399">
        <v>25</v>
      </c>
      <c r="C879" s="295"/>
      <c r="D879" s="28"/>
      <c r="E879" s="28"/>
      <c r="F879" s="28"/>
      <c r="G879" s="28"/>
      <c r="H879" s="28">
        <v>5</v>
      </c>
      <c r="I879" s="28"/>
      <c r="J879" s="28"/>
      <c r="K879" s="28"/>
      <c r="L879" s="28"/>
      <c r="M879" s="28"/>
      <c r="N879" s="30"/>
      <c r="Z879"/>
      <c r="AA879"/>
      <c r="AB879"/>
      <c r="AC879"/>
      <c r="AD879"/>
      <c r="AE879"/>
      <c r="AF879"/>
      <c r="AG879"/>
      <c r="AH879"/>
    </row>
    <row r="880" spans="2:34" s="27" customFormat="1" x14ac:dyDescent="0.25">
      <c r="B880" s="399">
        <v>26</v>
      </c>
      <c r="C880" s="295"/>
      <c r="D880" s="28"/>
      <c r="E880" s="28"/>
      <c r="F880" s="28"/>
      <c r="G880" s="28"/>
      <c r="H880" s="28">
        <v>5</v>
      </c>
      <c r="I880" s="28"/>
      <c r="J880" s="28"/>
      <c r="K880" s="28"/>
      <c r="L880" s="28"/>
      <c r="M880" s="28"/>
      <c r="N880" s="30"/>
      <c r="Z880"/>
      <c r="AA880"/>
      <c r="AB880"/>
      <c r="AC880"/>
      <c r="AD880"/>
      <c r="AE880"/>
      <c r="AF880"/>
      <c r="AG880"/>
      <c r="AH880"/>
    </row>
    <row r="881" spans="2:34" s="27" customFormat="1" x14ac:dyDescent="0.25">
      <c r="B881" s="399">
        <v>27</v>
      </c>
      <c r="C881" s="295"/>
      <c r="D881" s="28"/>
      <c r="E881" s="28"/>
      <c r="F881" s="28"/>
      <c r="G881" s="28"/>
      <c r="H881" s="28">
        <v>5</v>
      </c>
      <c r="I881" s="28"/>
      <c r="J881" s="28"/>
      <c r="K881" s="28"/>
      <c r="L881" s="28"/>
      <c r="M881" s="28"/>
      <c r="N881" s="30"/>
      <c r="Z881"/>
      <c r="AA881"/>
      <c r="AB881"/>
      <c r="AC881"/>
      <c r="AD881"/>
      <c r="AE881"/>
      <c r="AF881"/>
      <c r="AG881"/>
      <c r="AH881"/>
    </row>
    <row r="882" spans="2:34" s="27" customFormat="1" x14ac:dyDescent="0.25">
      <c r="B882" s="399">
        <v>28</v>
      </c>
      <c r="C882" s="295"/>
      <c r="D882" s="28"/>
      <c r="E882" s="28"/>
      <c r="F882" s="28"/>
      <c r="G882" s="28"/>
      <c r="H882" s="28">
        <v>6</v>
      </c>
      <c r="I882" s="28"/>
      <c r="J882" s="28"/>
      <c r="K882" s="28"/>
      <c r="L882" s="28"/>
      <c r="M882" s="28"/>
      <c r="N882" s="30"/>
      <c r="Z882"/>
      <c r="AA882"/>
      <c r="AB882"/>
      <c r="AC882"/>
      <c r="AD882"/>
      <c r="AE882"/>
      <c r="AF882"/>
      <c r="AG882"/>
      <c r="AH882"/>
    </row>
    <row r="883" spans="2:34" s="27" customFormat="1" x14ac:dyDescent="0.25">
      <c r="B883" s="399">
        <v>29</v>
      </c>
      <c r="C883" s="295"/>
      <c r="D883" s="28"/>
      <c r="E883" s="28"/>
      <c r="F883" s="28"/>
      <c r="G883" s="28"/>
      <c r="H883" s="28">
        <v>6</v>
      </c>
      <c r="I883" s="28"/>
      <c r="J883" s="28"/>
      <c r="K883" s="28"/>
      <c r="L883" s="28"/>
      <c r="M883" s="28"/>
      <c r="N883" s="30"/>
      <c r="Z883"/>
      <c r="AA883"/>
      <c r="AB883"/>
      <c r="AC883"/>
      <c r="AD883"/>
      <c r="AE883"/>
      <c r="AF883"/>
      <c r="AG883"/>
      <c r="AH883"/>
    </row>
    <row r="884" spans="2:34" s="27" customFormat="1" x14ac:dyDescent="0.25">
      <c r="B884" s="399">
        <v>30</v>
      </c>
      <c r="C884" s="295"/>
      <c r="D884" s="28"/>
      <c r="E884" s="28"/>
      <c r="F884" s="28"/>
      <c r="G884" s="28"/>
      <c r="H884" s="28">
        <v>6</v>
      </c>
      <c r="I884" s="28"/>
      <c r="J884" s="28"/>
      <c r="K884" s="28"/>
      <c r="L884" s="28"/>
      <c r="M884" s="28"/>
      <c r="N884" s="30"/>
      <c r="Z884"/>
      <c r="AA884"/>
      <c r="AB884"/>
      <c r="AC884"/>
      <c r="AD884"/>
      <c r="AE884"/>
      <c r="AF884"/>
      <c r="AG884"/>
      <c r="AH884"/>
    </row>
    <row r="885" spans="2:34" s="27" customFormat="1" x14ac:dyDescent="0.25">
      <c r="B885" s="399">
        <v>31</v>
      </c>
      <c r="C885" s="295"/>
      <c r="D885" s="28"/>
      <c r="E885" s="28"/>
      <c r="F885" s="28"/>
      <c r="G885" s="28"/>
      <c r="H885" s="28">
        <v>7</v>
      </c>
      <c r="I885" s="28"/>
      <c r="J885" s="28"/>
      <c r="K885" s="28"/>
      <c r="L885" s="28"/>
      <c r="M885" s="28"/>
      <c r="N885" s="30"/>
      <c r="Z885"/>
      <c r="AA885"/>
      <c r="AB885"/>
      <c r="AC885"/>
      <c r="AD885"/>
      <c r="AE885"/>
      <c r="AF885"/>
      <c r="AG885"/>
      <c r="AH885"/>
    </row>
    <row r="886" spans="2:34" s="27" customFormat="1" x14ac:dyDescent="0.25">
      <c r="B886" s="399">
        <v>32</v>
      </c>
      <c r="C886" s="295"/>
      <c r="D886" s="28"/>
      <c r="E886" s="28"/>
      <c r="F886" s="28"/>
      <c r="G886" s="28"/>
      <c r="H886" s="28">
        <v>7</v>
      </c>
      <c r="I886" s="28"/>
      <c r="J886" s="28"/>
      <c r="K886" s="28"/>
      <c r="L886" s="28"/>
      <c r="M886" s="28"/>
      <c r="N886" s="30"/>
      <c r="Z886"/>
      <c r="AA886"/>
      <c r="AB886"/>
      <c r="AC886"/>
      <c r="AD886"/>
      <c r="AE886"/>
      <c r="AF886"/>
      <c r="AG886"/>
      <c r="AH886"/>
    </row>
    <row r="887" spans="2:34" s="27" customFormat="1" x14ac:dyDescent="0.25">
      <c r="B887" s="399">
        <v>33</v>
      </c>
      <c r="C887" s="295"/>
      <c r="D887" s="28"/>
      <c r="E887" s="28"/>
      <c r="F887" s="28"/>
      <c r="G887" s="28"/>
      <c r="H887" s="28">
        <v>7</v>
      </c>
      <c r="I887" s="28"/>
      <c r="J887" s="28"/>
      <c r="K887" s="28"/>
      <c r="L887" s="28"/>
      <c r="M887" s="28"/>
      <c r="N887" s="30"/>
      <c r="Z887"/>
      <c r="AA887"/>
      <c r="AB887"/>
      <c r="AC887"/>
      <c r="AD887"/>
      <c r="AE887"/>
      <c r="AF887"/>
      <c r="AG887"/>
      <c r="AH887"/>
    </row>
    <row r="888" spans="2:34" s="27" customFormat="1" x14ac:dyDescent="0.25">
      <c r="B888" s="399">
        <v>34</v>
      </c>
      <c r="C888" s="295"/>
      <c r="D888" s="28"/>
      <c r="E888" s="28"/>
      <c r="F888" s="28"/>
      <c r="G888" s="28"/>
      <c r="H888" s="28">
        <v>8</v>
      </c>
      <c r="I888" s="28"/>
      <c r="J888" s="28"/>
      <c r="K888" s="28"/>
      <c r="L888" s="28"/>
      <c r="M888" s="28"/>
      <c r="N888" s="30"/>
      <c r="Z888"/>
      <c r="AA888"/>
      <c r="AB888"/>
      <c r="AC888"/>
      <c r="AD888"/>
      <c r="AE888"/>
      <c r="AF888"/>
      <c r="AG888"/>
      <c r="AH888"/>
    </row>
    <row r="889" spans="2:34" s="27" customFormat="1" x14ac:dyDescent="0.25">
      <c r="B889" s="399">
        <v>35</v>
      </c>
      <c r="C889" s="295"/>
      <c r="D889" s="28"/>
      <c r="E889" s="28"/>
      <c r="F889" s="28"/>
      <c r="G889" s="28"/>
      <c r="H889" s="28">
        <v>8</v>
      </c>
      <c r="I889" s="28"/>
      <c r="J889" s="28"/>
      <c r="K889" s="28"/>
      <c r="L889" s="28"/>
      <c r="M889" s="28"/>
      <c r="N889" s="30"/>
      <c r="Z889"/>
      <c r="AA889"/>
      <c r="AB889"/>
      <c r="AC889"/>
      <c r="AD889"/>
      <c r="AE889"/>
      <c r="AF889"/>
      <c r="AG889"/>
      <c r="AH889"/>
    </row>
    <row r="890" spans="2:34" s="27" customFormat="1" ht="15.75" thickBot="1" x14ac:dyDescent="0.3">
      <c r="B890" s="400">
        <v>36</v>
      </c>
      <c r="C890" s="296"/>
      <c r="D890" s="32"/>
      <c r="E890" s="32"/>
      <c r="F890" s="32"/>
      <c r="G890" s="32"/>
      <c r="H890" s="32">
        <v>9</v>
      </c>
      <c r="I890" s="32"/>
      <c r="J890" s="32"/>
      <c r="K890" s="32"/>
      <c r="L890" s="32"/>
      <c r="M890" s="32"/>
      <c r="N890" s="33"/>
      <c r="Z890"/>
      <c r="AA890"/>
      <c r="AB890"/>
      <c r="AC890"/>
      <c r="AD890"/>
      <c r="AE890"/>
      <c r="AF890"/>
      <c r="AG890"/>
      <c r="AH890"/>
    </row>
    <row r="891" spans="2:34" s="27" customFormat="1" x14ac:dyDescent="0.25">
      <c r="B891" s="26"/>
      <c r="Z891"/>
      <c r="AA891"/>
      <c r="AB891"/>
      <c r="AC891"/>
      <c r="AD891"/>
      <c r="AE891"/>
      <c r="AF891"/>
      <c r="AG891"/>
      <c r="AH891"/>
    </row>
    <row r="892" spans="2:34" s="27" customFormat="1" ht="19.5" thickBot="1" x14ac:dyDescent="0.35">
      <c r="B892" s="121" t="s">
        <v>1608</v>
      </c>
      <c r="Z892"/>
      <c r="AA892"/>
      <c r="AB892"/>
      <c r="AC892"/>
      <c r="AD892"/>
      <c r="AE892"/>
      <c r="AF892"/>
      <c r="AG892"/>
      <c r="AH892"/>
    </row>
    <row r="893" spans="2:34" s="42" customFormat="1" ht="15.75" thickBot="1" x14ac:dyDescent="0.3">
      <c r="B893" s="297" t="s">
        <v>1604</v>
      </c>
      <c r="C893" s="242">
        <v>1</v>
      </c>
      <c r="D893" s="138">
        <v>2</v>
      </c>
      <c r="E893" s="138">
        <v>3</v>
      </c>
      <c r="F893" s="138">
        <v>4</v>
      </c>
      <c r="G893" s="138">
        <v>5</v>
      </c>
      <c r="H893" s="138">
        <v>6</v>
      </c>
      <c r="I893" s="138">
        <v>7</v>
      </c>
      <c r="J893" s="138">
        <v>8</v>
      </c>
      <c r="K893" s="138">
        <v>9</v>
      </c>
      <c r="L893" s="138">
        <v>10</v>
      </c>
      <c r="M893" s="138">
        <v>11</v>
      </c>
      <c r="N893" s="138">
        <v>12</v>
      </c>
      <c r="O893" s="138">
        <v>13</v>
      </c>
      <c r="P893" s="138" t="s">
        <v>1605</v>
      </c>
      <c r="Q893" s="139" t="s">
        <v>1609</v>
      </c>
      <c r="Z893" s="26"/>
      <c r="AA893" s="26"/>
      <c r="AB893" s="26"/>
      <c r="AC893" s="26"/>
      <c r="AD893" s="26"/>
      <c r="AE893" s="26"/>
      <c r="AF893" s="26"/>
      <c r="AG893" s="26"/>
      <c r="AH893" s="26"/>
    </row>
    <row r="894" spans="2:34" s="27" customFormat="1" x14ac:dyDescent="0.25">
      <c r="B894" s="298" t="s">
        <v>1223</v>
      </c>
      <c r="C894" s="294">
        <v>10</v>
      </c>
      <c r="D894" s="46">
        <v>7</v>
      </c>
      <c r="E894" s="46">
        <v>4</v>
      </c>
      <c r="F894" s="46" t="s">
        <v>1221</v>
      </c>
      <c r="G894" s="46" t="s">
        <v>1221</v>
      </c>
      <c r="H894" s="46" t="s">
        <v>1218</v>
      </c>
      <c r="I894" s="46" t="s">
        <v>1218</v>
      </c>
      <c r="J894" s="46" t="s">
        <v>1222</v>
      </c>
      <c r="K894" s="46" t="s">
        <v>1222</v>
      </c>
      <c r="L894" s="46" t="s">
        <v>1222</v>
      </c>
      <c r="M894" s="46" t="s">
        <v>1222</v>
      </c>
      <c r="N894" s="46" t="s">
        <v>1222</v>
      </c>
      <c r="O894" s="46" t="s">
        <v>1222</v>
      </c>
      <c r="P894" s="46" t="s">
        <v>1222</v>
      </c>
      <c r="Q894" s="47"/>
      <c r="Z894"/>
      <c r="AA894"/>
      <c r="AB894"/>
      <c r="AC894"/>
      <c r="AD894"/>
      <c r="AE894"/>
      <c r="AF894"/>
      <c r="AG894"/>
      <c r="AH894"/>
    </row>
    <row r="895" spans="2:34" s="27" customFormat="1" x14ac:dyDescent="0.25">
      <c r="B895" s="230" t="s">
        <v>1224</v>
      </c>
      <c r="C895" s="295">
        <v>13</v>
      </c>
      <c r="D895" s="28">
        <v>10</v>
      </c>
      <c r="E895" s="28">
        <v>7</v>
      </c>
      <c r="F895" s="28" t="s">
        <v>1221</v>
      </c>
      <c r="G895" s="28" t="s">
        <v>1221</v>
      </c>
      <c r="H895" s="28" t="s">
        <v>1218</v>
      </c>
      <c r="I895" s="28" t="s">
        <v>1218</v>
      </c>
      <c r="J895" s="28" t="s">
        <v>1218</v>
      </c>
      <c r="K895" s="28" t="s">
        <v>1222</v>
      </c>
      <c r="L895" s="28" t="s">
        <v>1222</v>
      </c>
      <c r="M895" s="28" t="s">
        <v>1222</v>
      </c>
      <c r="N895" s="28" t="s">
        <v>1222</v>
      </c>
      <c r="O895" s="28" t="s">
        <v>1222</v>
      </c>
      <c r="P895" s="28" t="s">
        <v>1222</v>
      </c>
      <c r="Q895" s="30"/>
      <c r="Z895"/>
      <c r="AA895"/>
      <c r="AB895"/>
      <c r="AC895"/>
      <c r="AD895"/>
      <c r="AE895"/>
      <c r="AF895"/>
      <c r="AG895"/>
      <c r="AH895"/>
    </row>
    <row r="896" spans="2:34" s="27" customFormat="1" x14ac:dyDescent="0.25">
      <c r="B896" s="230" t="s">
        <v>1225</v>
      </c>
      <c r="C896" s="295">
        <v>16</v>
      </c>
      <c r="D896" s="28">
        <v>13</v>
      </c>
      <c r="E896" s="28">
        <v>7</v>
      </c>
      <c r="F896" s="28">
        <v>4</v>
      </c>
      <c r="G896" s="28" t="s">
        <v>1221</v>
      </c>
      <c r="H896" s="28" t="s">
        <v>1221</v>
      </c>
      <c r="I896" s="28" t="s">
        <v>1218</v>
      </c>
      <c r="J896" s="28" t="s">
        <v>1218</v>
      </c>
      <c r="K896" s="28" t="s">
        <v>1218</v>
      </c>
      <c r="L896" s="28" t="s">
        <v>1218</v>
      </c>
      <c r="M896" s="28" t="s">
        <v>1218</v>
      </c>
      <c r="N896" s="28" t="s">
        <v>1218</v>
      </c>
      <c r="O896" s="28" t="s">
        <v>1218</v>
      </c>
      <c r="P896" s="28" t="s">
        <v>1222</v>
      </c>
      <c r="Q896" s="30"/>
      <c r="Z896"/>
      <c r="AA896"/>
      <c r="AB896"/>
      <c r="AC896"/>
      <c r="AD896"/>
      <c r="AE896"/>
      <c r="AF896"/>
      <c r="AG896"/>
      <c r="AH896"/>
    </row>
    <row r="897" spans="2:34" s="27" customFormat="1" x14ac:dyDescent="0.25">
      <c r="B897" s="230" t="s">
        <v>1226</v>
      </c>
      <c r="C897" s="295">
        <v>19</v>
      </c>
      <c r="D897" s="28">
        <v>16</v>
      </c>
      <c r="E897" s="28">
        <v>13</v>
      </c>
      <c r="F897" s="28">
        <v>7</v>
      </c>
      <c r="G897" s="28">
        <v>4</v>
      </c>
      <c r="H897" s="28" t="s">
        <v>1221</v>
      </c>
      <c r="I897" s="28" t="s">
        <v>1221</v>
      </c>
      <c r="J897" s="28" t="s">
        <v>1218</v>
      </c>
      <c r="K897" s="28" t="s">
        <v>1218</v>
      </c>
      <c r="L897" s="28" t="s">
        <v>1218</v>
      </c>
      <c r="M897" s="28" t="s">
        <v>1218</v>
      </c>
      <c r="N897" s="28" t="s">
        <v>1218</v>
      </c>
      <c r="O897" s="28" t="s">
        <v>1218</v>
      </c>
      <c r="P897" s="28" t="s">
        <v>1222</v>
      </c>
      <c r="Q897" s="30"/>
      <c r="Z897"/>
      <c r="AA897"/>
      <c r="AB897"/>
      <c r="AC897"/>
      <c r="AD897"/>
      <c r="AE897"/>
      <c r="AF897"/>
      <c r="AG897"/>
      <c r="AH897"/>
    </row>
    <row r="898" spans="2:34" s="27" customFormat="1" x14ac:dyDescent="0.25">
      <c r="B898" s="230" t="s">
        <v>1227</v>
      </c>
      <c r="C898" s="295">
        <v>20</v>
      </c>
      <c r="D898" s="28">
        <v>19</v>
      </c>
      <c r="E898" s="28">
        <v>16</v>
      </c>
      <c r="F898" s="28">
        <v>10</v>
      </c>
      <c r="G898" s="28">
        <v>7</v>
      </c>
      <c r="H898" s="28">
        <v>4</v>
      </c>
      <c r="I898" s="28" t="s">
        <v>1221</v>
      </c>
      <c r="J898" s="28" t="s">
        <v>1221</v>
      </c>
      <c r="K898" s="28" t="s">
        <v>1218</v>
      </c>
      <c r="L898" s="28" t="s">
        <v>1218</v>
      </c>
      <c r="M898" s="28" t="s">
        <v>1218</v>
      </c>
      <c r="N898" s="28" t="s">
        <v>1218</v>
      </c>
      <c r="O898" s="28" t="s">
        <v>1218</v>
      </c>
      <c r="P898" s="28" t="s">
        <v>1218</v>
      </c>
      <c r="Q898" s="30"/>
      <c r="Z898"/>
      <c r="AA898"/>
      <c r="AB898"/>
      <c r="AC898"/>
      <c r="AD898"/>
      <c r="AE898"/>
      <c r="AF898"/>
      <c r="AG898"/>
      <c r="AH898"/>
    </row>
    <row r="899" spans="2:34" s="27" customFormat="1" x14ac:dyDescent="0.25">
      <c r="B899" s="230" t="s">
        <v>1228</v>
      </c>
      <c r="C899" s="295" t="s">
        <v>1606</v>
      </c>
      <c r="D899" s="28">
        <v>20</v>
      </c>
      <c r="E899" s="28">
        <v>19</v>
      </c>
      <c r="F899" s="28">
        <v>13</v>
      </c>
      <c r="G899" s="28">
        <v>10</v>
      </c>
      <c r="H899" s="28">
        <v>7</v>
      </c>
      <c r="I899" s="28">
        <v>4</v>
      </c>
      <c r="J899" s="28" t="s">
        <v>1221</v>
      </c>
      <c r="K899" s="28" t="s">
        <v>1221</v>
      </c>
      <c r="L899" s="28" t="s">
        <v>1221</v>
      </c>
      <c r="M899" s="28" t="s">
        <v>1221</v>
      </c>
      <c r="N899" s="28" t="s">
        <v>1221</v>
      </c>
      <c r="O899" s="28" t="s">
        <v>1221</v>
      </c>
      <c r="P899" s="28" t="s">
        <v>1218</v>
      </c>
      <c r="Q899" s="30"/>
      <c r="Z899"/>
      <c r="AA899"/>
      <c r="AB899"/>
      <c r="AC899"/>
      <c r="AD899"/>
      <c r="AE899"/>
      <c r="AF899"/>
      <c r="AG899"/>
      <c r="AH899"/>
    </row>
    <row r="900" spans="2:34" s="27" customFormat="1" x14ac:dyDescent="0.25">
      <c r="B900" s="230" t="s">
        <v>1607</v>
      </c>
      <c r="C900" s="295" t="s">
        <v>1606</v>
      </c>
      <c r="D900" s="28" t="s">
        <v>1606</v>
      </c>
      <c r="E900" s="28">
        <v>20</v>
      </c>
      <c r="F900" s="28">
        <v>16</v>
      </c>
      <c r="G900" s="28">
        <v>13</v>
      </c>
      <c r="H900" s="28">
        <v>10</v>
      </c>
      <c r="I900" s="28">
        <v>7</v>
      </c>
      <c r="J900" s="28">
        <v>4</v>
      </c>
      <c r="K900" s="28" t="s">
        <v>1221</v>
      </c>
      <c r="L900" s="28" t="s">
        <v>1221</v>
      </c>
      <c r="M900" s="28" t="s">
        <v>1221</v>
      </c>
      <c r="N900" s="28" t="s">
        <v>1221</v>
      </c>
      <c r="O900" s="28" t="s">
        <v>1221</v>
      </c>
      <c r="P900" s="28" t="s">
        <v>1218</v>
      </c>
      <c r="Q900" s="30"/>
      <c r="Z900"/>
      <c r="AA900"/>
      <c r="AB900"/>
      <c r="AC900"/>
      <c r="AD900"/>
      <c r="AE900"/>
      <c r="AF900"/>
      <c r="AG900"/>
      <c r="AH900"/>
    </row>
    <row r="901" spans="2:34" s="27" customFormat="1" x14ac:dyDescent="0.25">
      <c r="B901" s="230" t="s">
        <v>1219</v>
      </c>
      <c r="C901" s="295" t="s">
        <v>1606</v>
      </c>
      <c r="D901" s="28" t="s">
        <v>1606</v>
      </c>
      <c r="E901" s="28" t="s">
        <v>1606</v>
      </c>
      <c r="F901" s="28">
        <v>20</v>
      </c>
      <c r="G901" s="28">
        <v>16</v>
      </c>
      <c r="H901" s="28">
        <v>13</v>
      </c>
      <c r="I901" s="28">
        <v>10</v>
      </c>
      <c r="J901" s="28">
        <v>7</v>
      </c>
      <c r="K901" s="28">
        <v>4</v>
      </c>
      <c r="L901" s="28">
        <v>4</v>
      </c>
      <c r="M901" s="28">
        <v>4</v>
      </c>
      <c r="N901" s="28">
        <v>4</v>
      </c>
      <c r="O901" s="28">
        <v>4</v>
      </c>
      <c r="P901" s="28" t="s">
        <v>1221</v>
      </c>
      <c r="Q901" s="30" t="s">
        <v>1610</v>
      </c>
      <c r="R901" s="228" t="s">
        <v>1617</v>
      </c>
      <c r="Z901"/>
      <c r="AA901"/>
      <c r="AB901"/>
      <c r="AC901"/>
      <c r="AD901"/>
      <c r="AE901"/>
      <c r="AF901"/>
      <c r="AG901"/>
      <c r="AH901"/>
    </row>
    <row r="902" spans="2:34" s="27" customFormat="1" x14ac:dyDescent="0.25">
      <c r="B902" s="230" t="s">
        <v>1229</v>
      </c>
      <c r="C902" s="295" t="s">
        <v>1606</v>
      </c>
      <c r="D902" s="28" t="s">
        <v>1606</v>
      </c>
      <c r="E902" s="28" t="s">
        <v>1606</v>
      </c>
      <c r="F902" s="28" t="s">
        <v>1606</v>
      </c>
      <c r="G902" s="28">
        <v>20</v>
      </c>
      <c r="H902" s="28">
        <v>16</v>
      </c>
      <c r="I902" s="28">
        <v>13</v>
      </c>
      <c r="J902" s="28">
        <v>10</v>
      </c>
      <c r="K902" s="28">
        <v>7</v>
      </c>
      <c r="L902" s="28">
        <v>7</v>
      </c>
      <c r="M902" s="28">
        <v>7</v>
      </c>
      <c r="N902" s="28">
        <v>7</v>
      </c>
      <c r="O902" s="28">
        <v>7</v>
      </c>
      <c r="P902" s="28" t="s">
        <v>1221</v>
      </c>
      <c r="Q902" s="30" t="s">
        <v>1611</v>
      </c>
      <c r="R902" s="228" t="s">
        <v>1618</v>
      </c>
      <c r="Z902"/>
      <c r="AA902"/>
      <c r="AB902"/>
      <c r="AC902"/>
      <c r="AD902"/>
      <c r="AE902"/>
      <c r="AF902"/>
      <c r="AG902"/>
      <c r="AH902"/>
    </row>
    <row r="903" spans="2:34" s="27" customFormat="1" x14ac:dyDescent="0.25">
      <c r="B903" s="230" t="s">
        <v>1220</v>
      </c>
      <c r="C903" s="295" t="s">
        <v>1606</v>
      </c>
      <c r="D903" s="28" t="s">
        <v>1606</v>
      </c>
      <c r="E903" s="28" t="s">
        <v>1606</v>
      </c>
      <c r="F903" s="28" t="s">
        <v>1606</v>
      </c>
      <c r="G903" s="28" t="s">
        <v>1606</v>
      </c>
      <c r="H903" s="28">
        <v>20</v>
      </c>
      <c r="I903" s="28">
        <v>16</v>
      </c>
      <c r="J903" s="28">
        <v>13</v>
      </c>
      <c r="K903" s="28">
        <v>10</v>
      </c>
      <c r="L903" s="28">
        <v>10</v>
      </c>
      <c r="M903" s="28">
        <v>10</v>
      </c>
      <c r="N903" s="28">
        <v>10</v>
      </c>
      <c r="O903" s="28">
        <v>10</v>
      </c>
      <c r="P903" s="28">
        <v>4</v>
      </c>
      <c r="Q903" s="30" t="s">
        <v>1612</v>
      </c>
      <c r="R903" s="228" t="s">
        <v>1619</v>
      </c>
      <c r="Z903"/>
      <c r="AA903"/>
      <c r="AB903"/>
      <c r="AC903"/>
      <c r="AD903"/>
      <c r="AE903"/>
      <c r="AF903"/>
      <c r="AG903"/>
      <c r="AH903"/>
    </row>
    <row r="904" spans="2:34" s="27" customFormat="1" x14ac:dyDescent="0.25">
      <c r="B904" s="230" t="s">
        <v>1230</v>
      </c>
      <c r="C904" s="295" t="s">
        <v>1606</v>
      </c>
      <c r="D904" s="28" t="s">
        <v>1606</v>
      </c>
      <c r="E904" s="28" t="s">
        <v>1606</v>
      </c>
      <c r="F904" s="28" t="s">
        <v>1606</v>
      </c>
      <c r="G904" s="28" t="s">
        <v>1606</v>
      </c>
      <c r="H904" s="28" t="s">
        <v>1606</v>
      </c>
      <c r="I904" s="28">
        <v>20</v>
      </c>
      <c r="J904" s="28">
        <v>16</v>
      </c>
      <c r="K904" s="28">
        <v>13</v>
      </c>
      <c r="L904" s="28">
        <v>13</v>
      </c>
      <c r="M904" s="28">
        <v>13</v>
      </c>
      <c r="N904" s="28">
        <v>13</v>
      </c>
      <c r="O904" s="28">
        <v>13</v>
      </c>
      <c r="P904" s="28">
        <v>7</v>
      </c>
      <c r="Q904" s="30" t="s">
        <v>1613</v>
      </c>
      <c r="R904" s="228" t="s">
        <v>1620</v>
      </c>
      <c r="Z904"/>
      <c r="AA904"/>
      <c r="AB904"/>
      <c r="AC904"/>
      <c r="AD904"/>
      <c r="AE904"/>
      <c r="AF904"/>
      <c r="AG904"/>
      <c r="AH904"/>
    </row>
    <row r="905" spans="2:34" s="27" customFormat="1" x14ac:dyDescent="0.25">
      <c r="B905" s="230" t="s">
        <v>1231</v>
      </c>
      <c r="C905" s="295" t="s">
        <v>1606</v>
      </c>
      <c r="D905" s="28" t="s">
        <v>1606</v>
      </c>
      <c r="E905" s="28" t="s">
        <v>1606</v>
      </c>
      <c r="F905" s="28" t="s">
        <v>1606</v>
      </c>
      <c r="G905" s="28" t="s">
        <v>1606</v>
      </c>
      <c r="H905" s="28" t="s">
        <v>1606</v>
      </c>
      <c r="I905" s="28" t="s">
        <v>1606</v>
      </c>
      <c r="J905" s="28">
        <v>19</v>
      </c>
      <c r="K905" s="28">
        <v>16</v>
      </c>
      <c r="L905" s="28">
        <v>16</v>
      </c>
      <c r="M905" s="28">
        <v>16</v>
      </c>
      <c r="N905" s="28">
        <v>16</v>
      </c>
      <c r="O905" s="28">
        <v>16</v>
      </c>
      <c r="P905" s="28">
        <v>10</v>
      </c>
      <c r="Q905" s="30" t="s">
        <v>1614</v>
      </c>
      <c r="R905" s="228" t="s">
        <v>1621</v>
      </c>
      <c r="Z905"/>
      <c r="AA905"/>
      <c r="AB905"/>
      <c r="AC905"/>
      <c r="AD905"/>
      <c r="AE905"/>
      <c r="AF905"/>
      <c r="AG905"/>
      <c r="AH905"/>
    </row>
    <row r="906" spans="2:34" s="27" customFormat="1" ht="15.75" thickBot="1" x14ac:dyDescent="0.3">
      <c r="B906" s="231" t="s">
        <v>1622</v>
      </c>
      <c r="C906" s="296" t="s">
        <v>1606</v>
      </c>
      <c r="D906" s="32" t="s">
        <v>1606</v>
      </c>
      <c r="E906" s="32" t="s">
        <v>1606</v>
      </c>
      <c r="F906" s="32" t="s">
        <v>1606</v>
      </c>
      <c r="G906" s="32" t="s">
        <v>1606</v>
      </c>
      <c r="H906" s="32" t="s">
        <v>1606</v>
      </c>
      <c r="I906" s="32" t="s">
        <v>1606</v>
      </c>
      <c r="J906" s="32">
        <v>20</v>
      </c>
      <c r="K906" s="32">
        <v>19</v>
      </c>
      <c r="L906" s="32">
        <v>19</v>
      </c>
      <c r="M906" s="32">
        <v>19</v>
      </c>
      <c r="N906" s="32">
        <v>19</v>
      </c>
      <c r="O906" s="32">
        <v>19</v>
      </c>
      <c r="P906" s="32">
        <v>13</v>
      </c>
      <c r="Q906" s="33" t="s">
        <v>1615</v>
      </c>
      <c r="R906" s="228" t="s">
        <v>1623</v>
      </c>
      <c r="Z906"/>
      <c r="AA906"/>
      <c r="AB906"/>
      <c r="AC906"/>
      <c r="AD906"/>
      <c r="AE906"/>
      <c r="AF906"/>
      <c r="AG906"/>
      <c r="AH906"/>
    </row>
    <row r="907" spans="2:34" s="27" customFormat="1" x14ac:dyDescent="0.25">
      <c r="B907" s="228"/>
      <c r="R907" s="228" t="s">
        <v>1616</v>
      </c>
      <c r="Z907"/>
      <c r="AA907"/>
      <c r="AB907"/>
      <c r="AC907"/>
      <c r="AD907"/>
      <c r="AE907"/>
      <c r="AF907"/>
      <c r="AG907"/>
      <c r="AH907"/>
    </row>
  </sheetData>
  <mergeCells count="8">
    <mergeCell ref="C42:G42"/>
    <mergeCell ref="AL42:AQ42"/>
    <mergeCell ref="AR42:AW42"/>
    <mergeCell ref="AF42:AK42"/>
    <mergeCell ref="Z42:AE42"/>
    <mergeCell ref="H42:M42"/>
    <mergeCell ref="T42:Y42"/>
    <mergeCell ref="N42:S42"/>
  </mergeCells>
  <phoneticPr fontId="27" type="noConversion"/>
  <conditionalFormatting sqref="C196:P196">
    <cfRule type="colorScale" priority="91">
      <colorScale>
        <cfvo type="min"/>
        <cfvo type="max"/>
        <color rgb="FF92D050"/>
        <color rgb="FFFF0000"/>
      </colorScale>
    </cfRule>
  </conditionalFormatting>
  <conditionalFormatting sqref="C235:P235">
    <cfRule type="colorScale" priority="5">
      <colorScale>
        <cfvo type="min"/>
        <cfvo type="max"/>
        <color rgb="FF92D050"/>
        <color rgb="FFFF0000"/>
      </colorScale>
    </cfRule>
  </conditionalFormatting>
  <conditionalFormatting sqref="C274:P274">
    <cfRule type="colorScale" priority="4">
      <colorScale>
        <cfvo type="min"/>
        <cfvo type="max"/>
        <color rgb="FF92D050"/>
        <color rgb="FFFF0000"/>
      </colorScale>
    </cfRule>
  </conditionalFormatting>
  <conditionalFormatting sqref="C313:P313">
    <cfRule type="colorScale" priority="3">
      <colorScale>
        <cfvo type="min"/>
        <cfvo type="max"/>
        <color rgb="FF92D050"/>
        <color rgb="FFFF0000"/>
      </colorScale>
    </cfRule>
  </conditionalFormatting>
  <conditionalFormatting sqref="C352:P353">
    <cfRule type="colorScale" priority="2">
      <colorScale>
        <cfvo type="min"/>
        <cfvo type="max"/>
        <color rgb="FF92D050"/>
        <color rgb="FFFF0000"/>
      </colorScale>
    </cfRule>
  </conditionalFormatting>
  <pageMargins left="0.7" right="0.7" top="0.75" bottom="0.75" header="0.3" footer="0.3"/>
  <pageSetup paperSize="9" orientation="portrait" r:id="rId1"/>
  <ignoredErrors>
    <ignoredError sqref="C121:M132 C144:C156 C136:J138 M136:M137 M138 C133:J135 M133:M135 C139:C143 E139:J143 M139:M141 M144:M151 M142:M143 L156 E144:J156 D139:D141 D144:D156 K155:L155 K156 D142:D143 K144:L151 K139:L141 K142:L143 L133:L135 L136:L137 K133:K135 K138:L138 K136:K137 K152:L152 K153:L153 K154:L154 M152:M156"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B0F0"/>
  </sheetPr>
  <dimension ref="B1:M305"/>
  <sheetViews>
    <sheetView topLeftCell="A175" zoomScale="85" zoomScaleNormal="85" workbookViewId="0">
      <selection activeCell="A198" sqref="A198:XFD198"/>
    </sheetView>
  </sheetViews>
  <sheetFormatPr baseColWidth="10" defaultColWidth="10.7109375" defaultRowHeight="15" x14ac:dyDescent="0.25"/>
  <cols>
    <col min="1" max="1" width="11.7109375" style="27" customWidth="1"/>
    <col min="2" max="2" width="11.7109375" style="42" customWidth="1"/>
    <col min="3" max="16" width="11.7109375" style="27" customWidth="1"/>
    <col min="17" max="20" width="14.28515625" style="27" customWidth="1"/>
    <col min="21" max="16384" width="10.7109375" style="27"/>
  </cols>
  <sheetData>
    <row r="1" spans="2:8" ht="15.75" thickBot="1" x14ac:dyDescent="0.3"/>
    <row r="2" spans="2:8" s="42" customFormat="1" ht="15.75" thickBot="1" x14ac:dyDescent="0.3">
      <c r="B2" s="197" t="s">
        <v>179</v>
      </c>
      <c r="C2" s="138" t="s">
        <v>7</v>
      </c>
      <c r="D2" s="138" t="s">
        <v>180</v>
      </c>
      <c r="E2" s="138" t="s">
        <v>10</v>
      </c>
      <c r="F2" s="138" t="s">
        <v>1417</v>
      </c>
      <c r="G2" s="138" t="s">
        <v>1418</v>
      </c>
      <c r="H2" s="139" t="s">
        <v>14</v>
      </c>
    </row>
    <row r="3" spans="2:8" x14ac:dyDescent="0.25">
      <c r="B3" s="195">
        <v>1</v>
      </c>
      <c r="C3" s="133">
        <v>-3</v>
      </c>
      <c r="D3" s="133">
        <v>-1</v>
      </c>
      <c r="E3" s="133">
        <v>-350</v>
      </c>
      <c r="F3" s="133">
        <v>1</v>
      </c>
      <c r="G3" s="133">
        <v>0</v>
      </c>
      <c r="H3" s="196">
        <v>0</v>
      </c>
    </row>
    <row r="4" spans="2:8" x14ac:dyDescent="0.25">
      <c r="B4" s="147">
        <v>2</v>
      </c>
      <c r="C4" s="28">
        <v>-3</v>
      </c>
      <c r="D4" s="28">
        <v>-1</v>
      </c>
      <c r="E4" s="28">
        <v>-350</v>
      </c>
      <c r="F4" s="28">
        <v>1</v>
      </c>
      <c r="G4" s="28">
        <v>0</v>
      </c>
      <c r="H4" s="189">
        <v>0</v>
      </c>
    </row>
    <row r="5" spans="2:8" x14ac:dyDescent="0.25">
      <c r="B5" s="147">
        <v>3</v>
      </c>
      <c r="C5" s="28">
        <v>-3</v>
      </c>
      <c r="D5" s="28">
        <v>-1</v>
      </c>
      <c r="E5" s="28">
        <v>-350</v>
      </c>
      <c r="F5" s="28">
        <v>1</v>
      </c>
      <c r="G5" s="28">
        <v>0</v>
      </c>
      <c r="H5" s="189">
        <v>0</v>
      </c>
    </row>
    <row r="6" spans="2:8" x14ac:dyDescent="0.25">
      <c r="B6" s="147">
        <v>4</v>
      </c>
      <c r="C6" s="28">
        <v>-2</v>
      </c>
      <c r="D6" s="28">
        <v>-1</v>
      </c>
      <c r="E6" s="28">
        <v>-250</v>
      </c>
      <c r="F6" s="28">
        <v>1</v>
      </c>
      <c r="G6" s="28">
        <v>0</v>
      </c>
      <c r="H6" s="189">
        <v>0</v>
      </c>
    </row>
    <row r="7" spans="2:8" x14ac:dyDescent="0.25">
      <c r="B7" s="147">
        <v>5</v>
      </c>
      <c r="C7" s="28">
        <v>-2</v>
      </c>
      <c r="D7" s="28">
        <v>-1</v>
      </c>
      <c r="E7" s="28">
        <v>-250</v>
      </c>
      <c r="F7" s="28">
        <v>1</v>
      </c>
      <c r="G7" s="28">
        <v>0</v>
      </c>
      <c r="H7" s="189">
        <v>0</v>
      </c>
    </row>
    <row r="8" spans="2:8" x14ac:dyDescent="0.25">
      <c r="B8" s="147">
        <v>6</v>
      </c>
      <c r="C8" s="28">
        <v>-1</v>
      </c>
      <c r="D8" s="28">
        <v>0</v>
      </c>
      <c r="E8" s="28">
        <v>-150</v>
      </c>
      <c r="F8" s="28">
        <v>1</v>
      </c>
      <c r="G8" s="28">
        <v>0</v>
      </c>
      <c r="H8" s="189">
        <v>0</v>
      </c>
    </row>
    <row r="9" spans="2:8" x14ac:dyDescent="0.25">
      <c r="B9" s="147">
        <v>7</v>
      </c>
      <c r="C9" s="28">
        <v>-1</v>
      </c>
      <c r="D9" s="28">
        <v>0</v>
      </c>
      <c r="E9" s="28">
        <v>-150</v>
      </c>
      <c r="F9" s="28">
        <v>1</v>
      </c>
      <c r="G9" s="28">
        <v>0</v>
      </c>
      <c r="H9" s="189">
        <v>0</v>
      </c>
    </row>
    <row r="10" spans="2:8" x14ac:dyDescent="0.25">
      <c r="B10" s="147">
        <v>8</v>
      </c>
      <c r="C10" s="28">
        <v>0</v>
      </c>
      <c r="D10" s="28">
        <v>0</v>
      </c>
      <c r="E10" s="28">
        <v>0</v>
      </c>
      <c r="F10" s="128" t="s">
        <v>181</v>
      </c>
      <c r="G10" s="28">
        <v>0</v>
      </c>
      <c r="H10" s="189">
        <v>0.01</v>
      </c>
    </row>
    <row r="11" spans="2:8" x14ac:dyDescent="0.25">
      <c r="B11" s="147">
        <v>9</v>
      </c>
      <c r="C11" s="28">
        <v>0</v>
      </c>
      <c r="D11" s="28">
        <v>0</v>
      </c>
      <c r="E11" s="28">
        <v>0</v>
      </c>
      <c r="F11" s="128" t="s">
        <v>181</v>
      </c>
      <c r="G11" s="28">
        <v>0</v>
      </c>
      <c r="H11" s="189">
        <v>0.01</v>
      </c>
    </row>
    <row r="12" spans="2:8" x14ac:dyDescent="0.25">
      <c r="B12" s="147">
        <v>10</v>
      </c>
      <c r="C12" s="28">
        <v>0</v>
      </c>
      <c r="D12" s="28">
        <v>0</v>
      </c>
      <c r="E12" s="28">
        <v>0</v>
      </c>
      <c r="F12" s="128" t="s">
        <v>181</v>
      </c>
      <c r="G12" s="28">
        <v>0</v>
      </c>
      <c r="H12" s="189">
        <v>0.02</v>
      </c>
    </row>
    <row r="13" spans="2:8" x14ac:dyDescent="0.25">
      <c r="B13" s="147">
        <v>11</v>
      </c>
      <c r="C13" s="28">
        <v>0</v>
      </c>
      <c r="D13" s="28">
        <v>0</v>
      </c>
      <c r="E13" s="28">
        <v>0</v>
      </c>
      <c r="F13" s="128" t="s">
        <v>181</v>
      </c>
      <c r="G13" s="28">
        <v>0</v>
      </c>
      <c r="H13" s="189">
        <v>0.02</v>
      </c>
    </row>
    <row r="14" spans="2:8" x14ac:dyDescent="0.25">
      <c r="B14" s="147">
        <v>12</v>
      </c>
      <c r="C14" s="28">
        <v>0</v>
      </c>
      <c r="D14" s="28">
        <v>0</v>
      </c>
      <c r="E14" s="28">
        <v>100</v>
      </c>
      <c r="F14" s="128" t="s">
        <v>181</v>
      </c>
      <c r="G14" s="28">
        <v>0</v>
      </c>
      <c r="H14" s="189">
        <v>0.04</v>
      </c>
    </row>
    <row r="15" spans="2:8" x14ac:dyDescent="0.25">
      <c r="B15" s="147">
        <v>13</v>
      </c>
      <c r="C15" s="28">
        <v>0</v>
      </c>
      <c r="D15" s="28">
        <v>0</v>
      </c>
      <c r="E15" s="28">
        <v>100</v>
      </c>
      <c r="F15" s="128" t="s">
        <v>181</v>
      </c>
      <c r="G15" s="28">
        <v>0</v>
      </c>
      <c r="H15" s="189">
        <v>0.04</v>
      </c>
    </row>
    <row r="16" spans="2:8" x14ac:dyDescent="0.25">
      <c r="B16" s="147">
        <v>14</v>
      </c>
      <c r="C16" s="28">
        <v>0</v>
      </c>
      <c r="D16" s="28">
        <v>0</v>
      </c>
      <c r="E16" s="28">
        <v>200</v>
      </c>
      <c r="F16" s="128" t="s">
        <v>181</v>
      </c>
      <c r="G16" s="28">
        <v>0</v>
      </c>
      <c r="H16" s="189">
        <v>7.0000000000000007E-2</v>
      </c>
    </row>
    <row r="17" spans="2:8" x14ac:dyDescent="0.25">
      <c r="B17" s="147">
        <v>15</v>
      </c>
      <c r="C17" s="28">
        <v>0</v>
      </c>
      <c r="D17" s="28">
        <v>0</v>
      </c>
      <c r="E17" s="28">
        <v>200</v>
      </c>
      <c r="F17" s="128" t="s">
        <v>181</v>
      </c>
      <c r="G17" s="28">
        <v>0</v>
      </c>
      <c r="H17" s="189">
        <v>7.0000000000000007E-2</v>
      </c>
    </row>
    <row r="18" spans="2:8" x14ac:dyDescent="0.25">
      <c r="B18" s="147">
        <v>16</v>
      </c>
      <c r="C18" s="28">
        <v>0</v>
      </c>
      <c r="D18" s="28">
        <v>1</v>
      </c>
      <c r="E18" s="28">
        <v>350</v>
      </c>
      <c r="F18" s="128" t="s">
        <v>182</v>
      </c>
      <c r="G18" s="28">
        <v>0</v>
      </c>
      <c r="H18" s="189">
        <v>0.1</v>
      </c>
    </row>
    <row r="19" spans="2:8" x14ac:dyDescent="0.25">
      <c r="B19" s="147">
        <v>17</v>
      </c>
      <c r="C19" s="28">
        <v>1</v>
      </c>
      <c r="D19" s="28">
        <v>1</v>
      </c>
      <c r="E19" s="28">
        <v>500</v>
      </c>
      <c r="F19" s="128" t="s">
        <v>182</v>
      </c>
      <c r="G19" s="28">
        <v>0</v>
      </c>
      <c r="H19" s="189">
        <v>0.13</v>
      </c>
    </row>
    <row r="20" spans="2:8" x14ac:dyDescent="0.25">
      <c r="B20" s="147">
        <v>18</v>
      </c>
      <c r="C20" s="28">
        <v>1</v>
      </c>
      <c r="D20" s="28">
        <v>2</v>
      </c>
      <c r="E20" s="28">
        <v>750</v>
      </c>
      <c r="F20" s="128" t="s">
        <v>182</v>
      </c>
      <c r="G20" s="28">
        <v>0</v>
      </c>
      <c r="H20" s="189">
        <v>0.16</v>
      </c>
    </row>
    <row r="21" spans="2:8" x14ac:dyDescent="0.25">
      <c r="B21" s="147">
        <v>19</v>
      </c>
      <c r="C21" s="28">
        <v>3</v>
      </c>
      <c r="D21" s="28">
        <v>7</v>
      </c>
      <c r="E21" s="28">
        <v>4500</v>
      </c>
      <c r="F21" s="128" t="s">
        <v>1232</v>
      </c>
      <c r="G21" s="28">
        <v>0</v>
      </c>
      <c r="H21" s="189">
        <v>0.5</v>
      </c>
    </row>
    <row r="22" spans="2:8" x14ac:dyDescent="0.25">
      <c r="B22" s="147">
        <v>20</v>
      </c>
      <c r="C22" s="28">
        <v>3</v>
      </c>
      <c r="D22" s="28">
        <v>8</v>
      </c>
      <c r="E22" s="28">
        <v>5000</v>
      </c>
      <c r="F22" s="128" t="s">
        <v>1232</v>
      </c>
      <c r="G22" s="28">
        <v>0</v>
      </c>
      <c r="H22" s="189">
        <v>0.6</v>
      </c>
    </row>
    <row r="23" spans="2:8" x14ac:dyDescent="0.25">
      <c r="B23" s="147">
        <v>21</v>
      </c>
      <c r="C23" s="28">
        <v>4</v>
      </c>
      <c r="D23" s="28">
        <v>9</v>
      </c>
      <c r="E23" s="28">
        <v>6000</v>
      </c>
      <c r="F23" s="128" t="s">
        <v>1233</v>
      </c>
      <c r="G23" s="28">
        <v>0</v>
      </c>
      <c r="H23" s="189">
        <v>0.7</v>
      </c>
    </row>
    <row r="24" spans="2:8" x14ac:dyDescent="0.25">
      <c r="B24" s="147">
        <v>22</v>
      </c>
      <c r="C24" s="28">
        <v>4</v>
      </c>
      <c r="D24" s="28">
        <v>10</v>
      </c>
      <c r="E24" s="28">
        <v>7500</v>
      </c>
      <c r="F24" s="128" t="s">
        <v>1234</v>
      </c>
      <c r="G24" s="28">
        <v>0</v>
      </c>
      <c r="H24" s="189">
        <v>0.8</v>
      </c>
    </row>
    <row r="25" spans="2:8" x14ac:dyDescent="0.25">
      <c r="B25" s="147">
        <v>23</v>
      </c>
      <c r="C25" s="28">
        <v>5</v>
      </c>
      <c r="D25" s="28">
        <v>11</v>
      </c>
      <c r="E25" s="28">
        <v>9000</v>
      </c>
      <c r="F25" s="128" t="s">
        <v>1236</v>
      </c>
      <c r="G25" s="28">
        <v>0</v>
      </c>
      <c r="H25" s="189">
        <v>0.9</v>
      </c>
    </row>
    <row r="26" spans="2:8" x14ac:dyDescent="0.25">
      <c r="B26" s="147">
        <v>24</v>
      </c>
      <c r="C26" s="28">
        <v>6</v>
      </c>
      <c r="D26" s="28">
        <v>12</v>
      </c>
      <c r="E26" s="28">
        <v>12000</v>
      </c>
      <c r="F26" s="128" t="s">
        <v>1235</v>
      </c>
      <c r="G26" s="28">
        <v>0</v>
      </c>
      <c r="H26" s="189">
        <v>1</v>
      </c>
    </row>
    <row r="27" spans="2:8" ht="15.75" thickBot="1" x14ac:dyDescent="0.3">
      <c r="B27" s="155">
        <v>25</v>
      </c>
      <c r="C27" s="32">
        <v>7</v>
      </c>
      <c r="D27" s="32">
        <v>14</v>
      </c>
      <c r="E27" s="32">
        <v>15000</v>
      </c>
      <c r="F27" s="130" t="s">
        <v>1237</v>
      </c>
      <c r="G27" s="32">
        <v>0</v>
      </c>
      <c r="H27" s="190">
        <v>1</v>
      </c>
    </row>
    <row r="28" spans="2:8" ht="15.75" thickBot="1" x14ac:dyDescent="0.3"/>
    <row r="29" spans="2:8" s="42" customFormat="1" ht="15.75" thickBot="1" x14ac:dyDescent="0.3">
      <c r="B29" s="197" t="s">
        <v>179</v>
      </c>
      <c r="C29" s="138" t="s">
        <v>7</v>
      </c>
      <c r="D29" s="138" t="s">
        <v>180</v>
      </c>
      <c r="E29" s="138" t="s">
        <v>10</v>
      </c>
      <c r="F29" s="138" t="s">
        <v>1417</v>
      </c>
      <c r="G29" s="138" t="s">
        <v>1418</v>
      </c>
      <c r="H29" s="139" t="s">
        <v>14</v>
      </c>
    </row>
    <row r="30" spans="2:8" x14ac:dyDescent="0.25">
      <c r="B30" s="195">
        <v>0</v>
      </c>
      <c r="C30" s="133">
        <v>1</v>
      </c>
      <c r="D30" s="133">
        <v>2</v>
      </c>
      <c r="E30" s="133">
        <v>750</v>
      </c>
      <c r="F30" s="134" t="s">
        <v>182</v>
      </c>
      <c r="G30" s="133">
        <v>0</v>
      </c>
      <c r="H30" s="196">
        <v>0.16</v>
      </c>
    </row>
    <row r="31" spans="2:8" x14ac:dyDescent="0.25">
      <c r="B31" s="192">
        <v>0.01</v>
      </c>
      <c r="C31" s="28">
        <v>1</v>
      </c>
      <c r="D31" s="28">
        <v>3</v>
      </c>
      <c r="E31" s="28">
        <v>1000</v>
      </c>
      <c r="F31" s="191" t="s">
        <v>182</v>
      </c>
      <c r="G31" s="28">
        <v>0</v>
      </c>
      <c r="H31" s="189">
        <v>0.2</v>
      </c>
    </row>
    <row r="32" spans="2:8" x14ac:dyDescent="0.25">
      <c r="B32" s="192">
        <v>0.02</v>
      </c>
      <c r="C32" s="28">
        <v>1</v>
      </c>
      <c r="D32" s="28">
        <v>3</v>
      </c>
      <c r="E32" s="28">
        <v>1000</v>
      </c>
      <c r="F32" s="191" t="s">
        <v>182</v>
      </c>
      <c r="G32" s="28">
        <v>0</v>
      </c>
      <c r="H32" s="189">
        <v>0.2</v>
      </c>
    </row>
    <row r="33" spans="2:8" x14ac:dyDescent="0.25">
      <c r="B33" s="192">
        <v>0.03</v>
      </c>
      <c r="C33" s="28">
        <v>1</v>
      </c>
      <c r="D33" s="28">
        <v>3</v>
      </c>
      <c r="E33" s="28">
        <v>1000</v>
      </c>
      <c r="F33" s="191" t="s">
        <v>182</v>
      </c>
      <c r="G33" s="28">
        <v>0</v>
      </c>
      <c r="H33" s="189">
        <v>0.2</v>
      </c>
    </row>
    <row r="34" spans="2:8" x14ac:dyDescent="0.25">
      <c r="B34" s="192">
        <v>0.04</v>
      </c>
      <c r="C34" s="28">
        <v>1</v>
      </c>
      <c r="D34" s="28">
        <v>3</v>
      </c>
      <c r="E34" s="28">
        <v>1000</v>
      </c>
      <c r="F34" s="191" t="s">
        <v>182</v>
      </c>
      <c r="G34" s="28">
        <v>0</v>
      </c>
      <c r="H34" s="189">
        <v>0.2</v>
      </c>
    </row>
    <row r="35" spans="2:8" x14ac:dyDescent="0.25">
      <c r="B35" s="192">
        <v>0.05</v>
      </c>
      <c r="C35" s="28">
        <v>1</v>
      </c>
      <c r="D35" s="28">
        <v>3</v>
      </c>
      <c r="E35" s="28">
        <v>1000</v>
      </c>
      <c r="F35" s="191" t="s">
        <v>182</v>
      </c>
      <c r="G35" s="28">
        <v>0</v>
      </c>
      <c r="H35" s="189">
        <v>0.2</v>
      </c>
    </row>
    <row r="36" spans="2:8" x14ac:dyDescent="0.25">
      <c r="B36" s="192">
        <v>0.06</v>
      </c>
      <c r="C36" s="28">
        <v>1</v>
      </c>
      <c r="D36" s="28">
        <v>3</v>
      </c>
      <c r="E36" s="28">
        <v>1000</v>
      </c>
      <c r="F36" s="191" t="s">
        <v>182</v>
      </c>
      <c r="G36" s="28">
        <v>0</v>
      </c>
      <c r="H36" s="189">
        <v>0.2</v>
      </c>
    </row>
    <row r="37" spans="2:8" x14ac:dyDescent="0.25">
      <c r="B37" s="192">
        <v>7.0000000000000007E-2</v>
      </c>
      <c r="C37" s="28">
        <v>1</v>
      </c>
      <c r="D37" s="28">
        <v>3</v>
      </c>
      <c r="E37" s="28">
        <v>1000</v>
      </c>
      <c r="F37" s="191" t="s">
        <v>182</v>
      </c>
      <c r="G37" s="28">
        <v>0</v>
      </c>
      <c r="H37" s="189">
        <v>0.2</v>
      </c>
    </row>
    <row r="38" spans="2:8" x14ac:dyDescent="0.25">
      <c r="B38" s="192">
        <v>0.08</v>
      </c>
      <c r="C38" s="28">
        <v>1</v>
      </c>
      <c r="D38" s="28">
        <v>3</v>
      </c>
      <c r="E38" s="28">
        <v>1000</v>
      </c>
      <c r="F38" s="191" t="s">
        <v>182</v>
      </c>
      <c r="G38" s="28">
        <v>0</v>
      </c>
      <c r="H38" s="189">
        <v>0.2</v>
      </c>
    </row>
    <row r="39" spans="2:8" x14ac:dyDescent="0.25">
      <c r="B39" s="192">
        <v>0.09</v>
      </c>
      <c r="C39" s="28">
        <v>1</v>
      </c>
      <c r="D39" s="28">
        <v>3</v>
      </c>
      <c r="E39" s="28">
        <v>1000</v>
      </c>
      <c r="F39" s="191" t="s">
        <v>182</v>
      </c>
      <c r="G39" s="28">
        <v>0</v>
      </c>
      <c r="H39" s="189">
        <v>0.2</v>
      </c>
    </row>
    <row r="40" spans="2:8" x14ac:dyDescent="0.25">
      <c r="B40" s="192">
        <v>0.1</v>
      </c>
      <c r="C40" s="28">
        <v>1</v>
      </c>
      <c r="D40" s="28">
        <v>3</v>
      </c>
      <c r="E40" s="28">
        <v>1000</v>
      </c>
      <c r="F40" s="191" t="s">
        <v>182</v>
      </c>
      <c r="G40" s="28">
        <v>0</v>
      </c>
      <c r="H40" s="189">
        <v>0.2</v>
      </c>
    </row>
    <row r="41" spans="2:8" x14ac:dyDescent="0.25">
      <c r="B41" s="192">
        <v>0.11</v>
      </c>
      <c r="C41" s="28">
        <v>1</v>
      </c>
      <c r="D41" s="28">
        <v>3</v>
      </c>
      <c r="E41" s="28">
        <v>1000</v>
      </c>
      <c r="F41" s="191" t="s">
        <v>182</v>
      </c>
      <c r="G41" s="28">
        <v>0</v>
      </c>
      <c r="H41" s="189">
        <v>0.2</v>
      </c>
    </row>
    <row r="42" spans="2:8" x14ac:dyDescent="0.25">
      <c r="B42" s="192">
        <v>0.12</v>
      </c>
      <c r="C42" s="28">
        <v>1</v>
      </c>
      <c r="D42" s="28">
        <v>3</v>
      </c>
      <c r="E42" s="28">
        <v>1000</v>
      </c>
      <c r="F42" s="191" t="s">
        <v>182</v>
      </c>
      <c r="G42" s="28">
        <v>0</v>
      </c>
      <c r="H42" s="189">
        <v>0.2</v>
      </c>
    </row>
    <row r="43" spans="2:8" x14ac:dyDescent="0.25">
      <c r="B43" s="192">
        <v>0.13</v>
      </c>
      <c r="C43" s="28">
        <v>1</v>
      </c>
      <c r="D43" s="28">
        <v>3</v>
      </c>
      <c r="E43" s="28">
        <v>1000</v>
      </c>
      <c r="F43" s="191" t="s">
        <v>182</v>
      </c>
      <c r="G43" s="28">
        <v>0</v>
      </c>
      <c r="H43" s="189">
        <v>0.2</v>
      </c>
    </row>
    <row r="44" spans="2:8" x14ac:dyDescent="0.25">
      <c r="B44" s="192">
        <v>0.14000000000000001</v>
      </c>
      <c r="C44" s="28">
        <v>1</v>
      </c>
      <c r="D44" s="28">
        <v>3</v>
      </c>
      <c r="E44" s="28">
        <v>1000</v>
      </c>
      <c r="F44" s="191" t="s">
        <v>182</v>
      </c>
      <c r="G44" s="28">
        <v>0</v>
      </c>
      <c r="H44" s="189">
        <v>0.2</v>
      </c>
    </row>
    <row r="45" spans="2:8" x14ac:dyDescent="0.25">
      <c r="B45" s="192">
        <v>0.15</v>
      </c>
      <c r="C45" s="28">
        <v>1</v>
      </c>
      <c r="D45" s="28">
        <v>3</v>
      </c>
      <c r="E45" s="28">
        <v>1000</v>
      </c>
      <c r="F45" s="191" t="s">
        <v>182</v>
      </c>
      <c r="G45" s="28">
        <v>0</v>
      </c>
      <c r="H45" s="189">
        <v>0.2</v>
      </c>
    </row>
    <row r="46" spans="2:8" x14ac:dyDescent="0.25">
      <c r="B46" s="192">
        <v>0.16</v>
      </c>
      <c r="C46" s="28">
        <v>1</v>
      </c>
      <c r="D46" s="28">
        <v>3</v>
      </c>
      <c r="E46" s="28">
        <v>1000</v>
      </c>
      <c r="F46" s="191" t="s">
        <v>182</v>
      </c>
      <c r="G46" s="28">
        <v>0</v>
      </c>
      <c r="H46" s="189">
        <v>0.2</v>
      </c>
    </row>
    <row r="47" spans="2:8" x14ac:dyDescent="0.25">
      <c r="B47" s="192">
        <v>0.17</v>
      </c>
      <c r="C47" s="28">
        <v>1</v>
      </c>
      <c r="D47" s="28">
        <v>3</v>
      </c>
      <c r="E47" s="28">
        <v>1000</v>
      </c>
      <c r="F47" s="191" t="s">
        <v>182</v>
      </c>
      <c r="G47" s="28">
        <v>0</v>
      </c>
      <c r="H47" s="189">
        <v>0.2</v>
      </c>
    </row>
    <row r="48" spans="2:8" x14ac:dyDescent="0.25">
      <c r="B48" s="192">
        <v>0.18</v>
      </c>
      <c r="C48" s="28">
        <v>1</v>
      </c>
      <c r="D48" s="28">
        <v>3</v>
      </c>
      <c r="E48" s="28">
        <v>1000</v>
      </c>
      <c r="F48" s="191" t="s">
        <v>182</v>
      </c>
      <c r="G48" s="28">
        <v>0</v>
      </c>
      <c r="H48" s="189">
        <v>0.2</v>
      </c>
    </row>
    <row r="49" spans="2:8" x14ac:dyDescent="0.25">
      <c r="B49" s="192">
        <v>0.19</v>
      </c>
      <c r="C49" s="28">
        <v>1</v>
      </c>
      <c r="D49" s="28">
        <v>3</v>
      </c>
      <c r="E49" s="28">
        <v>1000</v>
      </c>
      <c r="F49" s="191" t="s">
        <v>182</v>
      </c>
      <c r="G49" s="28">
        <v>0</v>
      </c>
      <c r="H49" s="189">
        <v>0.2</v>
      </c>
    </row>
    <row r="50" spans="2:8" x14ac:dyDescent="0.25">
      <c r="B50" s="192">
        <v>0.2</v>
      </c>
      <c r="C50" s="28">
        <v>1</v>
      </c>
      <c r="D50" s="28">
        <v>3</v>
      </c>
      <c r="E50" s="28">
        <v>1000</v>
      </c>
      <c r="F50" s="191" t="s">
        <v>182</v>
      </c>
      <c r="G50" s="28">
        <v>0</v>
      </c>
      <c r="H50" s="189">
        <v>0.2</v>
      </c>
    </row>
    <row r="51" spans="2:8" x14ac:dyDescent="0.25">
      <c r="B51" s="192">
        <v>0.21</v>
      </c>
      <c r="C51" s="28">
        <v>1</v>
      </c>
      <c r="D51" s="28">
        <v>3</v>
      </c>
      <c r="E51" s="28">
        <v>1000</v>
      </c>
      <c r="F51" s="191" t="s">
        <v>182</v>
      </c>
      <c r="G51" s="28">
        <v>0</v>
      </c>
      <c r="H51" s="189">
        <v>0.2</v>
      </c>
    </row>
    <row r="52" spans="2:8" x14ac:dyDescent="0.25">
      <c r="B52" s="192">
        <v>0.22</v>
      </c>
      <c r="C52" s="28">
        <v>1</v>
      </c>
      <c r="D52" s="28">
        <v>3</v>
      </c>
      <c r="E52" s="28">
        <v>1000</v>
      </c>
      <c r="F52" s="191" t="s">
        <v>182</v>
      </c>
      <c r="G52" s="28">
        <v>0</v>
      </c>
      <c r="H52" s="189">
        <v>0.2</v>
      </c>
    </row>
    <row r="53" spans="2:8" x14ac:dyDescent="0.25">
      <c r="B53" s="192">
        <v>0.23</v>
      </c>
      <c r="C53" s="28">
        <v>1</v>
      </c>
      <c r="D53" s="28">
        <v>3</v>
      </c>
      <c r="E53" s="28">
        <v>1000</v>
      </c>
      <c r="F53" s="191" t="s">
        <v>182</v>
      </c>
      <c r="G53" s="28">
        <v>0</v>
      </c>
      <c r="H53" s="189">
        <v>0.2</v>
      </c>
    </row>
    <row r="54" spans="2:8" x14ac:dyDescent="0.25">
      <c r="B54" s="192">
        <v>0.24</v>
      </c>
      <c r="C54" s="28">
        <v>1</v>
      </c>
      <c r="D54" s="28">
        <v>3</v>
      </c>
      <c r="E54" s="28">
        <v>1000</v>
      </c>
      <c r="F54" s="191" t="s">
        <v>182</v>
      </c>
      <c r="G54" s="28">
        <v>0</v>
      </c>
      <c r="H54" s="189">
        <v>0.2</v>
      </c>
    </row>
    <row r="55" spans="2:8" x14ac:dyDescent="0.25">
      <c r="B55" s="192">
        <v>0.25</v>
      </c>
      <c r="C55" s="28">
        <v>1</v>
      </c>
      <c r="D55" s="28">
        <v>3</v>
      </c>
      <c r="E55" s="28">
        <v>1000</v>
      </c>
      <c r="F55" s="191" t="s">
        <v>182</v>
      </c>
      <c r="G55" s="28">
        <v>0</v>
      </c>
      <c r="H55" s="189">
        <v>0.2</v>
      </c>
    </row>
    <row r="56" spans="2:8" x14ac:dyDescent="0.25">
      <c r="B56" s="192">
        <v>0.26</v>
      </c>
      <c r="C56" s="28">
        <v>1</v>
      </c>
      <c r="D56" s="28">
        <v>3</v>
      </c>
      <c r="E56" s="28">
        <v>1000</v>
      </c>
      <c r="F56" s="191" t="s">
        <v>182</v>
      </c>
      <c r="G56" s="28">
        <v>0</v>
      </c>
      <c r="H56" s="189">
        <v>0.2</v>
      </c>
    </row>
    <row r="57" spans="2:8" x14ac:dyDescent="0.25">
      <c r="B57" s="192">
        <v>0.27</v>
      </c>
      <c r="C57" s="28">
        <v>1</v>
      </c>
      <c r="D57" s="28">
        <v>3</v>
      </c>
      <c r="E57" s="28">
        <v>1000</v>
      </c>
      <c r="F57" s="191" t="s">
        <v>182</v>
      </c>
      <c r="G57" s="28">
        <v>0</v>
      </c>
      <c r="H57" s="189">
        <v>0.2</v>
      </c>
    </row>
    <row r="58" spans="2:8" x14ac:dyDescent="0.25">
      <c r="B58" s="192">
        <v>0.28000000000000003</v>
      </c>
      <c r="C58" s="28">
        <v>1</v>
      </c>
      <c r="D58" s="28">
        <v>3</v>
      </c>
      <c r="E58" s="28">
        <v>1000</v>
      </c>
      <c r="F58" s="191" t="s">
        <v>182</v>
      </c>
      <c r="G58" s="28">
        <v>0</v>
      </c>
      <c r="H58" s="189">
        <v>0.2</v>
      </c>
    </row>
    <row r="59" spans="2:8" x14ac:dyDescent="0.25">
      <c r="B59" s="192">
        <v>0.28999999999999998</v>
      </c>
      <c r="C59" s="28">
        <v>1</v>
      </c>
      <c r="D59" s="28">
        <v>3</v>
      </c>
      <c r="E59" s="28">
        <v>1000</v>
      </c>
      <c r="F59" s="191" t="s">
        <v>182</v>
      </c>
      <c r="G59" s="28">
        <v>0</v>
      </c>
      <c r="H59" s="189">
        <v>0.2</v>
      </c>
    </row>
    <row r="60" spans="2:8" x14ac:dyDescent="0.25">
      <c r="B60" s="192">
        <v>0.3</v>
      </c>
      <c r="C60" s="28">
        <v>1</v>
      </c>
      <c r="D60" s="28">
        <v>3</v>
      </c>
      <c r="E60" s="28">
        <v>1000</v>
      </c>
      <c r="F60" s="191" t="s">
        <v>182</v>
      </c>
      <c r="G60" s="28">
        <v>0</v>
      </c>
      <c r="H60" s="189">
        <v>0.2</v>
      </c>
    </row>
    <row r="61" spans="2:8" x14ac:dyDescent="0.25">
      <c r="B61" s="192">
        <v>0.31</v>
      </c>
      <c r="C61" s="28">
        <v>1</v>
      </c>
      <c r="D61" s="28">
        <v>3</v>
      </c>
      <c r="E61" s="28">
        <v>1000</v>
      </c>
      <c r="F61" s="191" t="s">
        <v>182</v>
      </c>
      <c r="G61" s="28">
        <v>0</v>
      </c>
      <c r="H61" s="189">
        <v>0.2</v>
      </c>
    </row>
    <row r="62" spans="2:8" x14ac:dyDescent="0.25">
      <c r="B62" s="192">
        <v>0.32</v>
      </c>
      <c r="C62" s="28">
        <v>1</v>
      </c>
      <c r="D62" s="28">
        <v>3</v>
      </c>
      <c r="E62" s="28">
        <v>1000</v>
      </c>
      <c r="F62" s="191" t="s">
        <v>182</v>
      </c>
      <c r="G62" s="28">
        <v>0</v>
      </c>
      <c r="H62" s="189">
        <v>0.2</v>
      </c>
    </row>
    <row r="63" spans="2:8" x14ac:dyDescent="0.25">
      <c r="B63" s="192">
        <v>0.33</v>
      </c>
      <c r="C63" s="28">
        <v>1</v>
      </c>
      <c r="D63" s="28">
        <v>3</v>
      </c>
      <c r="E63" s="28">
        <v>1000</v>
      </c>
      <c r="F63" s="191" t="s">
        <v>182</v>
      </c>
      <c r="G63" s="28">
        <v>0</v>
      </c>
      <c r="H63" s="189">
        <v>0.2</v>
      </c>
    </row>
    <row r="64" spans="2:8" x14ac:dyDescent="0.25">
      <c r="B64" s="192">
        <v>0.34</v>
      </c>
      <c r="C64" s="28">
        <v>1</v>
      </c>
      <c r="D64" s="28">
        <v>3</v>
      </c>
      <c r="E64" s="28">
        <v>1000</v>
      </c>
      <c r="F64" s="191" t="s">
        <v>182</v>
      </c>
      <c r="G64" s="28">
        <v>0</v>
      </c>
      <c r="H64" s="189">
        <v>0.2</v>
      </c>
    </row>
    <row r="65" spans="2:8" x14ac:dyDescent="0.25">
      <c r="B65" s="192">
        <v>0.35</v>
      </c>
      <c r="C65" s="28">
        <v>1</v>
      </c>
      <c r="D65" s="28">
        <v>3</v>
      </c>
      <c r="E65" s="28">
        <v>1000</v>
      </c>
      <c r="F65" s="191" t="s">
        <v>182</v>
      </c>
      <c r="G65" s="28">
        <v>0</v>
      </c>
      <c r="H65" s="189">
        <v>0.2</v>
      </c>
    </row>
    <row r="66" spans="2:8" x14ac:dyDescent="0.25">
      <c r="B66" s="192">
        <v>0.36</v>
      </c>
      <c r="C66" s="28">
        <v>1</v>
      </c>
      <c r="D66" s="28">
        <v>3</v>
      </c>
      <c r="E66" s="28">
        <v>1000</v>
      </c>
      <c r="F66" s="191" t="s">
        <v>182</v>
      </c>
      <c r="G66" s="28">
        <v>0</v>
      </c>
      <c r="H66" s="189">
        <v>0.2</v>
      </c>
    </row>
    <row r="67" spans="2:8" x14ac:dyDescent="0.25">
      <c r="B67" s="192">
        <v>0.37</v>
      </c>
      <c r="C67" s="28">
        <v>1</v>
      </c>
      <c r="D67" s="28">
        <v>3</v>
      </c>
      <c r="E67" s="28">
        <v>1000</v>
      </c>
      <c r="F67" s="191" t="s">
        <v>182</v>
      </c>
      <c r="G67" s="28">
        <v>0</v>
      </c>
      <c r="H67" s="189">
        <v>0.2</v>
      </c>
    </row>
    <row r="68" spans="2:8" x14ac:dyDescent="0.25">
      <c r="B68" s="192">
        <v>0.38</v>
      </c>
      <c r="C68" s="28">
        <v>1</v>
      </c>
      <c r="D68" s="28">
        <v>3</v>
      </c>
      <c r="E68" s="28">
        <v>1000</v>
      </c>
      <c r="F68" s="191" t="s">
        <v>182</v>
      </c>
      <c r="G68" s="28">
        <v>0</v>
      </c>
      <c r="H68" s="189">
        <v>0.2</v>
      </c>
    </row>
    <row r="69" spans="2:8" x14ac:dyDescent="0.25">
      <c r="B69" s="192">
        <v>0.39</v>
      </c>
      <c r="C69" s="28">
        <v>1</v>
      </c>
      <c r="D69" s="28">
        <v>3</v>
      </c>
      <c r="E69" s="28">
        <v>1000</v>
      </c>
      <c r="F69" s="191" t="s">
        <v>182</v>
      </c>
      <c r="G69" s="28">
        <v>0</v>
      </c>
      <c r="H69" s="189">
        <v>0.2</v>
      </c>
    </row>
    <row r="70" spans="2:8" x14ac:dyDescent="0.25">
      <c r="B70" s="192">
        <v>0.4</v>
      </c>
      <c r="C70" s="28">
        <v>1</v>
      </c>
      <c r="D70" s="28">
        <v>3</v>
      </c>
      <c r="E70" s="28">
        <v>1000</v>
      </c>
      <c r="F70" s="191" t="s">
        <v>182</v>
      </c>
      <c r="G70" s="28">
        <v>0</v>
      </c>
      <c r="H70" s="189">
        <v>0.2</v>
      </c>
    </row>
    <row r="71" spans="2:8" x14ac:dyDescent="0.25">
      <c r="B71" s="192">
        <v>0.41</v>
      </c>
      <c r="C71" s="28">
        <v>1</v>
      </c>
      <c r="D71" s="28">
        <v>3</v>
      </c>
      <c r="E71" s="28">
        <v>1000</v>
      </c>
      <c r="F71" s="191" t="s">
        <v>182</v>
      </c>
      <c r="G71" s="28">
        <v>0</v>
      </c>
      <c r="H71" s="189">
        <v>0.2</v>
      </c>
    </row>
    <row r="72" spans="2:8" x14ac:dyDescent="0.25">
      <c r="B72" s="192">
        <v>0.42</v>
      </c>
      <c r="C72" s="28">
        <v>1</v>
      </c>
      <c r="D72" s="28">
        <v>3</v>
      </c>
      <c r="E72" s="28">
        <v>1000</v>
      </c>
      <c r="F72" s="191" t="s">
        <v>182</v>
      </c>
      <c r="G72" s="28">
        <v>0</v>
      </c>
      <c r="H72" s="189">
        <v>0.2</v>
      </c>
    </row>
    <row r="73" spans="2:8" x14ac:dyDescent="0.25">
      <c r="B73" s="192">
        <v>0.43</v>
      </c>
      <c r="C73" s="28">
        <v>1</v>
      </c>
      <c r="D73" s="28">
        <v>3</v>
      </c>
      <c r="E73" s="28">
        <v>1000</v>
      </c>
      <c r="F73" s="191" t="s">
        <v>182</v>
      </c>
      <c r="G73" s="28">
        <v>0</v>
      </c>
      <c r="H73" s="189">
        <v>0.2</v>
      </c>
    </row>
    <row r="74" spans="2:8" x14ac:dyDescent="0.25">
      <c r="B74" s="192">
        <v>0.44</v>
      </c>
      <c r="C74" s="28">
        <v>1</v>
      </c>
      <c r="D74" s="28">
        <v>3</v>
      </c>
      <c r="E74" s="28">
        <v>1000</v>
      </c>
      <c r="F74" s="191" t="s">
        <v>182</v>
      </c>
      <c r="G74" s="28">
        <v>0</v>
      </c>
      <c r="H74" s="189">
        <v>0.2</v>
      </c>
    </row>
    <row r="75" spans="2:8" x14ac:dyDescent="0.25">
      <c r="B75" s="192">
        <v>0.45</v>
      </c>
      <c r="C75" s="28">
        <v>1</v>
      </c>
      <c r="D75" s="28">
        <v>3</v>
      </c>
      <c r="E75" s="28">
        <v>1000</v>
      </c>
      <c r="F75" s="191" t="s">
        <v>182</v>
      </c>
      <c r="G75" s="28">
        <v>0</v>
      </c>
      <c r="H75" s="189">
        <v>0.2</v>
      </c>
    </row>
    <row r="76" spans="2:8" x14ac:dyDescent="0.25">
      <c r="B76" s="192">
        <v>0.46</v>
      </c>
      <c r="C76" s="28">
        <v>1</v>
      </c>
      <c r="D76" s="28">
        <v>3</v>
      </c>
      <c r="E76" s="28">
        <v>1000</v>
      </c>
      <c r="F76" s="191" t="s">
        <v>182</v>
      </c>
      <c r="G76" s="28">
        <v>0</v>
      </c>
      <c r="H76" s="189">
        <v>0.2</v>
      </c>
    </row>
    <row r="77" spans="2:8" x14ac:dyDescent="0.25">
      <c r="B77" s="192">
        <v>0.47</v>
      </c>
      <c r="C77" s="28">
        <v>1</v>
      </c>
      <c r="D77" s="28">
        <v>3</v>
      </c>
      <c r="E77" s="28">
        <v>1000</v>
      </c>
      <c r="F77" s="191" t="s">
        <v>182</v>
      </c>
      <c r="G77" s="28">
        <v>0</v>
      </c>
      <c r="H77" s="189">
        <v>0.2</v>
      </c>
    </row>
    <row r="78" spans="2:8" x14ac:dyDescent="0.25">
      <c r="B78" s="192">
        <v>0.48</v>
      </c>
      <c r="C78" s="28">
        <v>1</v>
      </c>
      <c r="D78" s="28">
        <v>3</v>
      </c>
      <c r="E78" s="28">
        <v>1000</v>
      </c>
      <c r="F78" s="191" t="s">
        <v>182</v>
      </c>
      <c r="G78" s="28">
        <v>0</v>
      </c>
      <c r="H78" s="189">
        <v>0.2</v>
      </c>
    </row>
    <row r="79" spans="2:8" x14ac:dyDescent="0.25">
      <c r="B79" s="192">
        <v>0.49</v>
      </c>
      <c r="C79" s="28">
        <v>1</v>
      </c>
      <c r="D79" s="28">
        <v>3</v>
      </c>
      <c r="E79" s="28">
        <v>1000</v>
      </c>
      <c r="F79" s="191" t="s">
        <v>182</v>
      </c>
      <c r="G79" s="28">
        <v>0</v>
      </c>
      <c r="H79" s="189">
        <v>0.2</v>
      </c>
    </row>
    <row r="80" spans="2:8" x14ac:dyDescent="0.25">
      <c r="B80" s="192">
        <v>0.5</v>
      </c>
      <c r="C80" s="28">
        <v>1</v>
      </c>
      <c r="D80" s="28">
        <v>3</v>
      </c>
      <c r="E80" s="28">
        <v>1000</v>
      </c>
      <c r="F80" s="191" t="s">
        <v>182</v>
      </c>
      <c r="G80" s="28">
        <v>0</v>
      </c>
      <c r="H80" s="189">
        <v>0.2</v>
      </c>
    </row>
    <row r="81" spans="2:8" x14ac:dyDescent="0.25">
      <c r="B81" s="192">
        <v>0.51</v>
      </c>
      <c r="C81" s="28">
        <v>2</v>
      </c>
      <c r="D81" s="28">
        <v>3</v>
      </c>
      <c r="E81" s="28">
        <v>1250</v>
      </c>
      <c r="F81" s="191" t="s">
        <v>183</v>
      </c>
      <c r="G81" s="28">
        <v>0</v>
      </c>
      <c r="H81" s="189">
        <v>0.25</v>
      </c>
    </row>
    <row r="82" spans="2:8" x14ac:dyDescent="0.25">
      <c r="B82" s="192">
        <v>0.52</v>
      </c>
      <c r="C82" s="28">
        <v>2</v>
      </c>
      <c r="D82" s="28">
        <v>3</v>
      </c>
      <c r="E82" s="28">
        <v>1250</v>
      </c>
      <c r="F82" s="191" t="s">
        <v>183</v>
      </c>
      <c r="G82" s="28">
        <v>0</v>
      </c>
      <c r="H82" s="189">
        <v>0.25</v>
      </c>
    </row>
    <row r="83" spans="2:8" x14ac:dyDescent="0.25">
      <c r="B83" s="192">
        <v>0.53</v>
      </c>
      <c r="C83" s="28">
        <v>2</v>
      </c>
      <c r="D83" s="28">
        <v>3</v>
      </c>
      <c r="E83" s="28">
        <v>1250</v>
      </c>
      <c r="F83" s="191" t="s">
        <v>183</v>
      </c>
      <c r="G83" s="28">
        <v>0</v>
      </c>
      <c r="H83" s="189">
        <v>0.25</v>
      </c>
    </row>
    <row r="84" spans="2:8" x14ac:dyDescent="0.25">
      <c r="B84" s="192">
        <v>0.54</v>
      </c>
      <c r="C84" s="28">
        <v>2</v>
      </c>
      <c r="D84" s="28">
        <v>3</v>
      </c>
      <c r="E84" s="28">
        <v>1250</v>
      </c>
      <c r="F84" s="191" t="s">
        <v>183</v>
      </c>
      <c r="G84" s="28">
        <v>0</v>
      </c>
      <c r="H84" s="189">
        <v>0.25</v>
      </c>
    </row>
    <row r="85" spans="2:8" x14ac:dyDescent="0.25">
      <c r="B85" s="192">
        <v>0.55000000000000004</v>
      </c>
      <c r="C85" s="28">
        <v>2</v>
      </c>
      <c r="D85" s="28">
        <v>3</v>
      </c>
      <c r="E85" s="28">
        <v>1250</v>
      </c>
      <c r="F85" s="191" t="s">
        <v>183</v>
      </c>
      <c r="G85" s="28">
        <v>0</v>
      </c>
      <c r="H85" s="189">
        <v>0.25</v>
      </c>
    </row>
    <row r="86" spans="2:8" x14ac:dyDescent="0.25">
      <c r="B86" s="192">
        <v>0.56000000000000005</v>
      </c>
      <c r="C86" s="28">
        <v>2</v>
      </c>
      <c r="D86" s="28">
        <v>3</v>
      </c>
      <c r="E86" s="28">
        <v>1250</v>
      </c>
      <c r="F86" s="191" t="s">
        <v>183</v>
      </c>
      <c r="G86" s="28">
        <v>0</v>
      </c>
      <c r="H86" s="189">
        <v>0.25</v>
      </c>
    </row>
    <row r="87" spans="2:8" x14ac:dyDescent="0.25">
      <c r="B87" s="192">
        <v>0.56999999999999995</v>
      </c>
      <c r="C87" s="28">
        <v>2</v>
      </c>
      <c r="D87" s="28">
        <v>3</v>
      </c>
      <c r="E87" s="28">
        <v>1250</v>
      </c>
      <c r="F87" s="191" t="s">
        <v>183</v>
      </c>
      <c r="G87" s="28">
        <v>0</v>
      </c>
      <c r="H87" s="189">
        <v>0.25</v>
      </c>
    </row>
    <row r="88" spans="2:8" x14ac:dyDescent="0.25">
      <c r="B88" s="192">
        <v>0.57999999999999996</v>
      </c>
      <c r="C88" s="28">
        <v>2</v>
      </c>
      <c r="D88" s="28">
        <v>3</v>
      </c>
      <c r="E88" s="28">
        <v>1250</v>
      </c>
      <c r="F88" s="191" t="s">
        <v>183</v>
      </c>
      <c r="G88" s="28">
        <v>0</v>
      </c>
      <c r="H88" s="189">
        <v>0.25</v>
      </c>
    </row>
    <row r="89" spans="2:8" x14ac:dyDescent="0.25">
      <c r="B89" s="192">
        <v>0.59</v>
      </c>
      <c r="C89" s="28">
        <v>2</v>
      </c>
      <c r="D89" s="28">
        <v>3</v>
      </c>
      <c r="E89" s="28">
        <v>1250</v>
      </c>
      <c r="F89" s="191" t="s">
        <v>183</v>
      </c>
      <c r="G89" s="28">
        <v>0</v>
      </c>
      <c r="H89" s="189">
        <v>0.25</v>
      </c>
    </row>
    <row r="90" spans="2:8" x14ac:dyDescent="0.25">
      <c r="B90" s="192">
        <v>0.6</v>
      </c>
      <c r="C90" s="28">
        <v>2</v>
      </c>
      <c r="D90" s="28">
        <v>3</v>
      </c>
      <c r="E90" s="28">
        <v>1250</v>
      </c>
      <c r="F90" s="191" t="s">
        <v>183</v>
      </c>
      <c r="G90" s="28">
        <v>0</v>
      </c>
      <c r="H90" s="189">
        <v>0.25</v>
      </c>
    </row>
    <row r="91" spans="2:8" x14ac:dyDescent="0.25">
      <c r="B91" s="192">
        <v>0.61</v>
      </c>
      <c r="C91" s="28">
        <v>2</v>
      </c>
      <c r="D91" s="28">
        <v>3</v>
      </c>
      <c r="E91" s="28">
        <v>1250</v>
      </c>
      <c r="F91" s="191" t="s">
        <v>183</v>
      </c>
      <c r="G91" s="28">
        <v>0</v>
      </c>
      <c r="H91" s="189">
        <v>0.25</v>
      </c>
    </row>
    <row r="92" spans="2:8" x14ac:dyDescent="0.25">
      <c r="B92" s="192">
        <v>0.62</v>
      </c>
      <c r="C92" s="28">
        <v>2</v>
      </c>
      <c r="D92" s="28">
        <v>3</v>
      </c>
      <c r="E92" s="28">
        <v>1250</v>
      </c>
      <c r="F92" s="191" t="s">
        <v>183</v>
      </c>
      <c r="G92" s="28">
        <v>0</v>
      </c>
      <c r="H92" s="189">
        <v>0.25</v>
      </c>
    </row>
    <row r="93" spans="2:8" x14ac:dyDescent="0.25">
      <c r="B93" s="192">
        <v>0.63</v>
      </c>
      <c r="C93" s="28">
        <v>2</v>
      </c>
      <c r="D93" s="28">
        <v>3</v>
      </c>
      <c r="E93" s="28">
        <v>1250</v>
      </c>
      <c r="F93" s="191" t="s">
        <v>183</v>
      </c>
      <c r="G93" s="28">
        <v>0</v>
      </c>
      <c r="H93" s="189">
        <v>0.25</v>
      </c>
    </row>
    <row r="94" spans="2:8" x14ac:dyDescent="0.25">
      <c r="B94" s="192">
        <v>0.64</v>
      </c>
      <c r="C94" s="28">
        <v>2</v>
      </c>
      <c r="D94" s="28">
        <v>3</v>
      </c>
      <c r="E94" s="28">
        <v>1250</v>
      </c>
      <c r="F94" s="191" t="s">
        <v>183</v>
      </c>
      <c r="G94" s="28">
        <v>0</v>
      </c>
      <c r="H94" s="189">
        <v>0.25</v>
      </c>
    </row>
    <row r="95" spans="2:8" x14ac:dyDescent="0.25">
      <c r="B95" s="192">
        <v>0.65</v>
      </c>
      <c r="C95" s="28">
        <v>2</v>
      </c>
      <c r="D95" s="28">
        <v>3</v>
      </c>
      <c r="E95" s="28">
        <v>1250</v>
      </c>
      <c r="F95" s="191" t="s">
        <v>183</v>
      </c>
      <c r="G95" s="28">
        <v>0</v>
      </c>
      <c r="H95" s="189">
        <v>0.25</v>
      </c>
    </row>
    <row r="96" spans="2:8" x14ac:dyDescent="0.25">
      <c r="B96" s="192">
        <v>0.66</v>
      </c>
      <c r="C96" s="28">
        <v>2</v>
      </c>
      <c r="D96" s="28">
        <v>3</v>
      </c>
      <c r="E96" s="28">
        <v>1250</v>
      </c>
      <c r="F96" s="191" t="s">
        <v>183</v>
      </c>
      <c r="G96" s="28">
        <v>0</v>
      </c>
      <c r="H96" s="189">
        <v>0.25</v>
      </c>
    </row>
    <row r="97" spans="2:8" x14ac:dyDescent="0.25">
      <c r="B97" s="192">
        <v>0.67</v>
      </c>
      <c r="C97" s="28">
        <v>2</v>
      </c>
      <c r="D97" s="28">
        <v>3</v>
      </c>
      <c r="E97" s="28">
        <v>1250</v>
      </c>
      <c r="F97" s="191" t="s">
        <v>183</v>
      </c>
      <c r="G97" s="28">
        <v>0</v>
      </c>
      <c r="H97" s="189">
        <v>0.25</v>
      </c>
    </row>
    <row r="98" spans="2:8" x14ac:dyDescent="0.25">
      <c r="B98" s="192">
        <v>0.68</v>
      </c>
      <c r="C98" s="28">
        <v>2</v>
      </c>
      <c r="D98" s="28">
        <v>3</v>
      </c>
      <c r="E98" s="28">
        <v>1250</v>
      </c>
      <c r="F98" s="191" t="s">
        <v>183</v>
      </c>
      <c r="G98" s="28">
        <v>0</v>
      </c>
      <c r="H98" s="189">
        <v>0.25</v>
      </c>
    </row>
    <row r="99" spans="2:8" x14ac:dyDescent="0.25">
      <c r="B99" s="192">
        <v>0.69</v>
      </c>
      <c r="C99" s="28">
        <v>2</v>
      </c>
      <c r="D99" s="28">
        <v>3</v>
      </c>
      <c r="E99" s="28">
        <v>1250</v>
      </c>
      <c r="F99" s="191" t="s">
        <v>183</v>
      </c>
      <c r="G99" s="28">
        <v>0</v>
      </c>
      <c r="H99" s="189">
        <v>0.25</v>
      </c>
    </row>
    <row r="100" spans="2:8" x14ac:dyDescent="0.25">
      <c r="B100" s="192">
        <v>0.7</v>
      </c>
      <c r="C100" s="28">
        <v>2</v>
      </c>
      <c r="D100" s="28">
        <v>3</v>
      </c>
      <c r="E100" s="28">
        <v>1250</v>
      </c>
      <c r="F100" s="191" t="s">
        <v>183</v>
      </c>
      <c r="G100" s="28">
        <v>0</v>
      </c>
      <c r="H100" s="189">
        <v>0.25</v>
      </c>
    </row>
    <row r="101" spans="2:8" x14ac:dyDescent="0.25">
      <c r="B101" s="192">
        <v>0.71</v>
      </c>
      <c r="C101" s="28">
        <v>2</v>
      </c>
      <c r="D101" s="28">
        <v>3</v>
      </c>
      <c r="E101" s="28">
        <v>1250</v>
      </c>
      <c r="F101" s="191" t="s">
        <v>183</v>
      </c>
      <c r="G101" s="28">
        <v>0</v>
      </c>
      <c r="H101" s="189">
        <v>0.25</v>
      </c>
    </row>
    <row r="102" spans="2:8" x14ac:dyDescent="0.25">
      <c r="B102" s="192">
        <v>0.72</v>
      </c>
      <c r="C102" s="28">
        <v>2</v>
      </c>
      <c r="D102" s="28">
        <v>3</v>
      </c>
      <c r="E102" s="28">
        <v>1250</v>
      </c>
      <c r="F102" s="191" t="s">
        <v>183</v>
      </c>
      <c r="G102" s="28">
        <v>0</v>
      </c>
      <c r="H102" s="189">
        <v>0.25</v>
      </c>
    </row>
    <row r="103" spans="2:8" x14ac:dyDescent="0.25">
      <c r="B103" s="192">
        <v>0.73</v>
      </c>
      <c r="C103" s="28">
        <v>2</v>
      </c>
      <c r="D103" s="28">
        <v>3</v>
      </c>
      <c r="E103" s="28">
        <v>1250</v>
      </c>
      <c r="F103" s="191" t="s">
        <v>183</v>
      </c>
      <c r="G103" s="28">
        <v>0</v>
      </c>
      <c r="H103" s="189">
        <v>0.25</v>
      </c>
    </row>
    <row r="104" spans="2:8" x14ac:dyDescent="0.25">
      <c r="B104" s="192">
        <v>0.74</v>
      </c>
      <c r="C104" s="28">
        <v>2</v>
      </c>
      <c r="D104" s="28">
        <v>3</v>
      </c>
      <c r="E104" s="28">
        <v>1250</v>
      </c>
      <c r="F104" s="191" t="s">
        <v>183</v>
      </c>
      <c r="G104" s="28">
        <v>0</v>
      </c>
      <c r="H104" s="189">
        <v>0.25</v>
      </c>
    </row>
    <row r="105" spans="2:8" x14ac:dyDescent="0.25">
      <c r="B105" s="192">
        <v>0.75</v>
      </c>
      <c r="C105" s="28">
        <v>2</v>
      </c>
      <c r="D105" s="28">
        <v>3</v>
      </c>
      <c r="E105" s="28">
        <v>1250</v>
      </c>
      <c r="F105" s="191" t="s">
        <v>183</v>
      </c>
      <c r="G105" s="28">
        <v>0</v>
      </c>
      <c r="H105" s="189">
        <v>0.25</v>
      </c>
    </row>
    <row r="106" spans="2:8" x14ac:dyDescent="0.25">
      <c r="B106" s="192">
        <v>0.76</v>
      </c>
      <c r="C106" s="28">
        <v>2</v>
      </c>
      <c r="D106" s="28">
        <v>4</v>
      </c>
      <c r="E106" s="28">
        <v>1500</v>
      </c>
      <c r="F106" s="191" t="s">
        <v>183</v>
      </c>
      <c r="G106" s="28">
        <v>0</v>
      </c>
      <c r="H106" s="189">
        <v>0.3</v>
      </c>
    </row>
    <row r="107" spans="2:8" x14ac:dyDescent="0.25">
      <c r="B107" s="192">
        <v>0.77</v>
      </c>
      <c r="C107" s="28">
        <v>2</v>
      </c>
      <c r="D107" s="28">
        <v>4</v>
      </c>
      <c r="E107" s="28">
        <v>1500</v>
      </c>
      <c r="F107" s="191" t="s">
        <v>183</v>
      </c>
      <c r="G107" s="28">
        <v>0</v>
      </c>
      <c r="H107" s="189">
        <v>0.3</v>
      </c>
    </row>
    <row r="108" spans="2:8" x14ac:dyDescent="0.25">
      <c r="B108" s="192">
        <v>0.78</v>
      </c>
      <c r="C108" s="28">
        <v>2</v>
      </c>
      <c r="D108" s="28">
        <v>4</v>
      </c>
      <c r="E108" s="28">
        <v>1500</v>
      </c>
      <c r="F108" s="191" t="s">
        <v>183</v>
      </c>
      <c r="G108" s="28">
        <v>0</v>
      </c>
      <c r="H108" s="189">
        <v>0.3</v>
      </c>
    </row>
    <row r="109" spans="2:8" x14ac:dyDescent="0.25">
      <c r="B109" s="192">
        <v>0.79</v>
      </c>
      <c r="C109" s="28">
        <v>2</v>
      </c>
      <c r="D109" s="28">
        <v>4</v>
      </c>
      <c r="E109" s="28">
        <v>1500</v>
      </c>
      <c r="F109" s="191" t="s">
        <v>183</v>
      </c>
      <c r="G109" s="28">
        <v>0</v>
      </c>
      <c r="H109" s="189">
        <v>0.3</v>
      </c>
    </row>
    <row r="110" spans="2:8" x14ac:dyDescent="0.25">
      <c r="B110" s="192">
        <v>0.8</v>
      </c>
      <c r="C110" s="28">
        <v>2</v>
      </c>
      <c r="D110" s="28">
        <v>4</v>
      </c>
      <c r="E110" s="28">
        <v>1500</v>
      </c>
      <c r="F110" s="191" t="s">
        <v>183</v>
      </c>
      <c r="G110" s="28">
        <v>0</v>
      </c>
      <c r="H110" s="189">
        <v>0.3</v>
      </c>
    </row>
    <row r="111" spans="2:8" x14ac:dyDescent="0.25">
      <c r="B111" s="192">
        <v>0.81</v>
      </c>
      <c r="C111" s="28">
        <v>2</v>
      </c>
      <c r="D111" s="28">
        <v>4</v>
      </c>
      <c r="E111" s="28">
        <v>1500</v>
      </c>
      <c r="F111" s="191" t="s">
        <v>183</v>
      </c>
      <c r="G111" s="28">
        <v>0</v>
      </c>
      <c r="H111" s="189">
        <v>0.3</v>
      </c>
    </row>
    <row r="112" spans="2:8" x14ac:dyDescent="0.25">
      <c r="B112" s="192">
        <v>0.82</v>
      </c>
      <c r="C112" s="28">
        <v>2</v>
      </c>
      <c r="D112" s="28">
        <v>4</v>
      </c>
      <c r="E112" s="28">
        <v>1500</v>
      </c>
      <c r="F112" s="191" t="s">
        <v>183</v>
      </c>
      <c r="G112" s="28">
        <v>0</v>
      </c>
      <c r="H112" s="189">
        <v>0.3</v>
      </c>
    </row>
    <row r="113" spans="2:8" x14ac:dyDescent="0.25">
      <c r="B113" s="192">
        <v>0.83</v>
      </c>
      <c r="C113" s="28">
        <v>2</v>
      </c>
      <c r="D113" s="28">
        <v>4</v>
      </c>
      <c r="E113" s="28">
        <v>1500</v>
      </c>
      <c r="F113" s="191" t="s">
        <v>183</v>
      </c>
      <c r="G113" s="28">
        <v>0</v>
      </c>
      <c r="H113" s="189">
        <v>0.3</v>
      </c>
    </row>
    <row r="114" spans="2:8" x14ac:dyDescent="0.25">
      <c r="B114" s="192">
        <v>0.84</v>
      </c>
      <c r="C114" s="28">
        <v>2</v>
      </c>
      <c r="D114" s="28">
        <v>4</v>
      </c>
      <c r="E114" s="28">
        <v>1500</v>
      </c>
      <c r="F114" s="191" t="s">
        <v>183</v>
      </c>
      <c r="G114" s="28">
        <v>0</v>
      </c>
      <c r="H114" s="189">
        <v>0.3</v>
      </c>
    </row>
    <row r="115" spans="2:8" x14ac:dyDescent="0.25">
      <c r="B115" s="192">
        <v>0.85</v>
      </c>
      <c r="C115" s="28">
        <v>2</v>
      </c>
      <c r="D115" s="28">
        <v>4</v>
      </c>
      <c r="E115" s="28">
        <v>1500</v>
      </c>
      <c r="F115" s="191" t="s">
        <v>183</v>
      </c>
      <c r="G115" s="28">
        <v>0</v>
      </c>
      <c r="H115" s="189">
        <v>0.3</v>
      </c>
    </row>
    <row r="116" spans="2:8" x14ac:dyDescent="0.25">
      <c r="B116" s="192">
        <v>0.86</v>
      </c>
      <c r="C116" s="28">
        <v>2</v>
      </c>
      <c r="D116" s="28">
        <v>4</v>
      </c>
      <c r="E116" s="28">
        <v>1500</v>
      </c>
      <c r="F116" s="191" t="s">
        <v>183</v>
      </c>
      <c r="G116" s="28">
        <v>0</v>
      </c>
      <c r="H116" s="189">
        <v>0.3</v>
      </c>
    </row>
    <row r="117" spans="2:8" x14ac:dyDescent="0.25">
      <c r="B117" s="192">
        <v>0.87</v>
      </c>
      <c r="C117" s="28">
        <v>2</v>
      </c>
      <c r="D117" s="28">
        <v>4</v>
      </c>
      <c r="E117" s="28">
        <v>1500</v>
      </c>
      <c r="F117" s="191" t="s">
        <v>183</v>
      </c>
      <c r="G117" s="28">
        <v>0</v>
      </c>
      <c r="H117" s="189">
        <v>0.3</v>
      </c>
    </row>
    <row r="118" spans="2:8" x14ac:dyDescent="0.25">
      <c r="B118" s="192">
        <v>0.88</v>
      </c>
      <c r="C118" s="28">
        <v>2</v>
      </c>
      <c r="D118" s="28">
        <v>4</v>
      </c>
      <c r="E118" s="28">
        <v>1500</v>
      </c>
      <c r="F118" s="191" t="s">
        <v>183</v>
      </c>
      <c r="G118" s="28">
        <v>0</v>
      </c>
      <c r="H118" s="189">
        <v>0.3</v>
      </c>
    </row>
    <row r="119" spans="2:8" x14ac:dyDescent="0.25">
      <c r="B119" s="192">
        <v>0.89</v>
      </c>
      <c r="C119" s="28">
        <v>2</v>
      </c>
      <c r="D119" s="28">
        <v>4</v>
      </c>
      <c r="E119" s="28">
        <v>1500</v>
      </c>
      <c r="F119" s="191" t="s">
        <v>183</v>
      </c>
      <c r="G119" s="28">
        <v>0</v>
      </c>
      <c r="H119" s="189">
        <v>0.3</v>
      </c>
    </row>
    <row r="120" spans="2:8" x14ac:dyDescent="0.25">
      <c r="B120" s="192">
        <v>0.9</v>
      </c>
      <c r="C120" s="28">
        <v>2</v>
      </c>
      <c r="D120" s="28">
        <v>4</v>
      </c>
      <c r="E120" s="28">
        <v>1500</v>
      </c>
      <c r="F120" s="191" t="s">
        <v>183</v>
      </c>
      <c r="G120" s="28">
        <v>0</v>
      </c>
      <c r="H120" s="189">
        <v>0.3</v>
      </c>
    </row>
    <row r="121" spans="2:8" x14ac:dyDescent="0.25">
      <c r="B121" s="192">
        <v>0.91</v>
      </c>
      <c r="C121" s="28">
        <v>2</v>
      </c>
      <c r="D121" s="28">
        <v>5</v>
      </c>
      <c r="E121" s="28">
        <v>2000</v>
      </c>
      <c r="F121" s="191" t="s">
        <v>183</v>
      </c>
      <c r="G121" s="28">
        <v>1</v>
      </c>
      <c r="H121" s="189">
        <v>0.35</v>
      </c>
    </row>
    <row r="122" spans="2:8" x14ac:dyDescent="0.25">
      <c r="B122" s="192">
        <v>0.92</v>
      </c>
      <c r="C122" s="28">
        <v>2</v>
      </c>
      <c r="D122" s="28">
        <v>5</v>
      </c>
      <c r="E122" s="28">
        <v>2000</v>
      </c>
      <c r="F122" s="191" t="s">
        <v>183</v>
      </c>
      <c r="G122" s="128" t="s">
        <v>181</v>
      </c>
      <c r="H122" s="189">
        <v>0.35</v>
      </c>
    </row>
    <row r="123" spans="2:8" x14ac:dyDescent="0.25">
      <c r="B123" s="192">
        <v>0.93</v>
      </c>
      <c r="C123" s="28">
        <v>2</v>
      </c>
      <c r="D123" s="28">
        <v>5</v>
      </c>
      <c r="E123" s="28">
        <v>2000</v>
      </c>
      <c r="F123" s="191" t="s">
        <v>183</v>
      </c>
      <c r="G123" s="191" t="s">
        <v>182</v>
      </c>
      <c r="H123" s="189">
        <v>0.35</v>
      </c>
    </row>
    <row r="124" spans="2:8" x14ac:dyDescent="0.25">
      <c r="B124" s="192">
        <v>0.94</v>
      </c>
      <c r="C124" s="28">
        <v>2</v>
      </c>
      <c r="D124" s="28">
        <v>5</v>
      </c>
      <c r="E124" s="28">
        <v>2000</v>
      </c>
      <c r="F124" s="191" t="s">
        <v>183</v>
      </c>
      <c r="G124" s="191" t="s">
        <v>182</v>
      </c>
      <c r="H124" s="189">
        <v>0.35</v>
      </c>
    </row>
    <row r="125" spans="2:8" x14ac:dyDescent="0.25">
      <c r="B125" s="192">
        <v>0.95</v>
      </c>
      <c r="C125" s="28">
        <v>2</v>
      </c>
      <c r="D125" s="28">
        <v>5</v>
      </c>
      <c r="E125" s="28">
        <v>2000</v>
      </c>
      <c r="F125" s="191" t="s">
        <v>183</v>
      </c>
      <c r="G125" s="191" t="s">
        <v>183</v>
      </c>
      <c r="H125" s="189">
        <v>0.35</v>
      </c>
    </row>
    <row r="126" spans="2:8" x14ac:dyDescent="0.25">
      <c r="B126" s="192">
        <v>0.96</v>
      </c>
      <c r="C126" s="28">
        <v>2</v>
      </c>
      <c r="D126" s="28">
        <v>5</v>
      </c>
      <c r="E126" s="28">
        <v>2000</v>
      </c>
      <c r="F126" s="191" t="s">
        <v>183</v>
      </c>
      <c r="G126" s="191" t="s">
        <v>183</v>
      </c>
      <c r="H126" s="189">
        <v>0.35</v>
      </c>
    </row>
    <row r="127" spans="2:8" x14ac:dyDescent="0.25">
      <c r="B127" s="192">
        <v>0.97</v>
      </c>
      <c r="C127" s="28">
        <v>2</v>
      </c>
      <c r="D127" s="28">
        <v>5</v>
      </c>
      <c r="E127" s="28">
        <v>2000</v>
      </c>
      <c r="F127" s="191" t="s">
        <v>183</v>
      </c>
      <c r="G127" s="191" t="s">
        <v>184</v>
      </c>
      <c r="H127" s="189">
        <v>0.35</v>
      </c>
    </row>
    <row r="128" spans="2:8" x14ac:dyDescent="0.25">
      <c r="B128" s="192">
        <v>0.98</v>
      </c>
      <c r="C128" s="28">
        <v>2</v>
      </c>
      <c r="D128" s="28">
        <v>5</v>
      </c>
      <c r="E128" s="28">
        <v>2000</v>
      </c>
      <c r="F128" s="191" t="s">
        <v>183</v>
      </c>
      <c r="G128" s="191" t="s">
        <v>1419</v>
      </c>
      <c r="H128" s="189">
        <v>0.35</v>
      </c>
    </row>
    <row r="129" spans="2:8" x14ac:dyDescent="0.25">
      <c r="B129" s="192">
        <v>0.99</v>
      </c>
      <c r="C129" s="28">
        <v>2</v>
      </c>
      <c r="D129" s="28">
        <v>5</v>
      </c>
      <c r="E129" s="28">
        <v>2000</v>
      </c>
      <c r="F129" s="191" t="s">
        <v>183</v>
      </c>
      <c r="G129" s="191" t="s">
        <v>1420</v>
      </c>
      <c r="H129" s="189">
        <v>0.35</v>
      </c>
    </row>
    <row r="130" spans="2:8" ht="15.75" thickBot="1" x14ac:dyDescent="0.3">
      <c r="B130" s="193">
        <v>1</v>
      </c>
      <c r="C130" s="32">
        <v>3</v>
      </c>
      <c r="D130" s="32">
        <v>6</v>
      </c>
      <c r="E130" s="32">
        <v>3000</v>
      </c>
      <c r="F130" s="194" t="s">
        <v>184</v>
      </c>
      <c r="G130" s="194"/>
      <c r="H130" s="190">
        <v>0.4</v>
      </c>
    </row>
    <row r="131" spans="2:8" ht="15.75" thickBot="1" x14ac:dyDescent="0.3"/>
    <row r="132" spans="2:8" s="42" customFormat="1" ht="15.75" thickBot="1" x14ac:dyDescent="0.3">
      <c r="B132" s="197" t="s">
        <v>165</v>
      </c>
      <c r="C132" s="138" t="s">
        <v>166</v>
      </c>
      <c r="D132" s="138" t="s">
        <v>1423</v>
      </c>
      <c r="E132" s="138" t="s">
        <v>1421</v>
      </c>
      <c r="F132" s="139" t="s">
        <v>1422</v>
      </c>
    </row>
    <row r="133" spans="2:8" x14ac:dyDescent="0.25">
      <c r="B133" s="195">
        <v>1</v>
      </c>
      <c r="C133" s="133">
        <v>0</v>
      </c>
      <c r="D133" s="152">
        <v>0</v>
      </c>
      <c r="E133" s="133">
        <v>0</v>
      </c>
      <c r="F133" s="136">
        <v>0</v>
      </c>
    </row>
    <row r="134" spans="2:8" x14ac:dyDescent="0.25">
      <c r="B134" s="147">
        <v>2</v>
      </c>
      <c r="C134" s="28">
        <v>0</v>
      </c>
      <c r="D134" s="146">
        <v>0</v>
      </c>
      <c r="E134" s="28">
        <v>0</v>
      </c>
      <c r="F134" s="30">
        <v>0</v>
      </c>
    </row>
    <row r="135" spans="2:8" x14ac:dyDescent="0.25">
      <c r="B135" s="147">
        <v>3</v>
      </c>
      <c r="C135" s="28">
        <v>0</v>
      </c>
      <c r="D135" s="146">
        <v>0</v>
      </c>
      <c r="E135" s="28">
        <v>0</v>
      </c>
      <c r="F135" s="30">
        <v>0</v>
      </c>
    </row>
    <row r="136" spans="2:8" x14ac:dyDescent="0.25">
      <c r="B136" s="147">
        <v>4</v>
      </c>
      <c r="C136" s="28">
        <v>0</v>
      </c>
      <c r="D136" s="146">
        <v>0</v>
      </c>
      <c r="E136" s="28">
        <v>0</v>
      </c>
      <c r="F136" s="30">
        <v>0</v>
      </c>
    </row>
    <row r="137" spans="2:8" x14ac:dyDescent="0.25">
      <c r="B137" s="147">
        <v>5</v>
      </c>
      <c r="C137" s="28">
        <v>0</v>
      </c>
      <c r="D137" s="146">
        <v>0</v>
      </c>
      <c r="E137" s="28">
        <v>0</v>
      </c>
      <c r="F137" s="30">
        <v>0</v>
      </c>
    </row>
    <row r="138" spans="2:8" x14ac:dyDescent="0.25">
      <c r="B138" s="147">
        <v>6</v>
      </c>
      <c r="C138" s="28">
        <v>0</v>
      </c>
      <c r="D138" s="146">
        <v>0</v>
      </c>
      <c r="E138" s="28">
        <v>0</v>
      </c>
      <c r="F138" s="30">
        <v>0</v>
      </c>
    </row>
    <row r="139" spans="2:8" x14ac:dyDescent="0.25">
      <c r="B139" s="147">
        <v>7</v>
      </c>
      <c r="C139" s="28">
        <v>0</v>
      </c>
      <c r="D139" s="146">
        <v>0</v>
      </c>
      <c r="E139" s="28">
        <v>0</v>
      </c>
      <c r="F139" s="30">
        <v>0</v>
      </c>
    </row>
    <row r="140" spans="2:8" x14ac:dyDescent="0.25">
      <c r="B140" s="147">
        <v>8</v>
      </c>
      <c r="C140" s="28">
        <v>1</v>
      </c>
      <c r="D140" s="146">
        <v>0</v>
      </c>
      <c r="E140" s="28">
        <v>0</v>
      </c>
      <c r="F140" s="30">
        <v>0</v>
      </c>
    </row>
    <row r="141" spans="2:8" x14ac:dyDescent="0.25">
      <c r="B141" s="147">
        <v>9</v>
      </c>
      <c r="C141" s="28">
        <v>1</v>
      </c>
      <c r="D141" s="146">
        <v>0.35</v>
      </c>
      <c r="E141" s="28">
        <v>4</v>
      </c>
      <c r="F141" s="30">
        <v>6</v>
      </c>
    </row>
    <row r="142" spans="2:8" x14ac:dyDescent="0.25">
      <c r="B142" s="147">
        <v>10</v>
      </c>
      <c r="C142" s="28">
        <v>2</v>
      </c>
      <c r="D142" s="146">
        <v>0.45</v>
      </c>
      <c r="E142" s="28">
        <v>5</v>
      </c>
      <c r="F142" s="30">
        <v>7</v>
      </c>
    </row>
    <row r="143" spans="2:8" x14ac:dyDescent="0.25">
      <c r="B143" s="147">
        <v>11</v>
      </c>
      <c r="C143" s="28">
        <v>2</v>
      </c>
      <c r="D143" s="146">
        <v>0.45</v>
      </c>
      <c r="E143" s="28">
        <v>5</v>
      </c>
      <c r="F143" s="30">
        <v>7</v>
      </c>
    </row>
    <row r="144" spans="2:8" x14ac:dyDescent="0.25">
      <c r="B144" s="147">
        <v>12</v>
      </c>
      <c r="C144" s="28">
        <v>3</v>
      </c>
      <c r="D144" s="146">
        <v>0.45</v>
      </c>
      <c r="E144" s="28">
        <v>5</v>
      </c>
      <c r="F144" s="30">
        <v>7</v>
      </c>
    </row>
    <row r="145" spans="2:12" x14ac:dyDescent="0.25">
      <c r="B145" s="147">
        <v>13</v>
      </c>
      <c r="C145" s="28">
        <v>3</v>
      </c>
      <c r="D145" s="146">
        <v>0.55000000000000004</v>
      </c>
      <c r="E145" s="28">
        <v>6</v>
      </c>
      <c r="F145" s="30">
        <v>9</v>
      </c>
    </row>
    <row r="146" spans="2:12" x14ac:dyDescent="0.25">
      <c r="B146" s="147">
        <v>14</v>
      </c>
      <c r="C146" s="28">
        <v>4</v>
      </c>
      <c r="D146" s="146">
        <v>0.55000000000000004</v>
      </c>
      <c r="E146" s="28">
        <v>6</v>
      </c>
      <c r="F146" s="30">
        <v>9</v>
      </c>
    </row>
    <row r="147" spans="2:12" x14ac:dyDescent="0.25">
      <c r="B147" s="147">
        <v>15</v>
      </c>
      <c r="C147" s="28">
        <v>4</v>
      </c>
      <c r="D147" s="146">
        <v>0.65</v>
      </c>
      <c r="E147" s="28">
        <v>7</v>
      </c>
      <c r="F147" s="30">
        <v>11</v>
      </c>
    </row>
    <row r="148" spans="2:12" x14ac:dyDescent="0.25">
      <c r="B148" s="147">
        <v>16</v>
      </c>
      <c r="C148" s="28">
        <v>5</v>
      </c>
      <c r="D148" s="146">
        <v>0.65</v>
      </c>
      <c r="E148" s="28">
        <v>7</v>
      </c>
      <c r="F148" s="30">
        <v>11</v>
      </c>
    </row>
    <row r="149" spans="2:12" x14ac:dyDescent="0.25">
      <c r="B149" s="147">
        <v>17</v>
      </c>
      <c r="C149" s="28">
        <v>6</v>
      </c>
      <c r="D149" s="146">
        <v>0.75</v>
      </c>
      <c r="E149" s="28">
        <v>8</v>
      </c>
      <c r="F149" s="30">
        <v>14</v>
      </c>
    </row>
    <row r="150" spans="2:12" x14ac:dyDescent="0.25">
      <c r="B150" s="147">
        <v>18</v>
      </c>
      <c r="C150" s="28">
        <v>7</v>
      </c>
      <c r="D150" s="146">
        <v>0.85</v>
      </c>
      <c r="E150" s="28">
        <v>9</v>
      </c>
      <c r="F150" s="30">
        <v>18</v>
      </c>
    </row>
    <row r="151" spans="2:12" x14ac:dyDescent="0.25">
      <c r="B151" s="147">
        <v>19</v>
      </c>
      <c r="C151" s="28">
        <v>8</v>
      </c>
      <c r="D151" s="146">
        <v>0.95</v>
      </c>
      <c r="E151" s="28">
        <v>10</v>
      </c>
      <c r="F151" s="30" t="s">
        <v>1271</v>
      </c>
    </row>
    <row r="152" spans="2:12" x14ac:dyDescent="0.25">
      <c r="B152" s="147">
        <v>20</v>
      </c>
      <c r="C152" s="28">
        <v>9</v>
      </c>
      <c r="D152" s="146">
        <v>0.96</v>
      </c>
      <c r="E152" s="28">
        <v>12</v>
      </c>
      <c r="F152" s="30" t="s">
        <v>1271</v>
      </c>
    </row>
    <row r="153" spans="2:12" x14ac:dyDescent="0.25">
      <c r="B153" s="147">
        <v>21</v>
      </c>
      <c r="C153" s="28">
        <v>10</v>
      </c>
      <c r="D153" s="146">
        <v>0.97</v>
      </c>
      <c r="E153" s="28">
        <v>13</v>
      </c>
      <c r="F153" s="30" t="s">
        <v>1271</v>
      </c>
    </row>
    <row r="154" spans="2:12" x14ac:dyDescent="0.25">
      <c r="B154" s="147">
        <v>22</v>
      </c>
      <c r="C154" s="28">
        <v>11</v>
      </c>
      <c r="D154" s="146">
        <v>0.98</v>
      </c>
      <c r="E154" s="28">
        <v>14</v>
      </c>
      <c r="F154" s="30" t="s">
        <v>1271</v>
      </c>
    </row>
    <row r="155" spans="2:12" x14ac:dyDescent="0.25">
      <c r="B155" s="147">
        <v>23</v>
      </c>
      <c r="C155" s="28">
        <v>12</v>
      </c>
      <c r="D155" s="146">
        <v>0.99</v>
      </c>
      <c r="E155" s="28">
        <v>15</v>
      </c>
      <c r="F155" s="30" t="s">
        <v>1271</v>
      </c>
    </row>
    <row r="156" spans="2:12" x14ac:dyDescent="0.25">
      <c r="B156" s="147">
        <v>24</v>
      </c>
      <c r="C156" s="28">
        <v>15</v>
      </c>
      <c r="D156" s="146">
        <v>1</v>
      </c>
      <c r="E156" s="28">
        <v>16</v>
      </c>
      <c r="F156" s="30" t="s">
        <v>1271</v>
      </c>
    </row>
    <row r="157" spans="2:12" ht="15.75" thickBot="1" x14ac:dyDescent="0.3">
      <c r="B157" s="155">
        <v>25</v>
      </c>
      <c r="C157" s="32">
        <v>20</v>
      </c>
      <c r="D157" s="149">
        <v>1</v>
      </c>
      <c r="E157" s="32">
        <v>17</v>
      </c>
      <c r="F157" s="33" t="s">
        <v>1271</v>
      </c>
    </row>
    <row r="158" spans="2:12" ht="15.75" thickBot="1" x14ac:dyDescent="0.3"/>
    <row r="159" spans="2:12" s="42" customFormat="1" ht="15.75" thickBot="1" x14ac:dyDescent="0.3">
      <c r="B159" s="197" t="s">
        <v>169</v>
      </c>
      <c r="C159" s="138" t="s">
        <v>170</v>
      </c>
      <c r="D159" s="138">
        <v>1</v>
      </c>
      <c r="E159" s="138">
        <v>2</v>
      </c>
      <c r="F159" s="138">
        <v>3</v>
      </c>
      <c r="G159" s="138">
        <v>4</v>
      </c>
      <c r="H159" s="138">
        <v>5</v>
      </c>
      <c r="I159" s="138">
        <v>6</v>
      </c>
      <c r="J159" s="138">
        <v>7</v>
      </c>
      <c r="K159" s="138" t="s">
        <v>50</v>
      </c>
      <c r="L159" s="139" t="s">
        <v>170</v>
      </c>
    </row>
    <row r="160" spans="2:12" x14ac:dyDescent="0.25">
      <c r="B160" s="195">
        <v>1</v>
      </c>
      <c r="C160" s="133">
        <v>-3</v>
      </c>
      <c r="D160" s="133"/>
      <c r="E160" s="133"/>
      <c r="F160" s="133"/>
      <c r="G160" s="133"/>
      <c r="H160" s="133"/>
      <c r="I160" s="133"/>
      <c r="J160" s="133"/>
      <c r="K160" s="152">
        <v>0.2</v>
      </c>
      <c r="L160" s="136">
        <f>+C160*-1</f>
        <v>3</v>
      </c>
    </row>
    <row r="161" spans="2:12" x14ac:dyDescent="0.25">
      <c r="B161" s="147">
        <v>2</v>
      </c>
      <c r="C161" s="28">
        <v>-3</v>
      </c>
      <c r="D161" s="28"/>
      <c r="E161" s="28"/>
      <c r="F161" s="28"/>
      <c r="G161" s="28"/>
      <c r="H161" s="28"/>
      <c r="I161" s="28"/>
      <c r="J161" s="28"/>
      <c r="K161" s="146">
        <v>0.2</v>
      </c>
      <c r="L161" s="30">
        <f t="shared" ref="L161:L176" si="0">+C161*-1</f>
        <v>3</v>
      </c>
    </row>
    <row r="162" spans="2:12" x14ac:dyDescent="0.25">
      <c r="B162" s="147">
        <v>3</v>
      </c>
      <c r="C162" s="28">
        <v>-3</v>
      </c>
      <c r="D162" s="28"/>
      <c r="E162" s="28"/>
      <c r="F162" s="28"/>
      <c r="G162" s="28"/>
      <c r="H162" s="28"/>
      <c r="I162" s="28"/>
      <c r="J162" s="28"/>
      <c r="K162" s="146">
        <v>0.2</v>
      </c>
      <c r="L162" s="30">
        <f t="shared" si="0"/>
        <v>3</v>
      </c>
    </row>
    <row r="163" spans="2:12" x14ac:dyDescent="0.25">
      <c r="B163" s="147">
        <v>4</v>
      </c>
      <c r="C163" s="28">
        <v>-2</v>
      </c>
      <c r="D163" s="28"/>
      <c r="E163" s="28"/>
      <c r="F163" s="28"/>
      <c r="G163" s="28"/>
      <c r="H163" s="28"/>
      <c r="I163" s="28"/>
      <c r="J163" s="28"/>
      <c r="K163" s="146">
        <v>0.2</v>
      </c>
      <c r="L163" s="30">
        <f t="shared" si="0"/>
        <v>2</v>
      </c>
    </row>
    <row r="164" spans="2:12" x14ac:dyDescent="0.25">
      <c r="B164" s="147">
        <v>5</v>
      </c>
      <c r="C164" s="28">
        <v>-1</v>
      </c>
      <c r="D164" s="28"/>
      <c r="E164" s="28"/>
      <c r="F164" s="28"/>
      <c r="G164" s="28"/>
      <c r="H164" s="28"/>
      <c r="I164" s="28"/>
      <c r="J164" s="28"/>
      <c r="K164" s="146">
        <v>0.2</v>
      </c>
      <c r="L164" s="30">
        <f t="shared" si="0"/>
        <v>1</v>
      </c>
    </row>
    <row r="165" spans="2:12" x14ac:dyDescent="0.25">
      <c r="B165" s="147">
        <v>6</v>
      </c>
      <c r="C165" s="28">
        <v>-1</v>
      </c>
      <c r="D165" s="28"/>
      <c r="E165" s="28"/>
      <c r="F165" s="28"/>
      <c r="G165" s="28"/>
      <c r="H165" s="28"/>
      <c r="I165" s="28"/>
      <c r="J165" s="28"/>
      <c r="K165" s="146">
        <v>0.2</v>
      </c>
      <c r="L165" s="30">
        <f t="shared" si="0"/>
        <v>1</v>
      </c>
    </row>
    <row r="166" spans="2:12" x14ac:dyDescent="0.25">
      <c r="B166" s="147">
        <v>7</v>
      </c>
      <c r="C166" s="28">
        <v>-1</v>
      </c>
      <c r="D166" s="28"/>
      <c r="E166" s="28"/>
      <c r="F166" s="28"/>
      <c r="G166" s="28"/>
      <c r="H166" s="28"/>
      <c r="I166" s="28"/>
      <c r="J166" s="28"/>
      <c r="K166" s="146">
        <v>0.2</v>
      </c>
      <c r="L166" s="30">
        <f t="shared" si="0"/>
        <v>1</v>
      </c>
    </row>
    <row r="167" spans="2:12" x14ac:dyDescent="0.25">
      <c r="B167" s="147">
        <v>8</v>
      </c>
      <c r="C167" s="28">
        <v>0</v>
      </c>
      <c r="D167" s="28"/>
      <c r="E167" s="28"/>
      <c r="F167" s="28"/>
      <c r="G167" s="28"/>
      <c r="H167" s="28"/>
      <c r="I167" s="28"/>
      <c r="J167" s="28"/>
      <c r="K167" s="146">
        <v>0.2</v>
      </c>
      <c r="L167" s="30">
        <f t="shared" si="0"/>
        <v>0</v>
      </c>
    </row>
    <row r="168" spans="2:12" x14ac:dyDescent="0.25">
      <c r="B168" s="147">
        <v>9</v>
      </c>
      <c r="C168" s="28">
        <v>0</v>
      </c>
      <c r="D168" s="28"/>
      <c r="E168" s="28"/>
      <c r="F168" s="28"/>
      <c r="G168" s="28"/>
      <c r="H168" s="28"/>
      <c r="I168" s="28"/>
      <c r="J168" s="28"/>
      <c r="K168" s="146">
        <v>0.2</v>
      </c>
      <c r="L168" s="30">
        <f t="shared" si="0"/>
        <v>0</v>
      </c>
    </row>
    <row r="169" spans="2:12" x14ac:dyDescent="0.25">
      <c r="B169" s="147">
        <v>10</v>
      </c>
      <c r="C169" s="28">
        <v>0</v>
      </c>
      <c r="D169" s="28"/>
      <c r="E169" s="28"/>
      <c r="F169" s="28"/>
      <c r="G169" s="28"/>
      <c r="H169" s="28"/>
      <c r="I169" s="28"/>
      <c r="J169" s="28"/>
      <c r="K169" s="146">
        <v>0.15</v>
      </c>
      <c r="L169" s="30">
        <f t="shared" si="0"/>
        <v>0</v>
      </c>
    </row>
    <row r="170" spans="2:12" x14ac:dyDescent="0.25">
      <c r="B170" s="147">
        <v>11</v>
      </c>
      <c r="C170" s="28">
        <v>0</v>
      </c>
      <c r="D170" s="28"/>
      <c r="E170" s="28"/>
      <c r="F170" s="28"/>
      <c r="G170" s="28"/>
      <c r="H170" s="28"/>
      <c r="I170" s="28"/>
      <c r="J170" s="28"/>
      <c r="K170" s="146">
        <v>0.1</v>
      </c>
      <c r="L170" s="30">
        <f t="shared" si="0"/>
        <v>0</v>
      </c>
    </row>
    <row r="171" spans="2:12" x14ac:dyDescent="0.25">
      <c r="B171" s="147">
        <v>12</v>
      </c>
      <c r="C171" s="28">
        <v>0</v>
      </c>
      <c r="D171" s="28"/>
      <c r="E171" s="28"/>
      <c r="F171" s="28"/>
      <c r="G171" s="28"/>
      <c r="H171" s="28"/>
      <c r="I171" s="28"/>
      <c r="J171" s="28"/>
      <c r="K171" s="146">
        <v>0.05</v>
      </c>
      <c r="L171" s="30">
        <f t="shared" si="0"/>
        <v>0</v>
      </c>
    </row>
    <row r="172" spans="2:12" x14ac:dyDescent="0.25">
      <c r="B172" s="147">
        <v>13</v>
      </c>
      <c r="C172" s="28">
        <v>0</v>
      </c>
      <c r="D172" s="28">
        <v>1</v>
      </c>
      <c r="E172" s="28"/>
      <c r="F172" s="28"/>
      <c r="G172" s="28"/>
      <c r="H172" s="28"/>
      <c r="I172" s="28"/>
      <c r="J172" s="28"/>
      <c r="K172" s="146">
        <v>0</v>
      </c>
      <c r="L172" s="30">
        <f t="shared" si="0"/>
        <v>0</v>
      </c>
    </row>
    <row r="173" spans="2:12" x14ac:dyDescent="0.25">
      <c r="B173" s="147">
        <v>14</v>
      </c>
      <c r="C173" s="28">
        <v>0</v>
      </c>
      <c r="D173" s="28">
        <v>2</v>
      </c>
      <c r="E173" s="28"/>
      <c r="F173" s="28"/>
      <c r="G173" s="28"/>
      <c r="H173" s="28"/>
      <c r="I173" s="28"/>
      <c r="J173" s="28"/>
      <c r="K173" s="146">
        <v>0</v>
      </c>
      <c r="L173" s="30">
        <f t="shared" si="0"/>
        <v>0</v>
      </c>
    </row>
    <row r="174" spans="2:12" x14ac:dyDescent="0.25">
      <c r="B174" s="147">
        <v>15</v>
      </c>
      <c r="C174" s="28">
        <v>1</v>
      </c>
      <c r="D174" s="28">
        <v>2</v>
      </c>
      <c r="E174" s="28">
        <v>1</v>
      </c>
      <c r="F174" s="28"/>
      <c r="G174" s="28"/>
      <c r="H174" s="28"/>
      <c r="I174" s="28"/>
      <c r="J174" s="28"/>
      <c r="K174" s="146">
        <v>0</v>
      </c>
      <c r="L174" s="30">
        <f t="shared" si="0"/>
        <v>-1</v>
      </c>
    </row>
    <row r="175" spans="2:12" x14ac:dyDescent="0.25">
      <c r="B175" s="147">
        <v>16</v>
      </c>
      <c r="C175" s="28">
        <v>2</v>
      </c>
      <c r="D175" s="28">
        <v>2</v>
      </c>
      <c r="E175" s="28">
        <v>2</v>
      </c>
      <c r="F175" s="28"/>
      <c r="G175" s="28"/>
      <c r="H175" s="28"/>
      <c r="I175" s="28"/>
      <c r="J175" s="28"/>
      <c r="K175" s="146">
        <v>0</v>
      </c>
      <c r="L175" s="30">
        <f t="shared" si="0"/>
        <v>-2</v>
      </c>
    </row>
    <row r="176" spans="2:12" x14ac:dyDescent="0.25">
      <c r="B176" s="147">
        <v>17</v>
      </c>
      <c r="C176" s="28">
        <v>3</v>
      </c>
      <c r="D176" s="28">
        <v>2</v>
      </c>
      <c r="E176" s="28">
        <v>2</v>
      </c>
      <c r="F176" s="28">
        <v>1</v>
      </c>
      <c r="G176" s="28"/>
      <c r="H176" s="28"/>
      <c r="I176" s="28"/>
      <c r="J176" s="28"/>
      <c r="K176" s="146">
        <v>0</v>
      </c>
      <c r="L176" s="30">
        <f t="shared" si="0"/>
        <v>-3</v>
      </c>
    </row>
    <row r="177" spans="2:13" x14ac:dyDescent="0.25">
      <c r="B177" s="147">
        <v>18</v>
      </c>
      <c r="C177" s="28">
        <v>4</v>
      </c>
      <c r="D177" s="28">
        <v>2</v>
      </c>
      <c r="E177" s="28">
        <v>2</v>
      </c>
      <c r="F177" s="28">
        <v>2</v>
      </c>
      <c r="G177" s="28">
        <v>1</v>
      </c>
      <c r="H177" s="28"/>
      <c r="I177" s="28"/>
      <c r="J177" s="28"/>
      <c r="K177" s="146">
        <v>0</v>
      </c>
      <c r="L177" s="30">
        <f t="shared" ref="L177:L184" si="1">+C177*-1</f>
        <v>-4</v>
      </c>
    </row>
    <row r="178" spans="2:13" x14ac:dyDescent="0.25">
      <c r="B178" s="147">
        <v>19</v>
      </c>
      <c r="C178" s="28">
        <v>4</v>
      </c>
      <c r="D178" s="28">
        <v>3</v>
      </c>
      <c r="E178" s="28">
        <v>2</v>
      </c>
      <c r="F178" s="28">
        <v>2</v>
      </c>
      <c r="G178" s="28">
        <v>2</v>
      </c>
      <c r="H178" s="28"/>
      <c r="I178" s="28"/>
      <c r="J178" s="28"/>
      <c r="K178" s="146">
        <v>0</v>
      </c>
      <c r="L178" s="30">
        <f t="shared" si="1"/>
        <v>-4</v>
      </c>
    </row>
    <row r="179" spans="2:13" x14ac:dyDescent="0.25">
      <c r="B179" s="147">
        <v>20</v>
      </c>
      <c r="C179" s="28">
        <v>4</v>
      </c>
      <c r="D179" s="28">
        <v>3</v>
      </c>
      <c r="E179" s="28">
        <v>3</v>
      </c>
      <c r="F179" s="28">
        <v>2</v>
      </c>
      <c r="G179" s="28">
        <v>3</v>
      </c>
      <c r="H179" s="28"/>
      <c r="I179" s="28"/>
      <c r="J179" s="28"/>
      <c r="K179" s="146">
        <v>0</v>
      </c>
      <c r="L179" s="30">
        <f t="shared" si="1"/>
        <v>-4</v>
      </c>
    </row>
    <row r="180" spans="2:13" x14ac:dyDescent="0.25">
      <c r="B180" s="147">
        <v>21</v>
      </c>
      <c r="C180" s="28">
        <v>4</v>
      </c>
      <c r="D180" s="28">
        <v>3</v>
      </c>
      <c r="E180" s="28">
        <v>3</v>
      </c>
      <c r="F180" s="28">
        <v>3</v>
      </c>
      <c r="G180" s="28">
        <v>3</v>
      </c>
      <c r="H180" s="28">
        <v>1</v>
      </c>
      <c r="I180" s="28"/>
      <c r="J180" s="28"/>
      <c r="K180" s="146">
        <v>0</v>
      </c>
      <c r="L180" s="30">
        <f t="shared" si="1"/>
        <v>-4</v>
      </c>
    </row>
    <row r="181" spans="2:13" x14ac:dyDescent="0.25">
      <c r="B181" s="147">
        <v>22</v>
      </c>
      <c r="C181" s="28">
        <v>4</v>
      </c>
      <c r="D181" s="28">
        <v>3</v>
      </c>
      <c r="E181" s="28">
        <v>3</v>
      </c>
      <c r="F181" s="28">
        <v>3</v>
      </c>
      <c r="G181" s="28">
        <v>4</v>
      </c>
      <c r="H181" s="28">
        <v>2</v>
      </c>
      <c r="I181" s="28"/>
      <c r="J181" s="28"/>
      <c r="K181" s="146">
        <v>0</v>
      </c>
      <c r="L181" s="30">
        <f t="shared" si="1"/>
        <v>-4</v>
      </c>
    </row>
    <row r="182" spans="2:13" x14ac:dyDescent="0.25">
      <c r="B182" s="147">
        <v>23</v>
      </c>
      <c r="C182" s="28">
        <v>4</v>
      </c>
      <c r="D182" s="28">
        <v>3</v>
      </c>
      <c r="E182" s="28">
        <v>3</v>
      </c>
      <c r="F182" s="28">
        <v>3</v>
      </c>
      <c r="G182" s="28">
        <v>4</v>
      </c>
      <c r="H182" s="28">
        <v>5</v>
      </c>
      <c r="I182" s="28"/>
      <c r="J182" s="28"/>
      <c r="K182" s="146">
        <v>0</v>
      </c>
      <c r="L182" s="30">
        <f t="shared" si="1"/>
        <v>-4</v>
      </c>
    </row>
    <row r="183" spans="2:13" x14ac:dyDescent="0.25">
      <c r="B183" s="147">
        <v>24</v>
      </c>
      <c r="C183" s="28">
        <v>4</v>
      </c>
      <c r="D183" s="28">
        <v>3</v>
      </c>
      <c r="E183" s="28">
        <v>3</v>
      </c>
      <c r="F183" s="28">
        <v>3</v>
      </c>
      <c r="G183" s="28">
        <v>4</v>
      </c>
      <c r="H183" s="28">
        <v>5</v>
      </c>
      <c r="I183" s="28">
        <v>2</v>
      </c>
      <c r="J183" s="28"/>
      <c r="K183" s="146">
        <v>0</v>
      </c>
      <c r="L183" s="30">
        <f t="shared" si="1"/>
        <v>-4</v>
      </c>
    </row>
    <row r="184" spans="2:13" ht="15.75" thickBot="1" x14ac:dyDescent="0.3">
      <c r="B184" s="155">
        <v>25</v>
      </c>
      <c r="C184" s="32">
        <v>4</v>
      </c>
      <c r="D184" s="32">
        <v>3</v>
      </c>
      <c r="E184" s="32">
        <v>3</v>
      </c>
      <c r="F184" s="32">
        <v>3</v>
      </c>
      <c r="G184" s="32">
        <v>4</v>
      </c>
      <c r="H184" s="32">
        <v>5</v>
      </c>
      <c r="I184" s="32">
        <v>3</v>
      </c>
      <c r="J184" s="32">
        <v>1</v>
      </c>
      <c r="K184" s="149">
        <v>0</v>
      </c>
      <c r="L184" s="33">
        <f t="shared" si="1"/>
        <v>-4</v>
      </c>
    </row>
    <row r="185" spans="2:13" ht="15.75" thickBot="1" x14ac:dyDescent="0.3"/>
    <row r="186" spans="2:13" s="42" customFormat="1" ht="60.75" thickBot="1" x14ac:dyDescent="0.3">
      <c r="B186" s="205" t="s">
        <v>171</v>
      </c>
      <c r="C186" s="206" t="s">
        <v>53</v>
      </c>
      <c r="D186" s="206" t="s">
        <v>1424</v>
      </c>
      <c r="E186" s="206" t="s">
        <v>23</v>
      </c>
      <c r="F186" s="206" t="s">
        <v>1475</v>
      </c>
      <c r="G186" s="206" t="s">
        <v>25</v>
      </c>
      <c r="H186" s="207" t="s">
        <v>228</v>
      </c>
      <c r="I186" s="207" t="s">
        <v>229</v>
      </c>
      <c r="J186" s="208" t="s">
        <v>230</v>
      </c>
      <c r="K186" s="207" t="s">
        <v>26</v>
      </c>
      <c r="L186" s="207" t="s">
        <v>27</v>
      </c>
      <c r="M186" s="208" t="s">
        <v>1549</v>
      </c>
    </row>
    <row r="187" spans="2:13" x14ac:dyDescent="0.25">
      <c r="B187" s="188">
        <v>1</v>
      </c>
      <c r="C187" s="46">
        <v>-3</v>
      </c>
      <c r="D187" s="46">
        <v>-3</v>
      </c>
      <c r="E187" s="46">
        <v>4</v>
      </c>
      <c r="F187" s="209">
        <v>-0.15</v>
      </c>
      <c r="G187" s="209">
        <v>-0.1</v>
      </c>
      <c r="H187" s="209">
        <v>-0.1</v>
      </c>
      <c r="I187" s="209">
        <v>-0.2</v>
      </c>
      <c r="J187" s="209">
        <v>-0.1</v>
      </c>
      <c r="K187" s="210"/>
      <c r="L187" s="210"/>
      <c r="M187" s="211"/>
    </row>
    <row r="188" spans="2:13" x14ac:dyDescent="0.25">
      <c r="B188" s="147">
        <v>2</v>
      </c>
      <c r="C188" s="28">
        <v>-3</v>
      </c>
      <c r="D188" s="28">
        <v>-3</v>
      </c>
      <c r="E188" s="28">
        <v>4</v>
      </c>
      <c r="F188" s="146">
        <v>-0.15</v>
      </c>
      <c r="G188" s="146">
        <v>-0.1</v>
      </c>
      <c r="H188" s="146">
        <v>-0.1</v>
      </c>
      <c r="I188" s="146">
        <v>-0.2</v>
      </c>
      <c r="J188" s="146">
        <v>-0.1</v>
      </c>
      <c r="K188" s="90"/>
      <c r="L188" s="90"/>
      <c r="M188" s="148"/>
    </row>
    <row r="189" spans="2:13" x14ac:dyDescent="0.25">
      <c r="B189" s="147">
        <v>3</v>
      </c>
      <c r="C189" s="28">
        <v>-3</v>
      </c>
      <c r="D189" s="28">
        <v>-3</v>
      </c>
      <c r="E189" s="28">
        <v>4</v>
      </c>
      <c r="F189" s="146">
        <v>-0.15</v>
      </c>
      <c r="G189" s="146">
        <v>-0.1</v>
      </c>
      <c r="H189" s="146">
        <v>-0.1</v>
      </c>
      <c r="I189" s="146">
        <v>-0.2</v>
      </c>
      <c r="J189" s="146">
        <v>-0.1</v>
      </c>
      <c r="K189" s="90"/>
      <c r="L189" s="90"/>
      <c r="M189" s="148"/>
    </row>
    <row r="190" spans="2:13" x14ac:dyDescent="0.25">
      <c r="B190" s="147">
        <v>4</v>
      </c>
      <c r="C190" s="28">
        <v>-2</v>
      </c>
      <c r="D190" s="28">
        <v>-2</v>
      </c>
      <c r="E190" s="28">
        <v>3</v>
      </c>
      <c r="F190" s="146">
        <v>-0.15</v>
      </c>
      <c r="G190" s="146">
        <v>-0.1</v>
      </c>
      <c r="H190" s="146">
        <v>-0.1</v>
      </c>
      <c r="I190" s="146">
        <v>-0.2</v>
      </c>
      <c r="J190" s="146">
        <v>-0.1</v>
      </c>
      <c r="K190" s="90"/>
      <c r="L190" s="90"/>
      <c r="M190" s="148"/>
    </row>
    <row r="191" spans="2:13" x14ac:dyDescent="0.25">
      <c r="B191" s="147">
        <v>5</v>
      </c>
      <c r="C191" s="28">
        <v>-1</v>
      </c>
      <c r="D191" s="28">
        <v>-1</v>
      </c>
      <c r="E191" s="28">
        <v>2</v>
      </c>
      <c r="F191" s="146">
        <v>-0.15</v>
      </c>
      <c r="G191" s="146">
        <v>-0.1</v>
      </c>
      <c r="H191" s="146">
        <v>-0.1</v>
      </c>
      <c r="I191" s="146">
        <v>-0.2</v>
      </c>
      <c r="J191" s="146">
        <v>-0.1</v>
      </c>
      <c r="K191" s="90"/>
      <c r="L191" s="90"/>
      <c r="M191" s="148"/>
    </row>
    <row r="192" spans="2:13" x14ac:dyDescent="0.25">
      <c r="B192" s="147">
        <v>6</v>
      </c>
      <c r="C192" s="28">
        <v>0</v>
      </c>
      <c r="D192" s="28">
        <v>0</v>
      </c>
      <c r="E192" s="28">
        <v>1</v>
      </c>
      <c r="F192" s="146">
        <v>-0.15</v>
      </c>
      <c r="G192" s="146">
        <v>-0.1</v>
      </c>
      <c r="H192" s="146">
        <v>-0.1</v>
      </c>
      <c r="I192" s="146">
        <v>-0.2</v>
      </c>
      <c r="J192" s="146">
        <v>-0.1</v>
      </c>
      <c r="K192" s="90"/>
      <c r="L192" s="90"/>
      <c r="M192" s="148"/>
    </row>
    <row r="193" spans="2:13" x14ac:dyDescent="0.25">
      <c r="B193" s="147">
        <v>7</v>
      </c>
      <c r="C193" s="28">
        <v>0</v>
      </c>
      <c r="D193" s="28">
        <v>0</v>
      </c>
      <c r="E193" s="28">
        <v>0</v>
      </c>
      <c r="F193" s="146">
        <v>-0.15</v>
      </c>
      <c r="G193" s="146">
        <v>-0.1</v>
      </c>
      <c r="H193" s="146">
        <v>-0.1</v>
      </c>
      <c r="I193" s="146">
        <v>-0.2</v>
      </c>
      <c r="J193" s="146">
        <v>-0.1</v>
      </c>
      <c r="K193" s="90"/>
      <c r="L193" s="90"/>
      <c r="M193" s="148"/>
    </row>
    <row r="194" spans="2:13" x14ac:dyDescent="0.25">
      <c r="B194" s="147">
        <v>8</v>
      </c>
      <c r="C194" s="28">
        <v>0</v>
      </c>
      <c r="D194" s="28">
        <v>0</v>
      </c>
      <c r="E194" s="28">
        <v>0</v>
      </c>
      <c r="F194" s="146">
        <v>-0.15</v>
      </c>
      <c r="G194" s="146">
        <v>-0.1</v>
      </c>
      <c r="H194" s="146">
        <v>-0.1</v>
      </c>
      <c r="I194" s="146">
        <v>-0.2</v>
      </c>
      <c r="J194" s="146">
        <v>-0.1</v>
      </c>
      <c r="K194" s="90"/>
      <c r="L194" s="90"/>
      <c r="M194" s="148"/>
    </row>
    <row r="195" spans="2:13" x14ac:dyDescent="0.25">
      <c r="B195" s="147">
        <v>9</v>
      </c>
      <c r="C195" s="28">
        <v>0</v>
      </c>
      <c r="D195" s="28">
        <v>0</v>
      </c>
      <c r="E195" s="28">
        <v>0</v>
      </c>
      <c r="F195" s="146">
        <v>-0.15</v>
      </c>
      <c r="G195" s="146">
        <v>-0.1</v>
      </c>
      <c r="H195" s="146">
        <v>-0.1</v>
      </c>
      <c r="I195" s="146">
        <v>-0.2</v>
      </c>
      <c r="J195" s="146">
        <v>-0.1</v>
      </c>
      <c r="K195" s="90"/>
      <c r="L195" s="90"/>
      <c r="M195" s="148"/>
    </row>
    <row r="196" spans="2:13" x14ac:dyDescent="0.25">
      <c r="B196" s="147">
        <v>10</v>
      </c>
      <c r="C196" s="28">
        <v>0</v>
      </c>
      <c r="D196" s="28">
        <v>0</v>
      </c>
      <c r="E196" s="28">
        <v>0</v>
      </c>
      <c r="F196" s="146">
        <v>-0.1</v>
      </c>
      <c r="G196" s="146">
        <v>-0.05</v>
      </c>
      <c r="H196" s="146">
        <v>-0.1</v>
      </c>
      <c r="I196" s="146">
        <v>-0.15</v>
      </c>
      <c r="J196" s="146">
        <v>0.05</v>
      </c>
      <c r="K196" s="90"/>
      <c r="L196" s="90"/>
      <c r="M196" s="148"/>
    </row>
    <row r="197" spans="2:13" x14ac:dyDescent="0.25">
      <c r="B197" s="147">
        <v>11</v>
      </c>
      <c r="C197" s="28">
        <v>0</v>
      </c>
      <c r="D197" s="28">
        <v>0</v>
      </c>
      <c r="E197" s="28">
        <v>0</v>
      </c>
      <c r="F197" s="146">
        <v>-0.05</v>
      </c>
      <c r="G197" s="146">
        <v>0</v>
      </c>
      <c r="H197" s="146">
        <v>-0.05</v>
      </c>
      <c r="I197" s="146">
        <v>-0.1</v>
      </c>
      <c r="J197" s="146">
        <v>0</v>
      </c>
      <c r="K197" s="90"/>
      <c r="L197" s="90"/>
      <c r="M197" s="148"/>
    </row>
    <row r="198" spans="2:13" x14ac:dyDescent="0.25">
      <c r="B198" s="147">
        <v>12</v>
      </c>
      <c r="C198" s="28">
        <v>0</v>
      </c>
      <c r="D198" s="28">
        <v>0</v>
      </c>
      <c r="E198" s="28">
        <v>0</v>
      </c>
      <c r="F198" s="146">
        <v>0</v>
      </c>
      <c r="G198" s="146">
        <v>0</v>
      </c>
      <c r="H198" s="146">
        <v>0</v>
      </c>
      <c r="I198" s="146">
        <v>-0.05</v>
      </c>
      <c r="J198" s="146">
        <v>0</v>
      </c>
      <c r="K198" s="90"/>
      <c r="L198" s="90"/>
      <c r="M198" s="148"/>
    </row>
    <row r="199" spans="2:13" x14ac:dyDescent="0.25">
      <c r="B199" s="147">
        <v>13</v>
      </c>
      <c r="C199" s="28">
        <v>0</v>
      </c>
      <c r="D199" s="28">
        <v>0</v>
      </c>
      <c r="E199" s="28">
        <v>0</v>
      </c>
      <c r="F199" s="146">
        <v>0</v>
      </c>
      <c r="G199" s="146">
        <v>0</v>
      </c>
      <c r="H199" s="146">
        <v>0</v>
      </c>
      <c r="I199" s="146">
        <v>0</v>
      </c>
      <c r="J199" s="146">
        <v>0</v>
      </c>
      <c r="K199" s="90"/>
      <c r="L199" s="90"/>
      <c r="M199" s="148"/>
    </row>
    <row r="200" spans="2:13" x14ac:dyDescent="0.25">
      <c r="B200" s="147">
        <v>14</v>
      </c>
      <c r="C200" s="28">
        <v>0</v>
      </c>
      <c r="D200" s="28">
        <v>0</v>
      </c>
      <c r="E200" s="28">
        <v>0</v>
      </c>
      <c r="F200" s="146">
        <v>0</v>
      </c>
      <c r="G200" s="146">
        <v>0</v>
      </c>
      <c r="H200" s="146">
        <v>0</v>
      </c>
      <c r="I200" s="146">
        <v>0</v>
      </c>
      <c r="J200" s="146">
        <v>0</v>
      </c>
      <c r="K200" s="90"/>
      <c r="L200" s="90"/>
      <c r="M200" s="148"/>
    </row>
    <row r="201" spans="2:13" x14ac:dyDescent="0.25">
      <c r="B201" s="147">
        <v>15</v>
      </c>
      <c r="C201" s="28">
        <v>0</v>
      </c>
      <c r="D201" s="28">
        <v>0</v>
      </c>
      <c r="E201" s="28">
        <v>-1</v>
      </c>
      <c r="F201" s="146">
        <v>0</v>
      </c>
      <c r="G201" s="146">
        <v>0</v>
      </c>
      <c r="H201" s="146">
        <v>0</v>
      </c>
      <c r="I201" s="146">
        <v>0</v>
      </c>
      <c r="J201" s="146">
        <v>0</v>
      </c>
      <c r="K201" s="90"/>
      <c r="L201" s="90"/>
      <c r="M201" s="148"/>
    </row>
    <row r="202" spans="2:13" x14ac:dyDescent="0.25">
      <c r="B202" s="147">
        <v>16</v>
      </c>
      <c r="C202" s="28">
        <v>1</v>
      </c>
      <c r="D202" s="28">
        <v>1</v>
      </c>
      <c r="E202" s="28">
        <v>-2</v>
      </c>
      <c r="F202" s="146">
        <v>0</v>
      </c>
      <c r="G202" s="146">
        <v>0.05</v>
      </c>
      <c r="H202" s="146">
        <v>0</v>
      </c>
      <c r="I202" s="146">
        <v>0</v>
      </c>
      <c r="J202" s="146">
        <v>0</v>
      </c>
      <c r="K202" s="90"/>
      <c r="L202" s="90"/>
      <c r="M202" s="148"/>
    </row>
    <row r="203" spans="2:13" x14ac:dyDescent="0.25">
      <c r="B203" s="147">
        <v>17</v>
      </c>
      <c r="C203" s="28">
        <v>2</v>
      </c>
      <c r="D203" s="28">
        <v>2</v>
      </c>
      <c r="E203" s="28">
        <v>-3</v>
      </c>
      <c r="F203" s="146">
        <v>0.05</v>
      </c>
      <c r="G203" s="146">
        <v>0.1</v>
      </c>
      <c r="H203" s="146">
        <v>0</v>
      </c>
      <c r="I203" s="146">
        <v>0.05</v>
      </c>
      <c r="J203" s="146">
        <v>0.05</v>
      </c>
      <c r="K203" s="90"/>
      <c r="L203" s="90"/>
      <c r="M203" s="148"/>
    </row>
    <row r="204" spans="2:13" x14ac:dyDescent="0.25">
      <c r="B204" s="147">
        <v>18</v>
      </c>
      <c r="C204" s="28">
        <v>3</v>
      </c>
      <c r="D204" s="28">
        <v>3</v>
      </c>
      <c r="E204" s="28">
        <v>-4</v>
      </c>
      <c r="F204" s="146">
        <v>0.1</v>
      </c>
      <c r="G204" s="146">
        <v>0.15</v>
      </c>
      <c r="H204" s="146">
        <v>0.05</v>
      </c>
      <c r="I204" s="146">
        <v>0.1</v>
      </c>
      <c r="J204" s="146">
        <v>0.1</v>
      </c>
      <c r="K204" s="90"/>
      <c r="L204" s="90"/>
      <c r="M204" s="148"/>
    </row>
    <row r="205" spans="2:13" x14ac:dyDescent="0.25">
      <c r="B205" s="147">
        <v>19</v>
      </c>
      <c r="C205" s="28">
        <v>3</v>
      </c>
      <c r="D205" s="28">
        <v>3</v>
      </c>
      <c r="E205" s="28">
        <v>-4</v>
      </c>
      <c r="F205" s="146">
        <v>0.15</v>
      </c>
      <c r="G205" s="146">
        <v>0.2</v>
      </c>
      <c r="H205" s="146">
        <v>0.1</v>
      </c>
      <c r="I205" s="146">
        <v>0.12</v>
      </c>
      <c r="J205" s="146">
        <v>0.12</v>
      </c>
      <c r="K205" s="90"/>
      <c r="L205" s="90"/>
      <c r="M205" s="148"/>
    </row>
    <row r="206" spans="2:13" x14ac:dyDescent="0.25">
      <c r="B206" s="147">
        <v>20</v>
      </c>
      <c r="C206" s="28">
        <v>3</v>
      </c>
      <c r="D206" s="28">
        <v>3</v>
      </c>
      <c r="E206" s="28">
        <v>-4</v>
      </c>
      <c r="F206" s="146">
        <v>0.2</v>
      </c>
      <c r="G206" s="146">
        <v>0.25</v>
      </c>
      <c r="H206" s="146">
        <v>0.15</v>
      </c>
      <c r="I206" s="146">
        <v>0.15</v>
      </c>
      <c r="J206" s="146">
        <v>0.15</v>
      </c>
      <c r="K206" s="90"/>
      <c r="L206" s="90"/>
      <c r="M206" s="148"/>
    </row>
    <row r="207" spans="2:13" x14ac:dyDescent="0.25">
      <c r="B207" s="147">
        <v>21</v>
      </c>
      <c r="C207" s="28">
        <v>4</v>
      </c>
      <c r="D207" s="28">
        <v>4</v>
      </c>
      <c r="E207" s="28">
        <v>-5</v>
      </c>
      <c r="F207" s="146">
        <v>0.25</v>
      </c>
      <c r="G207" s="146">
        <v>0.3</v>
      </c>
      <c r="H207" s="146">
        <v>0.2</v>
      </c>
      <c r="I207" s="146">
        <v>0.18</v>
      </c>
      <c r="J207" s="146">
        <v>0.18</v>
      </c>
      <c r="K207" s="90"/>
      <c r="L207" s="90"/>
      <c r="M207" s="148"/>
    </row>
    <row r="208" spans="2:13" x14ac:dyDescent="0.25">
      <c r="B208" s="147">
        <v>22</v>
      </c>
      <c r="C208" s="28">
        <v>4</v>
      </c>
      <c r="D208" s="28">
        <v>4</v>
      </c>
      <c r="E208" s="28">
        <v>-5</v>
      </c>
      <c r="F208" s="146">
        <v>0.3</v>
      </c>
      <c r="G208" s="146">
        <v>0.35</v>
      </c>
      <c r="H208" s="146">
        <v>0.25</v>
      </c>
      <c r="I208" s="146">
        <v>0.2</v>
      </c>
      <c r="J208" s="146">
        <v>0.2</v>
      </c>
      <c r="K208" s="90"/>
      <c r="L208" s="90"/>
      <c r="M208" s="148"/>
    </row>
    <row r="209" spans="2:13" x14ac:dyDescent="0.25">
      <c r="B209" s="147">
        <v>23</v>
      </c>
      <c r="C209" s="28">
        <v>4</v>
      </c>
      <c r="D209" s="28">
        <v>4</v>
      </c>
      <c r="E209" s="28">
        <v>-5</v>
      </c>
      <c r="F209" s="146">
        <v>0.35</v>
      </c>
      <c r="G209" s="146">
        <v>0.4</v>
      </c>
      <c r="H209" s="146">
        <v>0.3</v>
      </c>
      <c r="I209" s="146">
        <v>0.23</v>
      </c>
      <c r="J209" s="146">
        <v>0.23</v>
      </c>
      <c r="K209" s="90"/>
      <c r="L209" s="90"/>
      <c r="M209" s="148"/>
    </row>
    <row r="210" spans="2:13" x14ac:dyDescent="0.25">
      <c r="B210" s="147">
        <v>24</v>
      </c>
      <c r="C210" s="28">
        <v>5</v>
      </c>
      <c r="D210" s="28">
        <v>5</v>
      </c>
      <c r="E210" s="28">
        <v>-6</v>
      </c>
      <c r="F210" s="146">
        <v>0.4</v>
      </c>
      <c r="G210" s="146">
        <v>0.45</v>
      </c>
      <c r="H210" s="146">
        <v>0.35</v>
      </c>
      <c r="I210" s="146">
        <v>0.25</v>
      </c>
      <c r="J210" s="146">
        <v>0.25</v>
      </c>
      <c r="K210" s="90"/>
      <c r="L210" s="90"/>
      <c r="M210" s="148"/>
    </row>
    <row r="211" spans="2:13" ht="15.75" thickBot="1" x14ac:dyDescent="0.3">
      <c r="B211" s="155">
        <v>25</v>
      </c>
      <c r="C211" s="32">
        <v>5</v>
      </c>
      <c r="D211" s="32">
        <v>5</v>
      </c>
      <c r="E211" s="32">
        <v>-6</v>
      </c>
      <c r="F211" s="149">
        <v>0.45</v>
      </c>
      <c r="G211" s="149">
        <v>0.5</v>
      </c>
      <c r="H211" s="149">
        <v>0.4</v>
      </c>
      <c r="I211" s="149">
        <v>0.3</v>
      </c>
      <c r="J211" s="149">
        <v>0.3</v>
      </c>
      <c r="K211" s="150"/>
      <c r="L211" s="150"/>
      <c r="M211" s="151"/>
    </row>
    <row r="212" spans="2:13" ht="15.75" thickBot="1" x14ac:dyDescent="0.3"/>
    <row r="213" spans="2:13" s="42" customFormat="1" ht="15.75" thickBot="1" x14ac:dyDescent="0.3">
      <c r="B213" s="197" t="s">
        <v>172</v>
      </c>
      <c r="C213" s="138" t="s">
        <v>173</v>
      </c>
      <c r="D213" s="138" t="s">
        <v>1425</v>
      </c>
      <c r="E213" s="138" t="s">
        <v>174</v>
      </c>
      <c r="F213" s="138" t="s">
        <v>175</v>
      </c>
      <c r="G213" s="139" t="s">
        <v>1857</v>
      </c>
    </row>
    <row r="214" spans="2:13" x14ac:dyDescent="0.25">
      <c r="B214" s="195">
        <v>1</v>
      </c>
      <c r="C214" s="133">
        <v>-2</v>
      </c>
      <c r="D214" s="133">
        <v>-2</v>
      </c>
      <c r="E214" s="152">
        <v>0.35</v>
      </c>
      <c r="F214" s="152">
        <v>0.4</v>
      </c>
      <c r="G214" s="136">
        <v>0</v>
      </c>
    </row>
    <row r="215" spans="2:13" x14ac:dyDescent="0.25">
      <c r="B215" s="147">
        <v>2</v>
      </c>
      <c r="C215" s="28">
        <v>-2</v>
      </c>
      <c r="D215" s="28">
        <v>-2</v>
      </c>
      <c r="E215" s="146">
        <v>0.35</v>
      </c>
      <c r="F215" s="146">
        <v>0.4</v>
      </c>
      <c r="G215" s="30">
        <v>0</v>
      </c>
    </row>
    <row r="216" spans="2:13" x14ac:dyDescent="0.25">
      <c r="B216" s="147">
        <v>3</v>
      </c>
      <c r="C216" s="28">
        <v>-2</v>
      </c>
      <c r="D216" s="28">
        <v>-2</v>
      </c>
      <c r="E216" s="146">
        <v>0.35</v>
      </c>
      <c r="F216" s="146">
        <v>0.4</v>
      </c>
      <c r="G216" s="30">
        <v>0</v>
      </c>
    </row>
    <row r="217" spans="2:13" x14ac:dyDescent="0.25">
      <c r="B217" s="147">
        <v>4</v>
      </c>
      <c r="C217" s="28">
        <v>-1</v>
      </c>
      <c r="D217" s="28">
        <v>-1</v>
      </c>
      <c r="E217" s="146">
        <v>0.4</v>
      </c>
      <c r="F217" s="146">
        <v>0.45</v>
      </c>
      <c r="G217" s="30">
        <v>0</v>
      </c>
    </row>
    <row r="218" spans="2:13" x14ac:dyDescent="0.25">
      <c r="B218" s="147">
        <v>5</v>
      </c>
      <c r="C218" s="28">
        <v>-1</v>
      </c>
      <c r="D218" s="28">
        <v>-1</v>
      </c>
      <c r="E218" s="146">
        <v>0.45</v>
      </c>
      <c r="F218" s="146">
        <v>0.5</v>
      </c>
      <c r="G218" s="30">
        <v>0</v>
      </c>
    </row>
    <row r="219" spans="2:13" x14ac:dyDescent="0.25">
      <c r="B219" s="147">
        <v>6</v>
      </c>
      <c r="C219" s="28">
        <v>-1</v>
      </c>
      <c r="D219" s="28">
        <v>-1</v>
      </c>
      <c r="E219" s="146">
        <v>0.5</v>
      </c>
      <c r="F219" s="146">
        <v>0.55000000000000004</v>
      </c>
      <c r="G219" s="30">
        <v>0</v>
      </c>
    </row>
    <row r="220" spans="2:13" x14ac:dyDescent="0.25">
      <c r="B220" s="147">
        <v>7</v>
      </c>
      <c r="C220" s="28">
        <v>0</v>
      </c>
      <c r="D220" s="28">
        <v>0</v>
      </c>
      <c r="E220" s="146">
        <v>0.55000000000000004</v>
      </c>
      <c r="F220" s="146">
        <v>0.6</v>
      </c>
      <c r="G220" s="30">
        <v>0</v>
      </c>
    </row>
    <row r="221" spans="2:13" x14ac:dyDescent="0.25">
      <c r="B221" s="147">
        <v>8</v>
      </c>
      <c r="C221" s="28">
        <v>0</v>
      </c>
      <c r="D221" s="28">
        <v>0</v>
      </c>
      <c r="E221" s="146">
        <v>0.6</v>
      </c>
      <c r="F221" s="146">
        <v>0.65</v>
      </c>
      <c r="G221" s="30">
        <v>0</v>
      </c>
    </row>
    <row r="222" spans="2:13" x14ac:dyDescent="0.25">
      <c r="B222" s="147">
        <v>9</v>
      </c>
      <c r="C222" s="28">
        <v>0</v>
      </c>
      <c r="D222" s="28">
        <v>0</v>
      </c>
      <c r="E222" s="146">
        <v>0.65</v>
      </c>
      <c r="F222" s="146">
        <v>0.7</v>
      </c>
      <c r="G222" s="30">
        <v>0</v>
      </c>
    </row>
    <row r="223" spans="2:13" x14ac:dyDescent="0.25">
      <c r="B223" s="147">
        <v>10</v>
      </c>
      <c r="C223" s="28">
        <v>0</v>
      </c>
      <c r="D223" s="28">
        <v>0</v>
      </c>
      <c r="E223" s="146">
        <v>0.7</v>
      </c>
      <c r="F223" s="146">
        <v>0.75</v>
      </c>
      <c r="G223" s="30">
        <v>0</v>
      </c>
    </row>
    <row r="224" spans="2:13" x14ac:dyDescent="0.25">
      <c r="B224" s="147">
        <v>11</v>
      </c>
      <c r="C224" s="28">
        <v>0</v>
      </c>
      <c r="D224" s="28">
        <v>0</v>
      </c>
      <c r="E224" s="146">
        <v>0.75</v>
      </c>
      <c r="F224" s="146">
        <v>0.8</v>
      </c>
      <c r="G224" s="30">
        <v>0</v>
      </c>
    </row>
    <row r="225" spans="2:7" x14ac:dyDescent="0.25">
      <c r="B225" s="147">
        <v>12</v>
      </c>
      <c r="C225" s="28">
        <v>0</v>
      </c>
      <c r="D225" s="28">
        <v>0</v>
      </c>
      <c r="E225" s="146">
        <v>0.8</v>
      </c>
      <c r="F225" s="146">
        <v>0.85</v>
      </c>
      <c r="G225" s="30">
        <v>0</v>
      </c>
    </row>
    <row r="226" spans="2:7" x14ac:dyDescent="0.25">
      <c r="B226" s="147">
        <v>13</v>
      </c>
      <c r="C226" s="28">
        <v>0</v>
      </c>
      <c r="D226" s="28">
        <v>0</v>
      </c>
      <c r="E226" s="146">
        <v>0.85</v>
      </c>
      <c r="F226" s="146">
        <v>0.9</v>
      </c>
      <c r="G226" s="30">
        <v>0</v>
      </c>
    </row>
    <row r="227" spans="2:7" x14ac:dyDescent="0.25">
      <c r="B227" s="147">
        <v>14</v>
      </c>
      <c r="C227" s="28">
        <v>0</v>
      </c>
      <c r="D227" s="28">
        <v>0</v>
      </c>
      <c r="E227" s="146">
        <v>0.88</v>
      </c>
      <c r="F227" s="146">
        <v>0.92</v>
      </c>
      <c r="G227" s="30">
        <v>0</v>
      </c>
    </row>
    <row r="228" spans="2:7" x14ac:dyDescent="0.25">
      <c r="B228" s="147">
        <v>15</v>
      </c>
      <c r="C228" s="28">
        <v>1</v>
      </c>
      <c r="D228" s="28">
        <v>1</v>
      </c>
      <c r="E228" s="146">
        <v>0.91</v>
      </c>
      <c r="F228" s="146">
        <v>0.94</v>
      </c>
      <c r="G228" s="30">
        <v>0</v>
      </c>
    </row>
    <row r="229" spans="2:7" x14ac:dyDescent="0.25">
      <c r="B229" s="147">
        <v>16</v>
      </c>
      <c r="C229" s="28">
        <v>2</v>
      </c>
      <c r="D229" s="28">
        <v>2</v>
      </c>
      <c r="E229" s="146">
        <v>0.95</v>
      </c>
      <c r="F229" s="146">
        <v>0.96</v>
      </c>
      <c r="G229" s="30">
        <v>0</v>
      </c>
    </row>
    <row r="230" spans="2:7" x14ac:dyDescent="0.25">
      <c r="B230" s="147">
        <v>17</v>
      </c>
      <c r="C230" s="28">
        <v>2</v>
      </c>
      <c r="D230" s="28">
        <v>3</v>
      </c>
      <c r="E230" s="146">
        <v>0.97</v>
      </c>
      <c r="F230" s="146">
        <v>0.98</v>
      </c>
      <c r="G230" s="30">
        <v>0</v>
      </c>
    </row>
    <row r="231" spans="2:7" x14ac:dyDescent="0.25">
      <c r="B231" s="147">
        <v>18</v>
      </c>
      <c r="C231" s="28">
        <v>2</v>
      </c>
      <c r="D231" s="28">
        <v>4</v>
      </c>
      <c r="E231" s="146">
        <v>0.99</v>
      </c>
      <c r="F231" s="146">
        <v>1</v>
      </c>
      <c r="G231" s="30">
        <v>0</v>
      </c>
    </row>
    <row r="232" spans="2:7" x14ac:dyDescent="0.25">
      <c r="B232" s="147">
        <v>19</v>
      </c>
      <c r="C232" s="28">
        <v>2</v>
      </c>
      <c r="D232" s="28">
        <v>5</v>
      </c>
      <c r="E232" s="146">
        <v>1</v>
      </c>
      <c r="F232" s="146">
        <v>1</v>
      </c>
      <c r="G232" s="30">
        <v>-1</v>
      </c>
    </row>
    <row r="233" spans="2:7" x14ac:dyDescent="0.25">
      <c r="B233" s="147">
        <v>20</v>
      </c>
      <c r="C233" s="28">
        <v>2</v>
      </c>
      <c r="D233" s="28">
        <v>5</v>
      </c>
      <c r="E233" s="146">
        <v>1</v>
      </c>
      <c r="F233" s="146">
        <v>1</v>
      </c>
      <c r="G233" s="30">
        <v>-1</v>
      </c>
    </row>
    <row r="234" spans="2:7" x14ac:dyDescent="0.25">
      <c r="B234" s="147">
        <v>21</v>
      </c>
      <c r="C234" s="28">
        <v>2</v>
      </c>
      <c r="D234" s="28">
        <v>6</v>
      </c>
      <c r="E234" s="146">
        <v>1</v>
      </c>
      <c r="F234" s="146">
        <v>1</v>
      </c>
      <c r="G234" s="30">
        <v>-2</v>
      </c>
    </row>
    <row r="235" spans="2:7" x14ac:dyDescent="0.25">
      <c r="B235" s="147">
        <v>22</v>
      </c>
      <c r="C235" s="28">
        <v>2</v>
      </c>
      <c r="D235" s="28">
        <v>6</v>
      </c>
      <c r="E235" s="146">
        <v>1</v>
      </c>
      <c r="F235" s="146">
        <v>1</v>
      </c>
      <c r="G235" s="30">
        <v>-2</v>
      </c>
    </row>
    <row r="236" spans="2:7" x14ac:dyDescent="0.25">
      <c r="B236" s="147">
        <v>23</v>
      </c>
      <c r="C236" s="28">
        <v>2</v>
      </c>
      <c r="D236" s="28">
        <v>6</v>
      </c>
      <c r="E236" s="146">
        <v>1</v>
      </c>
      <c r="F236" s="146">
        <v>1</v>
      </c>
      <c r="G236" s="30">
        <v>-3</v>
      </c>
    </row>
    <row r="237" spans="2:7" x14ac:dyDescent="0.25">
      <c r="B237" s="147">
        <v>24</v>
      </c>
      <c r="C237" s="28">
        <v>2</v>
      </c>
      <c r="D237" s="28">
        <v>7</v>
      </c>
      <c r="E237" s="146">
        <v>1</v>
      </c>
      <c r="F237" s="146">
        <v>1</v>
      </c>
      <c r="G237" s="30">
        <v>-3</v>
      </c>
    </row>
    <row r="238" spans="2:7" ht="15.75" thickBot="1" x14ac:dyDescent="0.3">
      <c r="B238" s="155">
        <v>25</v>
      </c>
      <c r="C238" s="32">
        <v>2</v>
      </c>
      <c r="D238" s="32">
        <v>7</v>
      </c>
      <c r="E238" s="149">
        <v>1</v>
      </c>
      <c r="F238" s="149">
        <v>1</v>
      </c>
      <c r="G238" s="33">
        <v>-4</v>
      </c>
    </row>
    <row r="239" spans="2:7" ht="15.75" thickBot="1" x14ac:dyDescent="0.3"/>
    <row r="240" spans="2:7" s="42" customFormat="1" ht="15.75" thickBot="1" x14ac:dyDescent="0.3">
      <c r="B240" s="197" t="s">
        <v>176</v>
      </c>
      <c r="C240" s="138" t="s">
        <v>177</v>
      </c>
      <c r="D240" s="138" t="s">
        <v>60</v>
      </c>
      <c r="E240" s="139" t="s">
        <v>178</v>
      </c>
    </row>
    <row r="241" spans="2:5" x14ac:dyDescent="0.25">
      <c r="B241" s="195">
        <v>1</v>
      </c>
      <c r="C241" s="133">
        <v>1</v>
      </c>
      <c r="D241" s="152">
        <v>-0.3</v>
      </c>
      <c r="E241" s="196">
        <v>-0.25</v>
      </c>
    </row>
    <row r="242" spans="2:5" x14ac:dyDescent="0.25">
      <c r="B242" s="147">
        <v>2</v>
      </c>
      <c r="C242" s="28">
        <v>1</v>
      </c>
      <c r="D242" s="146">
        <v>-0.3</v>
      </c>
      <c r="E242" s="189">
        <v>-0.25</v>
      </c>
    </row>
    <row r="243" spans="2:5" x14ac:dyDescent="0.25">
      <c r="B243" s="147">
        <v>3</v>
      </c>
      <c r="C243" s="28">
        <v>1</v>
      </c>
      <c r="D243" s="146">
        <v>-0.3</v>
      </c>
      <c r="E243" s="189">
        <v>-0.25</v>
      </c>
    </row>
    <row r="244" spans="2:5" x14ac:dyDescent="0.25">
      <c r="B244" s="147">
        <v>4</v>
      </c>
      <c r="C244" s="28">
        <v>1</v>
      </c>
      <c r="D244" s="146">
        <v>-0.25</v>
      </c>
      <c r="E244" s="189">
        <v>-0.2</v>
      </c>
    </row>
    <row r="245" spans="2:5" x14ac:dyDescent="0.25">
      <c r="B245" s="147">
        <v>5</v>
      </c>
      <c r="C245" s="28">
        <v>2</v>
      </c>
      <c r="D245" s="146">
        <v>-0.2</v>
      </c>
      <c r="E245" s="189">
        <v>-0.15</v>
      </c>
    </row>
    <row r="246" spans="2:5" x14ac:dyDescent="0.25">
      <c r="B246" s="147">
        <v>6</v>
      </c>
      <c r="C246" s="28">
        <v>2</v>
      </c>
      <c r="D246" s="146">
        <v>-0.15</v>
      </c>
      <c r="E246" s="189">
        <v>-0.1</v>
      </c>
    </row>
    <row r="247" spans="2:5" x14ac:dyDescent="0.25">
      <c r="B247" s="147">
        <v>7</v>
      </c>
      <c r="C247" s="28">
        <v>3</v>
      </c>
      <c r="D247" s="146">
        <v>-0.1</v>
      </c>
      <c r="E247" s="189">
        <v>-0.05</v>
      </c>
    </row>
    <row r="248" spans="2:5" x14ac:dyDescent="0.25">
      <c r="B248" s="147">
        <v>8</v>
      </c>
      <c r="C248" s="28">
        <v>3</v>
      </c>
      <c r="D248" s="146">
        <v>-0.05</v>
      </c>
      <c r="E248" s="189">
        <v>0</v>
      </c>
    </row>
    <row r="249" spans="2:5" x14ac:dyDescent="0.25">
      <c r="B249" s="147">
        <v>9</v>
      </c>
      <c r="C249" s="28">
        <v>4</v>
      </c>
      <c r="D249" s="146">
        <v>0</v>
      </c>
      <c r="E249" s="189">
        <v>0</v>
      </c>
    </row>
    <row r="250" spans="2:5" x14ac:dyDescent="0.25">
      <c r="B250" s="147">
        <v>10</v>
      </c>
      <c r="C250" s="28">
        <v>4</v>
      </c>
      <c r="D250" s="146">
        <v>0</v>
      </c>
      <c r="E250" s="189">
        <v>0</v>
      </c>
    </row>
    <row r="251" spans="2:5" x14ac:dyDescent="0.25">
      <c r="B251" s="147">
        <v>11</v>
      </c>
      <c r="C251" s="28">
        <v>4</v>
      </c>
      <c r="D251" s="146">
        <v>0</v>
      </c>
      <c r="E251" s="189">
        <v>0</v>
      </c>
    </row>
    <row r="252" spans="2:5" x14ac:dyDescent="0.25">
      <c r="B252" s="147">
        <v>12</v>
      </c>
      <c r="C252" s="28">
        <v>5</v>
      </c>
      <c r="D252" s="146">
        <v>0</v>
      </c>
      <c r="E252" s="189">
        <v>0</v>
      </c>
    </row>
    <row r="253" spans="2:5" x14ac:dyDescent="0.25">
      <c r="B253" s="147">
        <v>13</v>
      </c>
      <c r="C253" s="28">
        <v>5</v>
      </c>
      <c r="D253" s="146">
        <v>0</v>
      </c>
      <c r="E253" s="189">
        <v>0.05</v>
      </c>
    </row>
    <row r="254" spans="2:5" x14ac:dyDescent="0.25">
      <c r="B254" s="147">
        <v>14</v>
      </c>
      <c r="C254" s="28">
        <v>6</v>
      </c>
      <c r="D254" s="146">
        <v>0.05</v>
      </c>
      <c r="E254" s="189">
        <v>0.1</v>
      </c>
    </row>
    <row r="255" spans="2:5" x14ac:dyDescent="0.25">
      <c r="B255" s="147">
        <v>15</v>
      </c>
      <c r="C255" s="28">
        <v>7</v>
      </c>
      <c r="D255" s="146">
        <v>0.15</v>
      </c>
      <c r="E255" s="189">
        <v>0.15</v>
      </c>
    </row>
    <row r="256" spans="2:5" x14ac:dyDescent="0.25">
      <c r="B256" s="147">
        <v>16</v>
      </c>
      <c r="C256" s="28">
        <v>8</v>
      </c>
      <c r="D256" s="146">
        <v>0.2</v>
      </c>
      <c r="E256" s="189">
        <v>0.25</v>
      </c>
    </row>
    <row r="257" spans="2:5" x14ac:dyDescent="0.25">
      <c r="B257" s="147">
        <v>17</v>
      </c>
      <c r="C257" s="28">
        <v>10</v>
      </c>
      <c r="D257" s="146">
        <v>0.3</v>
      </c>
      <c r="E257" s="189">
        <v>0.3</v>
      </c>
    </row>
    <row r="258" spans="2:5" x14ac:dyDescent="0.25">
      <c r="B258" s="147">
        <v>18</v>
      </c>
      <c r="C258" s="28">
        <v>15</v>
      </c>
      <c r="D258" s="146">
        <v>0.4</v>
      </c>
      <c r="E258" s="189">
        <v>0.35</v>
      </c>
    </row>
    <row r="259" spans="2:5" x14ac:dyDescent="0.25">
      <c r="B259" s="147">
        <v>19</v>
      </c>
      <c r="C259" s="28">
        <v>20</v>
      </c>
      <c r="D259" s="146">
        <v>0.5</v>
      </c>
      <c r="E259" s="189">
        <v>0.4</v>
      </c>
    </row>
    <row r="260" spans="2:5" x14ac:dyDescent="0.25">
      <c r="B260" s="147">
        <v>20</v>
      </c>
      <c r="C260" s="28">
        <v>25</v>
      </c>
      <c r="D260" s="146">
        <v>0.6</v>
      </c>
      <c r="E260" s="189">
        <v>0.45</v>
      </c>
    </row>
    <row r="261" spans="2:5" x14ac:dyDescent="0.25">
      <c r="B261" s="147">
        <v>21</v>
      </c>
      <c r="C261" s="28">
        <v>30</v>
      </c>
      <c r="D261" s="146">
        <v>0.7</v>
      </c>
      <c r="E261" s="189">
        <v>0.5</v>
      </c>
    </row>
    <row r="262" spans="2:5" x14ac:dyDescent="0.25">
      <c r="B262" s="147">
        <v>22</v>
      </c>
      <c r="C262" s="28">
        <v>35</v>
      </c>
      <c r="D262" s="146">
        <v>0.8</v>
      </c>
      <c r="E262" s="189">
        <v>0.55000000000000004</v>
      </c>
    </row>
    <row r="263" spans="2:5" x14ac:dyDescent="0.25">
      <c r="B263" s="147">
        <v>23</v>
      </c>
      <c r="C263" s="28">
        <v>40</v>
      </c>
      <c r="D263" s="146">
        <v>0.9</v>
      </c>
      <c r="E263" s="189">
        <v>0.6</v>
      </c>
    </row>
    <row r="264" spans="2:5" x14ac:dyDescent="0.25">
      <c r="B264" s="147">
        <v>24</v>
      </c>
      <c r="C264" s="28">
        <v>45</v>
      </c>
      <c r="D264" s="146">
        <v>1</v>
      </c>
      <c r="E264" s="189">
        <v>0.65</v>
      </c>
    </row>
    <row r="265" spans="2:5" ht="15.75" thickBot="1" x14ac:dyDescent="0.3">
      <c r="B265" s="155">
        <v>25</v>
      </c>
      <c r="C265" s="32">
        <v>50</v>
      </c>
      <c r="D265" s="149">
        <v>1</v>
      </c>
      <c r="E265" s="190">
        <v>0.7</v>
      </c>
    </row>
    <row r="268" spans="2:5" x14ac:dyDescent="0.25">
      <c r="B268" s="27"/>
    </row>
    <row r="269" spans="2:5" x14ac:dyDescent="0.25">
      <c r="B269" s="27"/>
    </row>
    <row r="270" spans="2:5" x14ac:dyDescent="0.25">
      <c r="B270" s="27"/>
    </row>
    <row r="271" spans="2:5" x14ac:dyDescent="0.25">
      <c r="B271" s="27"/>
    </row>
    <row r="272" spans="2:5" x14ac:dyDescent="0.25">
      <c r="B272" s="27"/>
    </row>
    <row r="273" spans="2:2" x14ac:dyDescent="0.25">
      <c r="B273" s="27"/>
    </row>
    <row r="274" spans="2:2" x14ac:dyDescent="0.25">
      <c r="B274" s="27"/>
    </row>
    <row r="275" spans="2:2" x14ac:dyDescent="0.25">
      <c r="B275" s="27"/>
    </row>
    <row r="276" spans="2:2" x14ac:dyDescent="0.25">
      <c r="B276" s="27"/>
    </row>
    <row r="277" spans="2:2" x14ac:dyDescent="0.25">
      <c r="B277" s="27"/>
    </row>
    <row r="278" spans="2:2" x14ac:dyDescent="0.25">
      <c r="B278" s="27"/>
    </row>
    <row r="279" spans="2:2" x14ac:dyDescent="0.25">
      <c r="B279" s="27"/>
    </row>
    <row r="280" spans="2:2" x14ac:dyDescent="0.25">
      <c r="B280" s="27"/>
    </row>
    <row r="281" spans="2:2" x14ac:dyDescent="0.25">
      <c r="B281" s="27"/>
    </row>
    <row r="282" spans="2:2" x14ac:dyDescent="0.25">
      <c r="B282" s="27"/>
    </row>
    <row r="283" spans="2:2" x14ac:dyDescent="0.25">
      <c r="B283" s="27"/>
    </row>
    <row r="284" spans="2:2" x14ac:dyDescent="0.25">
      <c r="B284" s="27"/>
    </row>
    <row r="285" spans="2:2" x14ac:dyDescent="0.25">
      <c r="B285" s="27"/>
    </row>
    <row r="286" spans="2:2" x14ac:dyDescent="0.25">
      <c r="B286" s="27"/>
    </row>
    <row r="287" spans="2:2" x14ac:dyDescent="0.25">
      <c r="B287" s="27"/>
    </row>
    <row r="288" spans="2:2" x14ac:dyDescent="0.25">
      <c r="B288" s="27"/>
    </row>
    <row r="289" spans="2:2" x14ac:dyDescent="0.25">
      <c r="B289" s="27"/>
    </row>
    <row r="290" spans="2:2" x14ac:dyDescent="0.25">
      <c r="B290" s="27"/>
    </row>
    <row r="291" spans="2:2" x14ac:dyDescent="0.25">
      <c r="B291" s="27"/>
    </row>
    <row r="292" spans="2:2" x14ac:dyDescent="0.25">
      <c r="B292" s="27"/>
    </row>
    <row r="293" spans="2:2" x14ac:dyDescent="0.25">
      <c r="B293" s="27"/>
    </row>
    <row r="294" spans="2:2" x14ac:dyDescent="0.25">
      <c r="B294" s="27"/>
    </row>
    <row r="295" spans="2:2" x14ac:dyDescent="0.25">
      <c r="B295" s="27"/>
    </row>
    <row r="296" spans="2:2" x14ac:dyDescent="0.25">
      <c r="B296" s="27"/>
    </row>
    <row r="297" spans="2:2" x14ac:dyDescent="0.25">
      <c r="B297" s="27"/>
    </row>
    <row r="298" spans="2:2" x14ac:dyDescent="0.25">
      <c r="B298" s="27"/>
    </row>
    <row r="299" spans="2:2" x14ac:dyDescent="0.25">
      <c r="B299" s="27"/>
    </row>
    <row r="300" spans="2:2" x14ac:dyDescent="0.25">
      <c r="B300" s="27"/>
    </row>
    <row r="301" spans="2:2" x14ac:dyDescent="0.25">
      <c r="B301" s="27"/>
    </row>
    <row r="302" spans="2:2" x14ac:dyDescent="0.25">
      <c r="B302" s="27"/>
    </row>
    <row r="303" spans="2:2" x14ac:dyDescent="0.25">
      <c r="B303" s="27"/>
    </row>
    <row r="304" spans="2:2" x14ac:dyDescent="0.25">
      <c r="B304" s="27"/>
    </row>
    <row r="305" spans="2:2" x14ac:dyDescent="0.25">
      <c r="B305" s="27"/>
    </row>
  </sheetDat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D134EF-9401-43E5-B129-449195B21EC4}">
  <sheetPr>
    <tabColor rgb="FF7030A0"/>
  </sheetPr>
  <dimension ref="A2:AF191"/>
  <sheetViews>
    <sheetView topLeftCell="B1" zoomScale="85" zoomScaleNormal="85" workbookViewId="0">
      <selection activeCell="D12" sqref="D12"/>
    </sheetView>
  </sheetViews>
  <sheetFormatPr baseColWidth="10" defaultRowHeight="15" outlineLevelCol="1" x14ac:dyDescent="0.25"/>
  <cols>
    <col min="1" max="1" width="11.42578125" style="212"/>
    <col min="2" max="2" width="28.42578125" style="323" customWidth="1"/>
    <col min="3" max="13" width="11.7109375" style="27" customWidth="1"/>
    <col min="14" max="20" width="11.7109375" style="27" hidden="1" customWidth="1" outlineLevel="1"/>
    <col min="21" max="23" width="11.42578125" style="27" hidden="1" customWidth="1" outlineLevel="1"/>
    <col min="24" max="24" width="11.42578125" style="212" hidden="1" customWidth="1" outlineLevel="1"/>
    <col min="25" max="25" width="11.42578125" style="212" collapsed="1"/>
    <col min="26" max="16384" width="11.42578125" style="212"/>
  </cols>
  <sheetData>
    <row r="2" spans="2:23" ht="15.75" thickBot="1" x14ac:dyDescent="0.3"/>
    <row r="3" spans="2:23" s="223" customFormat="1" ht="45.75" thickBot="1" x14ac:dyDescent="0.3">
      <c r="B3" s="229" t="s">
        <v>17</v>
      </c>
      <c r="C3" s="203" t="s">
        <v>249</v>
      </c>
      <c r="D3" s="198" t="s">
        <v>38</v>
      </c>
      <c r="E3" s="221" t="s">
        <v>23</v>
      </c>
      <c r="F3" s="203" t="s">
        <v>1518</v>
      </c>
      <c r="G3" s="198" t="s">
        <v>25</v>
      </c>
      <c r="H3" s="198" t="s">
        <v>1548</v>
      </c>
      <c r="I3" s="198" t="s">
        <v>1520</v>
      </c>
      <c r="J3" s="198" t="s">
        <v>1523</v>
      </c>
      <c r="K3" s="198" t="s">
        <v>26</v>
      </c>
      <c r="L3" s="198" t="s">
        <v>27</v>
      </c>
      <c r="M3" s="198" t="s">
        <v>1549</v>
      </c>
      <c r="N3" s="199" t="s">
        <v>185</v>
      </c>
      <c r="O3" s="444"/>
      <c r="P3" s="444"/>
      <c r="Q3" s="444"/>
      <c r="R3" s="444"/>
      <c r="S3" s="444"/>
      <c r="T3" s="444"/>
      <c r="U3" s="444"/>
      <c r="V3" s="444"/>
      <c r="W3" s="444"/>
    </row>
    <row r="4" spans="2:23" x14ac:dyDescent="0.25">
      <c r="B4" s="324" t="s">
        <v>185</v>
      </c>
      <c r="C4" s="176"/>
      <c r="D4" s="133">
        <v>36</v>
      </c>
      <c r="E4" s="173">
        <v>10</v>
      </c>
      <c r="F4" s="224">
        <v>0.05</v>
      </c>
      <c r="G4" s="225">
        <v>0</v>
      </c>
      <c r="H4" s="225">
        <v>0</v>
      </c>
      <c r="I4" s="225">
        <v>0.1</v>
      </c>
      <c r="J4" s="225">
        <v>0.05</v>
      </c>
      <c r="K4" s="225">
        <v>0</v>
      </c>
      <c r="L4" s="225">
        <v>0.1</v>
      </c>
      <c r="M4" s="225">
        <v>0</v>
      </c>
      <c r="N4" s="226">
        <v>0</v>
      </c>
    </row>
    <row r="5" spans="2:23" x14ac:dyDescent="0.25">
      <c r="B5" s="325" t="s">
        <v>1827</v>
      </c>
      <c r="C5" s="179" t="s">
        <v>235</v>
      </c>
      <c r="D5" s="28">
        <v>36</v>
      </c>
      <c r="E5" s="36">
        <v>10</v>
      </c>
      <c r="F5" s="224">
        <v>0.05</v>
      </c>
      <c r="G5" s="225">
        <v>0</v>
      </c>
      <c r="H5" s="225">
        <v>0</v>
      </c>
      <c r="I5" s="225">
        <v>0.1</v>
      </c>
      <c r="J5" s="225">
        <v>0.05</v>
      </c>
      <c r="K5" s="225">
        <v>0</v>
      </c>
      <c r="L5" s="225">
        <v>0.1</v>
      </c>
      <c r="M5" s="225">
        <v>0</v>
      </c>
      <c r="N5" s="226">
        <v>0</v>
      </c>
    </row>
    <row r="6" spans="2:23" x14ac:dyDescent="0.25">
      <c r="B6" s="325" t="s">
        <v>1820</v>
      </c>
      <c r="C6" s="179" t="s">
        <v>188</v>
      </c>
      <c r="D6" s="28">
        <v>30</v>
      </c>
      <c r="E6" s="36">
        <v>8</v>
      </c>
      <c r="F6" s="224">
        <v>0</v>
      </c>
      <c r="G6" s="225">
        <v>0</v>
      </c>
      <c r="H6" s="225">
        <v>0</v>
      </c>
      <c r="I6" s="225">
        <v>0</v>
      </c>
      <c r="J6" s="225">
        <v>0</v>
      </c>
      <c r="K6" s="225">
        <v>0</v>
      </c>
      <c r="L6" s="225">
        <v>0</v>
      </c>
      <c r="M6" s="225">
        <v>0</v>
      </c>
      <c r="N6" s="226">
        <v>0</v>
      </c>
    </row>
    <row r="7" spans="2:23" x14ac:dyDescent="0.25">
      <c r="B7" s="325" t="s">
        <v>1821</v>
      </c>
      <c r="C7" s="179"/>
      <c r="D7" s="28">
        <v>27</v>
      </c>
      <c r="E7" s="36">
        <v>7</v>
      </c>
      <c r="F7" s="224">
        <v>-0.3</v>
      </c>
      <c r="G7" s="225">
        <v>-0.1</v>
      </c>
      <c r="H7" s="225">
        <v>-0.1</v>
      </c>
      <c r="I7" s="225">
        <v>-0.2</v>
      </c>
      <c r="J7" s="225">
        <v>-0.2</v>
      </c>
      <c r="K7" s="225">
        <v>-0.1</v>
      </c>
      <c r="L7" s="225">
        <v>-0.3</v>
      </c>
      <c r="M7" s="225">
        <v>0</v>
      </c>
      <c r="N7" s="226">
        <v>0</v>
      </c>
    </row>
    <row r="8" spans="2:23" x14ac:dyDescent="0.25">
      <c r="B8" s="325" t="s">
        <v>186</v>
      </c>
      <c r="C8" s="179" t="s">
        <v>188</v>
      </c>
      <c r="D8" s="28">
        <v>27</v>
      </c>
      <c r="E8" s="36">
        <v>6</v>
      </c>
      <c r="F8" s="224">
        <v>-0.3</v>
      </c>
      <c r="G8" s="225">
        <v>-0.1</v>
      </c>
      <c r="H8" s="225">
        <v>-0.1</v>
      </c>
      <c r="I8" s="225">
        <v>-0.2</v>
      </c>
      <c r="J8" s="225">
        <v>-0.2</v>
      </c>
      <c r="K8" s="225">
        <v>-0.1</v>
      </c>
      <c r="L8" s="225">
        <v>-0.3</v>
      </c>
      <c r="M8" s="225">
        <v>0</v>
      </c>
      <c r="N8" s="226">
        <v>0</v>
      </c>
    </row>
    <row r="9" spans="2:23" x14ac:dyDescent="0.25">
      <c r="B9" s="325" t="s">
        <v>1822</v>
      </c>
      <c r="C9" s="179" t="s">
        <v>187</v>
      </c>
      <c r="D9" s="28">
        <v>27</v>
      </c>
      <c r="E9" s="36">
        <v>5</v>
      </c>
      <c r="F9" s="224">
        <v>-1</v>
      </c>
      <c r="G9" s="225">
        <v>-1</v>
      </c>
      <c r="H9" s="225">
        <v>-1</v>
      </c>
      <c r="I9" s="225">
        <v>-1</v>
      </c>
      <c r="J9" s="225">
        <v>-1</v>
      </c>
      <c r="K9" s="225">
        <v>-1</v>
      </c>
      <c r="L9" s="225">
        <v>-1</v>
      </c>
      <c r="M9" s="225">
        <v>0</v>
      </c>
      <c r="N9" s="226">
        <v>0</v>
      </c>
    </row>
    <row r="10" spans="2:23" x14ac:dyDescent="0.25">
      <c r="B10" s="325" t="s">
        <v>1823</v>
      </c>
      <c r="C10" s="179" t="s">
        <v>187</v>
      </c>
      <c r="D10" s="28">
        <v>36</v>
      </c>
      <c r="E10" s="36">
        <v>5</v>
      </c>
      <c r="F10" s="224">
        <v>-0.2</v>
      </c>
      <c r="G10" s="225">
        <v>-0.05</v>
      </c>
      <c r="H10" s="225">
        <v>-0.05</v>
      </c>
      <c r="I10" s="225">
        <v>-0.2</v>
      </c>
      <c r="J10" s="225">
        <v>-0.2</v>
      </c>
      <c r="K10" s="225">
        <v>-0.1</v>
      </c>
      <c r="L10" s="225">
        <v>-0.3</v>
      </c>
      <c r="M10" s="225">
        <v>0</v>
      </c>
      <c r="N10" s="226">
        <v>0</v>
      </c>
    </row>
    <row r="11" spans="2:23" x14ac:dyDescent="0.25">
      <c r="B11" s="325" t="s">
        <v>1826</v>
      </c>
      <c r="C11" s="179" t="s">
        <v>187</v>
      </c>
      <c r="D11" s="28">
        <v>18</v>
      </c>
      <c r="E11" s="36">
        <v>4</v>
      </c>
      <c r="F11" s="224">
        <v>-1</v>
      </c>
      <c r="G11" s="225">
        <v>-1</v>
      </c>
      <c r="H11" s="225">
        <v>-1</v>
      </c>
      <c r="I11" s="225">
        <v>-1</v>
      </c>
      <c r="J11" s="225">
        <v>-1</v>
      </c>
      <c r="K11" s="225">
        <v>-1</v>
      </c>
      <c r="L11" s="225">
        <v>-1</v>
      </c>
      <c r="M11" s="225">
        <v>0</v>
      </c>
      <c r="N11" s="226">
        <v>0</v>
      </c>
    </row>
    <row r="12" spans="2:23" x14ac:dyDescent="0.25">
      <c r="B12" s="325" t="s">
        <v>1828</v>
      </c>
      <c r="C12" s="179" t="s">
        <v>187</v>
      </c>
      <c r="D12" s="28">
        <v>12</v>
      </c>
      <c r="E12" s="36">
        <v>3</v>
      </c>
      <c r="F12" s="224">
        <v>-1</v>
      </c>
      <c r="G12" s="225">
        <v>-1</v>
      </c>
      <c r="H12" s="225">
        <v>-1</v>
      </c>
      <c r="I12" s="225">
        <v>-1</v>
      </c>
      <c r="J12" s="225">
        <v>-1</v>
      </c>
      <c r="K12" s="225">
        <v>-1</v>
      </c>
      <c r="L12" s="225">
        <v>-1</v>
      </c>
      <c r="M12" s="225">
        <v>0</v>
      </c>
      <c r="N12" s="226">
        <v>0</v>
      </c>
    </row>
    <row r="13" spans="2:23" x14ac:dyDescent="0.25">
      <c r="B13" s="325" t="s">
        <v>1824</v>
      </c>
      <c r="C13" s="179" t="s">
        <v>187</v>
      </c>
      <c r="D13" s="28">
        <v>9</v>
      </c>
      <c r="E13" s="36">
        <v>2</v>
      </c>
      <c r="F13" s="224">
        <v>-1</v>
      </c>
      <c r="G13" s="225">
        <v>-1</v>
      </c>
      <c r="H13" s="225">
        <v>-1</v>
      </c>
      <c r="I13" s="225">
        <v>-1</v>
      </c>
      <c r="J13" s="225">
        <v>-1</v>
      </c>
      <c r="K13" s="225">
        <v>-1</v>
      </c>
      <c r="L13" s="225">
        <v>-1</v>
      </c>
      <c r="M13" s="225">
        <v>0</v>
      </c>
      <c r="N13" s="226">
        <v>0</v>
      </c>
    </row>
    <row r="14" spans="2:23" ht="15.75" thickBot="1" x14ac:dyDescent="0.3">
      <c r="B14" s="469" t="s">
        <v>1825</v>
      </c>
      <c r="C14" s="463" t="s">
        <v>187</v>
      </c>
      <c r="D14" s="464">
        <v>9</v>
      </c>
      <c r="E14" s="465">
        <v>1</v>
      </c>
      <c r="F14" s="466">
        <v>-1</v>
      </c>
      <c r="G14" s="467">
        <v>-1</v>
      </c>
      <c r="H14" s="467">
        <v>-1</v>
      </c>
      <c r="I14" s="467">
        <v>-1</v>
      </c>
      <c r="J14" s="467">
        <v>-1</v>
      </c>
      <c r="K14" s="467">
        <v>-1</v>
      </c>
      <c r="L14" s="467">
        <v>-1</v>
      </c>
      <c r="M14" s="467">
        <v>0</v>
      </c>
      <c r="N14" s="468">
        <v>0</v>
      </c>
    </row>
    <row r="16" spans="2:23" ht="15.75" thickBot="1" x14ac:dyDescent="0.3">
      <c r="F16" s="222"/>
      <c r="G16" s="222"/>
      <c r="H16" s="222"/>
      <c r="I16" s="222"/>
      <c r="J16" s="222"/>
      <c r="K16" s="222"/>
      <c r="L16" s="222"/>
      <c r="M16" s="222"/>
      <c r="N16" s="222"/>
      <c r="O16" s="222"/>
    </row>
    <row r="17" spans="2:23" s="204" customFormat="1" x14ac:dyDescent="0.25">
      <c r="B17" s="232" t="s">
        <v>18</v>
      </c>
      <c r="C17" s="40" t="s">
        <v>23</v>
      </c>
      <c r="D17" s="42"/>
      <c r="E17" s="42"/>
      <c r="F17" s="42"/>
      <c r="G17" s="42"/>
      <c r="H17" s="42"/>
      <c r="I17" s="42"/>
      <c r="J17" s="42"/>
      <c r="K17" s="42"/>
      <c r="L17" s="42"/>
      <c r="M17" s="42"/>
      <c r="N17" s="42"/>
      <c r="O17" s="42"/>
      <c r="P17" s="42"/>
      <c r="Q17" s="42"/>
      <c r="R17" s="42"/>
      <c r="S17" s="42"/>
      <c r="T17" s="42"/>
      <c r="U17" s="42"/>
      <c r="V17" s="42"/>
      <c r="W17" s="42"/>
    </row>
    <row r="18" spans="2:23" x14ac:dyDescent="0.25">
      <c r="B18" s="299" t="s">
        <v>227</v>
      </c>
      <c r="C18" s="30">
        <v>0</v>
      </c>
    </row>
    <row r="19" spans="2:23" x14ac:dyDescent="0.25">
      <c r="B19" s="299" t="s">
        <v>231</v>
      </c>
      <c r="C19" s="30">
        <v>-1</v>
      </c>
    </row>
    <row r="20" spans="2:23" x14ac:dyDescent="0.25">
      <c r="B20" s="299" t="s">
        <v>232</v>
      </c>
      <c r="C20" s="30">
        <v>-1</v>
      </c>
    </row>
    <row r="21" spans="2:23" ht="15.75" thickBot="1" x14ac:dyDescent="0.3">
      <c r="B21" s="300" t="s">
        <v>233</v>
      </c>
      <c r="C21" s="33">
        <v>-1</v>
      </c>
    </row>
    <row r="22" spans="2:23" ht="15.75" thickBot="1" x14ac:dyDescent="0.3"/>
    <row r="23" spans="2:23" s="204" customFormat="1" ht="15.75" thickBot="1" x14ac:dyDescent="0.3">
      <c r="B23" s="233" t="s">
        <v>20</v>
      </c>
      <c r="C23" s="139" t="s">
        <v>23</v>
      </c>
      <c r="D23" s="42"/>
      <c r="E23" s="42"/>
      <c r="F23" s="42"/>
      <c r="G23" s="42"/>
      <c r="H23" s="27"/>
      <c r="I23" s="27"/>
      <c r="J23" s="42"/>
      <c r="K23" s="42"/>
      <c r="L23" s="42"/>
      <c r="M23" s="42"/>
      <c r="N23" s="42"/>
      <c r="O23" s="42"/>
      <c r="P23" s="42"/>
      <c r="Q23" s="42"/>
      <c r="R23" s="42"/>
      <c r="S23" s="42"/>
      <c r="T23" s="42"/>
      <c r="U23" s="42"/>
      <c r="V23" s="42"/>
      <c r="W23" s="42"/>
    </row>
    <row r="24" spans="2:23" x14ac:dyDescent="0.25">
      <c r="B24" s="317" t="s">
        <v>227</v>
      </c>
      <c r="C24" s="136">
        <v>10</v>
      </c>
    </row>
    <row r="25" spans="2:23" x14ac:dyDescent="0.25">
      <c r="B25" s="299" t="s">
        <v>321</v>
      </c>
      <c r="C25" s="30">
        <v>8</v>
      </c>
    </row>
    <row r="26" spans="2:23" x14ac:dyDescent="0.25">
      <c r="B26" s="299" t="s">
        <v>322</v>
      </c>
      <c r="C26" s="30">
        <v>7</v>
      </c>
    </row>
    <row r="27" spans="2:23" x14ac:dyDescent="0.25">
      <c r="B27" s="299" t="s">
        <v>323</v>
      </c>
      <c r="C27" s="30">
        <v>6</v>
      </c>
    </row>
    <row r="28" spans="2:23" x14ac:dyDescent="0.25">
      <c r="B28" s="299" t="s">
        <v>324</v>
      </c>
      <c r="C28" s="30">
        <v>5</v>
      </c>
    </row>
    <row r="29" spans="2:23" x14ac:dyDescent="0.25">
      <c r="B29" s="299" t="s">
        <v>325</v>
      </c>
      <c r="C29" s="30">
        <v>4</v>
      </c>
    </row>
    <row r="30" spans="2:23" x14ac:dyDescent="0.25">
      <c r="B30" s="299" t="s">
        <v>326</v>
      </c>
      <c r="C30" s="30">
        <v>3</v>
      </c>
    </row>
    <row r="31" spans="2:23" ht="15.75" thickBot="1" x14ac:dyDescent="0.3">
      <c r="B31" s="300" t="s">
        <v>327</v>
      </c>
      <c r="C31" s="33">
        <v>2</v>
      </c>
    </row>
    <row r="32" spans="2:23" ht="15.75" thickBot="1" x14ac:dyDescent="0.3"/>
    <row r="33" spans="2:23" s="204" customFormat="1" ht="15.75" thickBot="1" x14ac:dyDescent="0.3">
      <c r="B33" s="233" t="s">
        <v>379</v>
      </c>
      <c r="C33" s="139" t="s">
        <v>23</v>
      </c>
      <c r="D33" s="42"/>
      <c r="E33" s="42"/>
      <c r="F33" s="42"/>
      <c r="G33" s="42"/>
      <c r="H33" s="27"/>
      <c r="I33" s="27"/>
      <c r="J33" s="42"/>
      <c r="K33" s="42"/>
      <c r="L33" s="42"/>
      <c r="M33" s="42"/>
      <c r="N33" s="42"/>
      <c r="O33" s="42"/>
      <c r="P33" s="42"/>
      <c r="Q33" s="42"/>
      <c r="R33" s="42"/>
      <c r="S33" s="42"/>
      <c r="T33" s="42"/>
      <c r="U33" s="42"/>
      <c r="V33" s="42"/>
      <c r="W33" s="42"/>
    </row>
    <row r="34" spans="2:23" x14ac:dyDescent="0.25">
      <c r="B34" s="317" t="s">
        <v>227</v>
      </c>
      <c r="C34" s="136">
        <v>10</v>
      </c>
    </row>
    <row r="35" spans="2:23" ht="15.75" thickBot="1" x14ac:dyDescent="0.3">
      <c r="B35" s="300" t="s">
        <v>379</v>
      </c>
      <c r="C35" s="33">
        <v>0</v>
      </c>
    </row>
    <row r="36" spans="2:23" ht="15.75" thickBot="1" x14ac:dyDescent="0.3"/>
    <row r="37" spans="2:23" ht="15.75" thickBot="1" x14ac:dyDescent="0.3">
      <c r="B37" s="233" t="s">
        <v>380</v>
      </c>
      <c r="C37" s="139" t="s">
        <v>23</v>
      </c>
    </row>
    <row r="38" spans="2:23" x14ac:dyDescent="0.25">
      <c r="B38" s="317" t="s">
        <v>227</v>
      </c>
      <c r="C38" s="136">
        <v>10</v>
      </c>
    </row>
    <row r="39" spans="2:23" ht="15.75" thickBot="1" x14ac:dyDescent="0.3">
      <c r="B39" s="300" t="s">
        <v>380</v>
      </c>
      <c r="C39" s="33">
        <v>0</v>
      </c>
    </row>
    <row r="40" spans="2:23" ht="15.75" thickBot="1" x14ac:dyDescent="0.3"/>
    <row r="41" spans="2:23" s="204" customFormat="1" ht="15.75" thickBot="1" x14ac:dyDescent="0.3">
      <c r="B41" s="233" t="s">
        <v>1553</v>
      </c>
      <c r="C41" s="139" t="s">
        <v>1552</v>
      </c>
      <c r="D41" s="42"/>
      <c r="E41" s="42"/>
      <c r="F41" s="42"/>
      <c r="G41" s="42"/>
      <c r="H41" s="42"/>
      <c r="I41" s="42"/>
      <c r="J41" s="42"/>
      <c r="K41" s="42"/>
      <c r="L41" s="42"/>
      <c r="M41" s="42"/>
      <c r="N41" s="42"/>
      <c r="O41" s="42"/>
      <c r="P41" s="42"/>
      <c r="Q41" s="42"/>
      <c r="R41" s="42"/>
      <c r="S41" s="42"/>
      <c r="T41" s="42"/>
      <c r="U41" s="42"/>
      <c r="V41" s="42"/>
      <c r="W41" s="42"/>
    </row>
    <row r="42" spans="2:23" x14ac:dyDescent="0.25">
      <c r="B42" s="317">
        <v>0</v>
      </c>
      <c r="C42" s="136">
        <v>0</v>
      </c>
    </row>
    <row r="43" spans="2:23" x14ac:dyDescent="0.25">
      <c r="B43" s="299">
        <v>-1</v>
      </c>
      <c r="C43" s="30">
        <v>1</v>
      </c>
    </row>
    <row r="44" spans="2:23" x14ac:dyDescent="0.25">
      <c r="B44" s="299">
        <v>-2</v>
      </c>
      <c r="C44" s="30">
        <v>2</v>
      </c>
    </row>
    <row r="45" spans="2:23" x14ac:dyDescent="0.25">
      <c r="B45" s="299">
        <v>-3</v>
      </c>
      <c r="C45" s="30">
        <v>3</v>
      </c>
    </row>
    <row r="46" spans="2:23" x14ac:dyDescent="0.25">
      <c r="B46" s="299">
        <v>-4</v>
      </c>
      <c r="C46" s="30">
        <v>4</v>
      </c>
    </row>
    <row r="47" spans="2:23" x14ac:dyDescent="0.25">
      <c r="B47" s="299">
        <v>-5</v>
      </c>
      <c r="C47" s="30">
        <v>5</v>
      </c>
    </row>
    <row r="48" spans="2:23" x14ac:dyDescent="0.25">
      <c r="B48" s="299">
        <v>-6</v>
      </c>
      <c r="C48" s="30">
        <v>6</v>
      </c>
    </row>
    <row r="49" spans="1:23" x14ac:dyDescent="0.25">
      <c r="B49" s="299">
        <v>-7</v>
      </c>
      <c r="C49" s="30">
        <v>7</v>
      </c>
    </row>
    <row r="50" spans="1:23" x14ac:dyDescent="0.25">
      <c r="B50" s="299">
        <v>-8</v>
      </c>
      <c r="C50" s="30">
        <v>8</v>
      </c>
    </row>
    <row r="51" spans="1:23" x14ac:dyDescent="0.25">
      <c r="B51" s="299">
        <v>-9</v>
      </c>
      <c r="C51" s="30">
        <v>9</v>
      </c>
    </row>
    <row r="52" spans="1:23" ht="15.75" thickBot="1" x14ac:dyDescent="0.3">
      <c r="B52" s="300">
        <v>-10</v>
      </c>
      <c r="C52" s="33">
        <v>10</v>
      </c>
    </row>
    <row r="54" spans="1:23" ht="15.75" thickBot="1" x14ac:dyDescent="0.3"/>
    <row r="55" spans="1:23" s="204" customFormat="1" x14ac:dyDescent="0.25">
      <c r="B55" s="232" t="s">
        <v>189</v>
      </c>
      <c r="C55" s="39" t="s">
        <v>391</v>
      </c>
      <c r="D55" s="39" t="s">
        <v>392</v>
      </c>
      <c r="E55" s="39" t="s">
        <v>223</v>
      </c>
      <c r="F55" s="40" t="s">
        <v>961</v>
      </c>
      <c r="G55" s="42"/>
      <c r="H55" s="42"/>
      <c r="I55" s="42"/>
      <c r="J55" s="42"/>
      <c r="K55" s="42"/>
      <c r="L55" s="42"/>
      <c r="M55" s="42"/>
      <c r="N55" s="42"/>
      <c r="O55" s="42"/>
      <c r="P55" s="42"/>
      <c r="Q55" s="42"/>
      <c r="R55" s="42"/>
      <c r="S55" s="42"/>
      <c r="T55" s="42"/>
      <c r="U55" s="42"/>
      <c r="V55" s="42"/>
      <c r="W55" s="42"/>
    </row>
    <row r="56" spans="1:23" x14ac:dyDescent="0.25">
      <c r="B56" s="299" t="s">
        <v>185</v>
      </c>
      <c r="C56" s="28">
        <v>0</v>
      </c>
      <c r="D56" s="28">
        <v>0</v>
      </c>
      <c r="E56" s="28">
        <v>0</v>
      </c>
      <c r="F56" s="30">
        <v>0</v>
      </c>
    </row>
    <row r="57" spans="1:23" x14ac:dyDescent="0.25">
      <c r="A57" s="212">
        <v>1</v>
      </c>
      <c r="B57" s="299" t="s">
        <v>401</v>
      </c>
      <c r="C57" s="28" t="s">
        <v>385</v>
      </c>
      <c r="D57" s="28" t="s">
        <v>385</v>
      </c>
      <c r="E57" s="28">
        <v>1</v>
      </c>
      <c r="F57" s="30">
        <v>1</v>
      </c>
    </row>
    <row r="58" spans="1:23" x14ac:dyDescent="0.25">
      <c r="A58" s="212">
        <v>2</v>
      </c>
      <c r="B58" s="299" t="s">
        <v>190</v>
      </c>
      <c r="C58" s="28" t="s">
        <v>191</v>
      </c>
      <c r="D58" s="28" t="s">
        <v>191</v>
      </c>
      <c r="E58" s="28">
        <v>1</v>
      </c>
      <c r="F58" s="30">
        <v>4</v>
      </c>
    </row>
    <row r="59" spans="1:23" x14ac:dyDescent="0.25">
      <c r="A59" s="212">
        <v>3</v>
      </c>
      <c r="B59" s="299" t="s">
        <v>1240</v>
      </c>
      <c r="C59" s="28" t="s">
        <v>204</v>
      </c>
      <c r="D59" s="28" t="s">
        <v>204</v>
      </c>
      <c r="E59" s="28">
        <v>1</v>
      </c>
      <c r="F59" s="30">
        <v>4</v>
      </c>
    </row>
    <row r="60" spans="1:23" x14ac:dyDescent="0.25">
      <c r="A60" s="212">
        <v>4</v>
      </c>
      <c r="B60" s="299" t="s">
        <v>192</v>
      </c>
      <c r="C60" s="28" t="s">
        <v>193</v>
      </c>
      <c r="D60" s="28" t="s">
        <v>193</v>
      </c>
      <c r="E60" s="28">
        <v>1</v>
      </c>
      <c r="F60" s="30">
        <v>4</v>
      </c>
    </row>
    <row r="61" spans="1:23" x14ac:dyDescent="0.25">
      <c r="A61" s="212">
        <v>5</v>
      </c>
      <c r="B61" s="299" t="s">
        <v>194</v>
      </c>
      <c r="C61" s="28" t="s">
        <v>191</v>
      </c>
      <c r="D61" s="28" t="s">
        <v>195</v>
      </c>
      <c r="E61" s="28">
        <v>1</v>
      </c>
      <c r="F61" s="30">
        <v>8</v>
      </c>
    </row>
    <row r="62" spans="1:23" x14ac:dyDescent="0.25">
      <c r="A62" s="212">
        <v>6</v>
      </c>
      <c r="B62" s="299" t="s">
        <v>196</v>
      </c>
      <c r="C62" s="28" t="s">
        <v>197</v>
      </c>
      <c r="D62" s="28" t="s">
        <v>387</v>
      </c>
      <c r="E62" s="28">
        <v>1</v>
      </c>
      <c r="F62" s="30">
        <v>2</v>
      </c>
    </row>
    <row r="63" spans="1:23" x14ac:dyDescent="0.25">
      <c r="A63" s="212">
        <v>7</v>
      </c>
      <c r="B63" s="299" t="s">
        <v>198</v>
      </c>
      <c r="C63" s="28" t="s">
        <v>204</v>
      </c>
      <c r="D63" s="28" t="s">
        <v>412</v>
      </c>
      <c r="E63" s="28">
        <v>1</v>
      </c>
      <c r="F63" s="30">
        <v>6</v>
      </c>
    </row>
    <row r="64" spans="1:23" x14ac:dyDescent="0.25">
      <c r="A64" s="212">
        <v>8</v>
      </c>
      <c r="B64" s="299" t="s">
        <v>1239</v>
      </c>
      <c r="C64" s="28" t="s">
        <v>384</v>
      </c>
      <c r="D64" s="28" t="s">
        <v>204</v>
      </c>
      <c r="E64" s="28">
        <v>1</v>
      </c>
      <c r="F64" s="30">
        <v>5</v>
      </c>
    </row>
    <row r="65" spans="1:6" x14ac:dyDescent="0.25">
      <c r="A65" s="212">
        <v>9</v>
      </c>
      <c r="B65" s="299" t="s">
        <v>199</v>
      </c>
      <c r="C65" s="28" t="s">
        <v>191</v>
      </c>
      <c r="D65" s="28" t="s">
        <v>193</v>
      </c>
      <c r="E65" s="28">
        <v>1</v>
      </c>
      <c r="F65" s="30">
        <v>3</v>
      </c>
    </row>
    <row r="66" spans="1:6" x14ac:dyDescent="0.25">
      <c r="A66" s="212">
        <v>10</v>
      </c>
      <c r="B66" s="299" t="s">
        <v>220</v>
      </c>
      <c r="C66" s="28" t="s">
        <v>195</v>
      </c>
      <c r="D66" s="28" t="s">
        <v>221</v>
      </c>
      <c r="E66" s="28">
        <v>1</v>
      </c>
      <c r="F66" s="30">
        <v>10</v>
      </c>
    </row>
    <row r="67" spans="1:6" x14ac:dyDescent="0.25">
      <c r="A67" s="212">
        <v>11</v>
      </c>
      <c r="B67" s="299" t="s">
        <v>200</v>
      </c>
      <c r="C67" s="28" t="s">
        <v>204</v>
      </c>
      <c r="D67" s="28" t="s">
        <v>384</v>
      </c>
      <c r="E67" s="28">
        <v>1</v>
      </c>
      <c r="F67" s="30">
        <v>5</v>
      </c>
    </row>
    <row r="68" spans="1:6" x14ac:dyDescent="0.25">
      <c r="A68" s="212">
        <v>12</v>
      </c>
      <c r="B68" s="299" t="s">
        <v>201</v>
      </c>
      <c r="C68" s="28" t="s">
        <v>193</v>
      </c>
      <c r="D68" s="28" t="s">
        <v>1258</v>
      </c>
      <c r="E68" s="28">
        <v>1</v>
      </c>
      <c r="F68" s="30">
        <v>5</v>
      </c>
    </row>
    <row r="69" spans="1:6" x14ac:dyDescent="0.25">
      <c r="A69" s="212">
        <v>13</v>
      </c>
      <c r="B69" s="299" t="s">
        <v>202</v>
      </c>
      <c r="C69" s="28" t="s">
        <v>204</v>
      </c>
      <c r="D69" s="28" t="s">
        <v>384</v>
      </c>
      <c r="E69" s="28">
        <v>1</v>
      </c>
      <c r="F69" s="30">
        <v>7</v>
      </c>
    </row>
    <row r="70" spans="1:6" x14ac:dyDescent="0.25">
      <c r="A70" s="212">
        <v>14</v>
      </c>
      <c r="B70" s="299" t="s">
        <v>203</v>
      </c>
      <c r="C70" s="28" t="s">
        <v>384</v>
      </c>
      <c r="D70" s="28" t="s">
        <v>204</v>
      </c>
      <c r="E70" s="28">
        <v>1</v>
      </c>
      <c r="F70" s="30">
        <v>6</v>
      </c>
    </row>
    <row r="71" spans="1:6" x14ac:dyDescent="0.25">
      <c r="A71" s="212">
        <v>15</v>
      </c>
      <c r="B71" s="299" t="s">
        <v>222</v>
      </c>
      <c r="C71" s="28" t="s">
        <v>385</v>
      </c>
      <c r="D71" s="28">
        <v>1</v>
      </c>
      <c r="E71" s="28">
        <v>1</v>
      </c>
      <c r="F71" s="30">
        <v>5</v>
      </c>
    </row>
    <row r="72" spans="1:6" x14ac:dyDescent="0.25">
      <c r="A72" s="212">
        <v>16</v>
      </c>
      <c r="B72" s="299" t="s">
        <v>205</v>
      </c>
      <c r="C72" s="28" t="s">
        <v>204</v>
      </c>
      <c r="D72" s="28" t="s">
        <v>193</v>
      </c>
      <c r="E72" s="28">
        <v>1</v>
      </c>
      <c r="F72" s="30">
        <v>8</v>
      </c>
    </row>
    <row r="73" spans="1:6" x14ac:dyDescent="0.25">
      <c r="A73" s="212">
        <v>17</v>
      </c>
      <c r="B73" s="299" t="s">
        <v>206</v>
      </c>
      <c r="C73" s="28" t="s">
        <v>193</v>
      </c>
      <c r="D73" s="28" t="s">
        <v>193</v>
      </c>
      <c r="E73" s="28">
        <v>1</v>
      </c>
      <c r="F73" s="30">
        <v>7</v>
      </c>
    </row>
    <row r="74" spans="1:6" x14ac:dyDescent="0.25">
      <c r="A74" s="212">
        <v>18</v>
      </c>
      <c r="B74" s="299" t="s">
        <v>208</v>
      </c>
      <c r="C74" s="28" t="s">
        <v>195</v>
      </c>
      <c r="D74" s="28" t="s">
        <v>209</v>
      </c>
      <c r="E74" s="28">
        <v>1</v>
      </c>
      <c r="F74" s="30">
        <v>9</v>
      </c>
    </row>
    <row r="75" spans="1:6" x14ac:dyDescent="0.25">
      <c r="A75" s="212">
        <v>19</v>
      </c>
      <c r="B75" s="299" t="s">
        <v>386</v>
      </c>
      <c r="C75" s="28" t="s">
        <v>191</v>
      </c>
      <c r="D75" s="28" t="s">
        <v>193</v>
      </c>
      <c r="E75" s="28">
        <v>1</v>
      </c>
      <c r="F75" s="30">
        <v>6</v>
      </c>
    </row>
    <row r="76" spans="1:6" x14ac:dyDescent="0.25">
      <c r="A76" s="212">
        <v>20</v>
      </c>
      <c r="B76" s="299" t="s">
        <v>1260</v>
      </c>
      <c r="C76" s="28" t="s">
        <v>1259</v>
      </c>
      <c r="D76" s="28" t="s">
        <v>197</v>
      </c>
      <c r="E76" s="28">
        <v>1</v>
      </c>
      <c r="F76" s="30">
        <v>4</v>
      </c>
    </row>
    <row r="77" spans="1:6" x14ac:dyDescent="0.25">
      <c r="A77" s="212">
        <v>21</v>
      </c>
      <c r="B77" s="299" t="s">
        <v>1266</v>
      </c>
      <c r="C77" s="28" t="s">
        <v>404</v>
      </c>
      <c r="D77" s="28" t="s">
        <v>204</v>
      </c>
      <c r="E77" s="28">
        <v>1</v>
      </c>
      <c r="F77" s="30">
        <v>4</v>
      </c>
    </row>
    <row r="78" spans="1:6" x14ac:dyDescent="0.25">
      <c r="A78" s="212">
        <v>22</v>
      </c>
      <c r="B78" s="299" t="s">
        <v>210</v>
      </c>
      <c r="C78" s="28" t="s">
        <v>384</v>
      </c>
      <c r="D78" s="28" t="s">
        <v>191</v>
      </c>
      <c r="E78" s="28">
        <v>1</v>
      </c>
      <c r="F78" s="30">
        <v>7</v>
      </c>
    </row>
    <row r="79" spans="1:6" x14ac:dyDescent="0.25">
      <c r="A79" s="212">
        <v>23</v>
      </c>
      <c r="B79" s="299" t="s">
        <v>1272</v>
      </c>
      <c r="C79" s="28" t="s">
        <v>204</v>
      </c>
      <c r="D79" s="28" t="s">
        <v>412</v>
      </c>
      <c r="E79" s="28">
        <v>1</v>
      </c>
      <c r="F79" s="30">
        <v>4</v>
      </c>
    </row>
    <row r="80" spans="1:6" ht="15.75" thickBot="1" x14ac:dyDescent="0.3">
      <c r="A80" s="212">
        <v>24</v>
      </c>
      <c r="B80" s="300" t="s">
        <v>211</v>
      </c>
      <c r="C80" s="32" t="s">
        <v>384</v>
      </c>
      <c r="D80" s="32" t="s">
        <v>384</v>
      </c>
      <c r="E80" s="28">
        <v>1</v>
      </c>
      <c r="F80" s="33">
        <v>6</v>
      </c>
    </row>
    <row r="81" spans="1:27" s="204" customFormat="1" x14ac:dyDescent="0.25">
      <c r="B81" s="232" t="s">
        <v>213</v>
      </c>
      <c r="C81" s="39" t="s">
        <v>391</v>
      </c>
      <c r="D81" s="39" t="s">
        <v>392</v>
      </c>
      <c r="E81" s="39" t="s">
        <v>223</v>
      </c>
      <c r="F81" s="40" t="s">
        <v>1267</v>
      </c>
      <c r="G81" s="42"/>
      <c r="H81" s="42"/>
      <c r="I81" s="42"/>
      <c r="J81" s="42"/>
      <c r="K81" s="42"/>
      <c r="L81" s="42"/>
      <c r="M81" s="42"/>
      <c r="N81" s="42"/>
      <c r="O81" s="42"/>
      <c r="P81" s="42"/>
      <c r="Q81" s="42"/>
      <c r="R81" s="42"/>
      <c r="S81" s="42"/>
      <c r="T81" s="42"/>
      <c r="U81" s="42"/>
      <c r="V81" s="42"/>
      <c r="W81" s="42"/>
    </row>
    <row r="82" spans="1:27" x14ac:dyDescent="0.25">
      <c r="B82" s="299" t="s">
        <v>185</v>
      </c>
      <c r="C82" s="28">
        <v>0</v>
      </c>
      <c r="D82" s="28">
        <v>0</v>
      </c>
      <c r="E82" s="28">
        <v>0</v>
      </c>
      <c r="F82" s="30">
        <v>0</v>
      </c>
    </row>
    <row r="83" spans="1:27" x14ac:dyDescent="0.25">
      <c r="A83" s="212">
        <v>25</v>
      </c>
      <c r="B83" s="299" t="s">
        <v>214</v>
      </c>
      <c r="C83" s="28" t="s">
        <v>191</v>
      </c>
      <c r="D83" s="28" t="s">
        <v>191</v>
      </c>
      <c r="E83" s="28">
        <v>2</v>
      </c>
      <c r="F83" s="30">
        <v>1</v>
      </c>
    </row>
    <row r="84" spans="1:27" x14ac:dyDescent="0.25">
      <c r="A84" s="212">
        <v>26</v>
      </c>
      <c r="B84" s="299" t="s">
        <v>215</v>
      </c>
      <c r="C84" s="28" t="s">
        <v>384</v>
      </c>
      <c r="D84" s="28" t="s">
        <v>384</v>
      </c>
      <c r="E84" s="28">
        <v>1</v>
      </c>
      <c r="F84" s="30">
        <v>1</v>
      </c>
    </row>
    <row r="85" spans="1:27" x14ac:dyDescent="0.25">
      <c r="A85" s="212">
        <v>27</v>
      </c>
      <c r="B85" s="299" t="s">
        <v>196</v>
      </c>
      <c r="C85" s="28" t="s">
        <v>197</v>
      </c>
      <c r="D85" s="28" t="s">
        <v>197</v>
      </c>
      <c r="E85" s="28">
        <v>2</v>
      </c>
      <c r="F85" s="30">
        <v>1</v>
      </c>
    </row>
    <row r="86" spans="1:27" x14ac:dyDescent="0.25">
      <c r="A86" s="212">
        <v>28</v>
      </c>
      <c r="B86" s="299" t="s">
        <v>216</v>
      </c>
      <c r="C86" s="28" t="s">
        <v>387</v>
      </c>
      <c r="D86" s="28" t="s">
        <v>387</v>
      </c>
      <c r="E86" s="28">
        <v>3</v>
      </c>
      <c r="F86" s="30">
        <v>1</v>
      </c>
    </row>
    <row r="87" spans="1:27" x14ac:dyDescent="0.25">
      <c r="A87" s="212">
        <v>29</v>
      </c>
      <c r="B87" s="299" t="s">
        <v>217</v>
      </c>
      <c r="C87" s="28" t="s">
        <v>1259</v>
      </c>
      <c r="D87" s="28" t="s">
        <v>1259</v>
      </c>
      <c r="E87" s="28">
        <v>1</v>
      </c>
      <c r="F87" s="30">
        <v>1</v>
      </c>
    </row>
    <row r="88" spans="1:27" x14ac:dyDescent="0.25">
      <c r="A88" s="212">
        <v>30</v>
      </c>
      <c r="B88" s="299" t="s">
        <v>218</v>
      </c>
      <c r="C88" s="28" t="s">
        <v>191</v>
      </c>
      <c r="D88" s="28" t="s">
        <v>191</v>
      </c>
      <c r="E88" s="28">
        <v>1</v>
      </c>
      <c r="F88" s="30">
        <v>1</v>
      </c>
    </row>
    <row r="89" spans="1:27" x14ac:dyDescent="0.25">
      <c r="A89" s="212">
        <v>31</v>
      </c>
      <c r="B89" s="299" t="s">
        <v>219</v>
      </c>
      <c r="C89" s="28" t="s">
        <v>191</v>
      </c>
      <c r="D89" s="28" t="s">
        <v>191</v>
      </c>
      <c r="E89" s="28">
        <v>1</v>
      </c>
      <c r="F89" s="30">
        <v>1</v>
      </c>
    </row>
    <row r="90" spans="1:27" x14ac:dyDescent="0.25">
      <c r="A90" s="212">
        <v>32</v>
      </c>
      <c r="B90" s="299" t="s">
        <v>1238</v>
      </c>
      <c r="C90" s="28" t="s">
        <v>204</v>
      </c>
      <c r="D90" s="28" t="s">
        <v>204</v>
      </c>
      <c r="E90" s="28">
        <v>1</v>
      </c>
      <c r="F90" s="30">
        <v>1</v>
      </c>
    </row>
    <row r="91" spans="1:27" ht="15.75" thickBot="1" x14ac:dyDescent="0.3">
      <c r="A91" s="212">
        <v>33</v>
      </c>
      <c r="B91" s="300" t="s">
        <v>242</v>
      </c>
      <c r="C91" s="32" t="s">
        <v>197</v>
      </c>
      <c r="D91" s="32" t="s">
        <v>197</v>
      </c>
      <c r="E91" s="32">
        <v>1</v>
      </c>
      <c r="F91" s="33">
        <v>1</v>
      </c>
    </row>
    <row r="93" spans="1:27" ht="15.75" thickBot="1" x14ac:dyDescent="0.3"/>
    <row r="94" spans="1:27" ht="15.75" thickBot="1" x14ac:dyDescent="0.3">
      <c r="B94" s="205" t="s">
        <v>394</v>
      </c>
      <c r="C94" s="302"/>
      <c r="X94" s="27"/>
      <c r="Y94" s="27"/>
    </row>
    <row r="95" spans="1:27" x14ac:dyDescent="0.25">
      <c r="B95" s="188" t="s">
        <v>224</v>
      </c>
      <c r="C95" s="47" t="s">
        <v>1660</v>
      </c>
      <c r="X95" s="27"/>
      <c r="Y95" s="27"/>
      <c r="Z95" s="27"/>
      <c r="AA95" s="27"/>
    </row>
    <row r="96" spans="1:27" x14ac:dyDescent="0.25">
      <c r="B96" s="147" t="s">
        <v>1658</v>
      </c>
      <c r="C96" s="30" t="s">
        <v>1661</v>
      </c>
    </row>
    <row r="97" spans="1:32" ht="15.75" thickBot="1" x14ac:dyDescent="0.3">
      <c r="B97" s="155" t="s">
        <v>402</v>
      </c>
      <c r="C97" s="33" t="s">
        <v>15</v>
      </c>
    </row>
    <row r="100" spans="1:32" s="204" customFormat="1" ht="15.75" thickBot="1" x14ac:dyDescent="0.3">
      <c r="A100" s="212"/>
      <c r="B100" s="323"/>
      <c r="C100" s="27"/>
      <c r="D100" s="27"/>
      <c r="E100" s="27"/>
      <c r="F100" s="27"/>
      <c r="G100" s="27"/>
      <c r="H100" s="27"/>
      <c r="I100" s="27"/>
      <c r="J100" s="27"/>
      <c r="K100" s="27"/>
      <c r="L100" s="27"/>
      <c r="M100" s="27"/>
      <c r="N100" s="42"/>
      <c r="O100" s="42"/>
      <c r="P100" s="42"/>
      <c r="Q100" s="42"/>
      <c r="R100" s="42"/>
      <c r="S100" s="42"/>
      <c r="T100" s="42"/>
      <c r="U100" s="42"/>
      <c r="V100" s="42"/>
      <c r="W100" s="42"/>
      <c r="X100" s="212"/>
    </row>
    <row r="101" spans="1:32" s="42" customFormat="1" ht="24.75" thickBot="1" x14ac:dyDescent="0.3">
      <c r="B101" s="484" t="s">
        <v>1830</v>
      </c>
      <c r="C101" s="475" t="s">
        <v>1841</v>
      </c>
      <c r="D101" s="476" t="s">
        <v>1714</v>
      </c>
      <c r="E101" s="476" t="s">
        <v>1715</v>
      </c>
      <c r="F101" s="476" t="s">
        <v>1716</v>
      </c>
      <c r="G101" s="476" t="s">
        <v>1717</v>
      </c>
      <c r="H101" s="476" t="s">
        <v>1718</v>
      </c>
      <c r="I101" s="476" t="s">
        <v>1719</v>
      </c>
      <c r="J101" s="476" t="s">
        <v>1720</v>
      </c>
      <c r="K101" s="476" t="s">
        <v>1196</v>
      </c>
      <c r="L101" s="476" t="s">
        <v>388</v>
      </c>
      <c r="M101" s="476" t="s">
        <v>1721</v>
      </c>
      <c r="N101" s="476" t="s">
        <v>1722</v>
      </c>
      <c r="O101" s="476" t="s">
        <v>1723</v>
      </c>
      <c r="P101" s="476" t="s">
        <v>1724</v>
      </c>
      <c r="Q101" s="476" t="s">
        <v>1725</v>
      </c>
      <c r="R101" s="476" t="s">
        <v>1726</v>
      </c>
      <c r="S101" s="476" t="s">
        <v>1727</v>
      </c>
      <c r="T101" s="476" t="s">
        <v>1728</v>
      </c>
      <c r="U101" s="476" t="s">
        <v>1729</v>
      </c>
      <c r="V101" s="476" t="s">
        <v>1730</v>
      </c>
      <c r="W101" s="476" t="s">
        <v>1731</v>
      </c>
      <c r="X101" s="476" t="s">
        <v>1732</v>
      </c>
      <c r="Y101" s="476" t="s">
        <v>1852</v>
      </c>
      <c r="Z101" s="477" t="s">
        <v>1855</v>
      </c>
    </row>
    <row r="102" spans="1:32" x14ac:dyDescent="0.25">
      <c r="B102" s="485" t="s">
        <v>185</v>
      </c>
      <c r="C102" s="473">
        <v>1</v>
      </c>
      <c r="D102" s="445"/>
      <c r="E102" s="445"/>
      <c r="F102" s="445"/>
      <c r="G102" s="445"/>
      <c r="H102" s="445"/>
      <c r="I102" s="445"/>
      <c r="J102" s="448"/>
      <c r="K102" s="448"/>
      <c r="L102" s="448"/>
      <c r="M102" s="448"/>
      <c r="N102" s="445">
        <v>0</v>
      </c>
      <c r="O102" s="445">
        <v>0</v>
      </c>
      <c r="P102" s="445">
        <v>0</v>
      </c>
      <c r="Q102" s="445">
        <v>0</v>
      </c>
      <c r="R102" s="445">
        <v>0</v>
      </c>
      <c r="S102" s="445">
        <v>0</v>
      </c>
      <c r="T102" s="445">
        <v>0</v>
      </c>
      <c r="U102" s="445">
        <v>0</v>
      </c>
      <c r="V102" s="445">
        <v>0</v>
      </c>
      <c r="W102" s="445">
        <v>0</v>
      </c>
      <c r="X102" s="445">
        <v>0</v>
      </c>
      <c r="Y102" s="445"/>
      <c r="Z102" s="449"/>
      <c r="AB102" s="42"/>
      <c r="AC102" s="42"/>
      <c r="AD102" s="42"/>
      <c r="AE102" s="42"/>
      <c r="AF102" s="42"/>
    </row>
    <row r="103" spans="1:32" x14ac:dyDescent="0.25">
      <c r="B103" s="486" t="s">
        <v>1831</v>
      </c>
      <c r="C103" s="474">
        <f>C102+1</f>
        <v>2</v>
      </c>
      <c r="D103" s="451">
        <v>0</v>
      </c>
      <c r="E103" s="451" t="s">
        <v>385</v>
      </c>
      <c r="F103" s="451" t="s">
        <v>385</v>
      </c>
      <c r="G103" s="451" t="s">
        <v>1808</v>
      </c>
      <c r="H103" s="451" t="s">
        <v>1753</v>
      </c>
      <c r="I103" s="451">
        <v>1</v>
      </c>
      <c r="J103" s="462"/>
      <c r="K103" s="462"/>
      <c r="L103" s="462"/>
      <c r="M103" s="462"/>
      <c r="N103" s="451">
        <v>-9</v>
      </c>
      <c r="O103" s="451">
        <v>-8</v>
      </c>
      <c r="P103" s="451">
        <v>-7</v>
      </c>
      <c r="Q103" s="451">
        <v>-5</v>
      </c>
      <c r="R103" s="451">
        <v>-3</v>
      </c>
      <c r="S103" s="451">
        <v>-1</v>
      </c>
      <c r="T103" s="451">
        <v>0</v>
      </c>
      <c r="U103" s="451">
        <v>0</v>
      </c>
      <c r="V103" s="451">
        <v>2</v>
      </c>
      <c r="W103" s="451">
        <v>0</v>
      </c>
      <c r="X103" s="451">
        <v>4</v>
      </c>
      <c r="Y103" s="451"/>
      <c r="Z103" s="452"/>
      <c r="AB103" s="42"/>
      <c r="AC103" s="42"/>
      <c r="AD103" s="42"/>
      <c r="AE103" s="42"/>
      <c r="AF103" s="42"/>
    </row>
    <row r="104" spans="1:32" x14ac:dyDescent="0.25">
      <c r="B104" s="486" t="s">
        <v>1733</v>
      </c>
      <c r="C104" s="474">
        <f t="shared" ref="C104:C160" si="0">C103+1</f>
        <v>3</v>
      </c>
      <c r="D104" s="451">
        <v>35</v>
      </c>
      <c r="E104" s="451" t="s">
        <v>191</v>
      </c>
      <c r="F104" s="451" t="s">
        <v>387</v>
      </c>
      <c r="G104" s="451">
        <v>60</v>
      </c>
      <c r="H104" s="451">
        <v>60</v>
      </c>
      <c r="I104" s="451">
        <v>4</v>
      </c>
      <c r="J104" s="462"/>
      <c r="K104" s="462"/>
      <c r="L104" s="462"/>
      <c r="M104" s="462"/>
      <c r="N104" s="451">
        <v>-7</v>
      </c>
      <c r="O104" s="451">
        <v>-6</v>
      </c>
      <c r="P104" s="451">
        <v>-5</v>
      </c>
      <c r="Q104" s="451">
        <v>-4</v>
      </c>
      <c r="R104" s="451">
        <v>-3</v>
      </c>
      <c r="S104" s="451">
        <v>-2</v>
      </c>
      <c r="T104" s="451">
        <v>-1</v>
      </c>
      <c r="U104" s="451">
        <v>-1</v>
      </c>
      <c r="V104" s="451">
        <v>0</v>
      </c>
      <c r="W104" s="451">
        <v>0</v>
      </c>
      <c r="X104" s="451">
        <v>1</v>
      </c>
      <c r="Y104" s="451"/>
      <c r="Z104" s="452"/>
      <c r="AB104" s="42"/>
      <c r="AC104" s="42"/>
      <c r="AD104" s="42"/>
      <c r="AE104" s="42"/>
      <c r="AF104" s="42"/>
    </row>
    <row r="105" spans="1:32" x14ac:dyDescent="0.25">
      <c r="B105" s="485" t="s">
        <v>1739</v>
      </c>
      <c r="C105" s="474">
        <f t="shared" si="0"/>
        <v>4</v>
      </c>
      <c r="D105" s="445">
        <v>80</v>
      </c>
      <c r="E105" s="445" t="s">
        <v>385</v>
      </c>
      <c r="F105" s="445" t="s">
        <v>385</v>
      </c>
      <c r="G105" s="445" t="s">
        <v>1740</v>
      </c>
      <c r="H105" s="445">
        <v>75</v>
      </c>
      <c r="I105" s="445">
        <v>7</v>
      </c>
      <c r="J105" s="448"/>
      <c r="K105" s="448"/>
      <c r="L105" s="448"/>
      <c r="M105" s="448"/>
      <c r="N105" s="445">
        <v>0</v>
      </c>
      <c r="O105" s="445">
        <v>0</v>
      </c>
      <c r="P105" s="445">
        <v>0</v>
      </c>
      <c r="Q105" s="445">
        <v>0</v>
      </c>
      <c r="R105" s="445">
        <v>0</v>
      </c>
      <c r="S105" s="445">
        <v>0</v>
      </c>
      <c r="T105" s="445">
        <v>0</v>
      </c>
      <c r="U105" s="445">
        <v>0</v>
      </c>
      <c r="V105" s="445">
        <v>-1</v>
      </c>
      <c r="W105" s="445">
        <v>-2</v>
      </c>
      <c r="X105" s="445">
        <v>-3</v>
      </c>
      <c r="Y105" s="445"/>
      <c r="Z105" s="449"/>
      <c r="AB105" s="42"/>
      <c r="AC105" s="42"/>
      <c r="AD105" s="42"/>
      <c r="AE105" s="42"/>
      <c r="AF105" s="42"/>
    </row>
    <row r="106" spans="1:32" x14ac:dyDescent="0.25">
      <c r="B106" s="485" t="s">
        <v>1741</v>
      </c>
      <c r="C106" s="474">
        <f t="shared" si="0"/>
        <v>5</v>
      </c>
      <c r="D106" s="445">
        <v>125</v>
      </c>
      <c r="E106" s="445" t="s">
        <v>204</v>
      </c>
      <c r="F106" s="445" t="s">
        <v>212</v>
      </c>
      <c r="G106" s="445">
        <v>150</v>
      </c>
      <c r="H106" s="445">
        <v>150</v>
      </c>
      <c r="I106" s="445">
        <v>9</v>
      </c>
      <c r="J106" s="448"/>
      <c r="K106" s="448"/>
      <c r="L106" s="448"/>
      <c r="M106" s="448"/>
      <c r="N106" s="445">
        <v>-3</v>
      </c>
      <c r="O106" s="445">
        <v>-2</v>
      </c>
      <c r="P106" s="445">
        <v>-2</v>
      </c>
      <c r="Q106" s="445">
        <v>-1</v>
      </c>
      <c r="R106" s="445">
        <v>0</v>
      </c>
      <c r="S106" s="445">
        <v>0</v>
      </c>
      <c r="T106" s="445">
        <v>1</v>
      </c>
      <c r="U106" s="445">
        <v>1</v>
      </c>
      <c r="V106" s="445">
        <v>2</v>
      </c>
      <c r="W106" s="445">
        <v>2</v>
      </c>
      <c r="X106" s="445">
        <v>3</v>
      </c>
      <c r="Y106" s="445"/>
      <c r="Z106" s="449"/>
      <c r="AB106" s="42"/>
      <c r="AC106" s="42"/>
      <c r="AD106" s="42"/>
      <c r="AE106" s="42"/>
      <c r="AF106" s="42"/>
    </row>
    <row r="107" spans="1:32" x14ac:dyDescent="0.25">
      <c r="B107" s="485" t="s">
        <v>1742</v>
      </c>
      <c r="C107" s="474">
        <f t="shared" si="0"/>
        <v>6</v>
      </c>
      <c r="D107" s="445">
        <v>50</v>
      </c>
      <c r="E107" s="445" t="s">
        <v>191</v>
      </c>
      <c r="F107" s="445" t="s">
        <v>191</v>
      </c>
      <c r="G107" s="445" t="s">
        <v>1743</v>
      </c>
      <c r="H107" s="445">
        <v>90</v>
      </c>
      <c r="I107" s="445">
        <v>4</v>
      </c>
      <c r="J107" s="448"/>
      <c r="K107" s="448"/>
      <c r="L107" s="448"/>
      <c r="M107" s="448"/>
      <c r="N107" s="445">
        <v>-9</v>
      </c>
      <c r="O107" s="445">
        <v>-8</v>
      </c>
      <c r="P107" s="445">
        <v>-7</v>
      </c>
      <c r="Q107" s="445">
        <v>-5</v>
      </c>
      <c r="R107" s="445">
        <v>-3</v>
      </c>
      <c r="S107" s="445">
        <v>-1</v>
      </c>
      <c r="T107" s="445">
        <v>0</v>
      </c>
      <c r="U107" s="445">
        <v>0</v>
      </c>
      <c r="V107" s="445">
        <v>1</v>
      </c>
      <c r="W107" s="445">
        <v>1</v>
      </c>
      <c r="X107" s="445">
        <v>1</v>
      </c>
      <c r="Y107" s="445"/>
      <c r="Z107" s="449"/>
      <c r="AB107" s="42"/>
      <c r="AC107" s="42"/>
      <c r="AD107" s="42"/>
      <c r="AE107" s="42"/>
      <c r="AF107" s="42"/>
    </row>
    <row r="108" spans="1:32" x14ac:dyDescent="0.25">
      <c r="B108" s="485" t="s">
        <v>1744</v>
      </c>
      <c r="C108" s="474">
        <f t="shared" si="0"/>
        <v>7</v>
      </c>
      <c r="D108" s="445">
        <v>15</v>
      </c>
      <c r="E108" s="445" t="s">
        <v>191</v>
      </c>
      <c r="F108" s="445" t="s">
        <v>387</v>
      </c>
      <c r="G108" s="445">
        <v>150</v>
      </c>
      <c r="H108" s="445">
        <v>90</v>
      </c>
      <c r="I108" s="445">
        <v>3</v>
      </c>
      <c r="J108" s="448"/>
      <c r="K108" s="448"/>
      <c r="L108" s="448"/>
      <c r="M108" s="448"/>
      <c r="N108" s="445">
        <v>-13</v>
      </c>
      <c r="O108" s="445">
        <v>-11</v>
      </c>
      <c r="P108" s="445">
        <v>-9</v>
      </c>
      <c r="Q108" s="445">
        <v>-7</v>
      </c>
      <c r="R108" s="445">
        <v>-5</v>
      </c>
      <c r="S108" s="445">
        <v>-3</v>
      </c>
      <c r="T108" s="445">
        <v>-1</v>
      </c>
      <c r="U108" s="445">
        <v>0</v>
      </c>
      <c r="V108" s="445">
        <v>1</v>
      </c>
      <c r="W108" s="445">
        <v>1</v>
      </c>
      <c r="X108" s="445">
        <v>3</v>
      </c>
      <c r="Y108" s="445"/>
      <c r="Z108" s="449"/>
      <c r="AB108" s="42"/>
      <c r="AC108" s="42"/>
      <c r="AD108" s="42"/>
      <c r="AE108" s="42"/>
      <c r="AF108" s="42"/>
    </row>
    <row r="109" spans="1:32" x14ac:dyDescent="0.25">
      <c r="B109" s="485" t="s">
        <v>1745</v>
      </c>
      <c r="C109" s="474">
        <f t="shared" si="0"/>
        <v>8</v>
      </c>
      <c r="D109" s="445">
        <v>100</v>
      </c>
      <c r="E109" s="445" t="s">
        <v>193</v>
      </c>
      <c r="F109" s="445" t="s">
        <v>191</v>
      </c>
      <c r="G109" s="445">
        <v>180</v>
      </c>
      <c r="H109" s="445">
        <v>180</v>
      </c>
      <c r="I109" s="445">
        <v>9</v>
      </c>
      <c r="J109" s="448"/>
      <c r="K109" s="448"/>
      <c r="L109" s="448"/>
      <c r="M109" s="448"/>
      <c r="N109" s="445">
        <v>2</v>
      </c>
      <c r="O109" s="445">
        <v>2</v>
      </c>
      <c r="P109" s="445">
        <v>2</v>
      </c>
      <c r="Q109" s="445">
        <v>2</v>
      </c>
      <c r="R109" s="445">
        <v>2</v>
      </c>
      <c r="S109" s="445">
        <v>0</v>
      </c>
      <c r="T109" s="445">
        <v>0</v>
      </c>
      <c r="U109" s="445">
        <v>0</v>
      </c>
      <c r="V109" s="445">
        <v>0</v>
      </c>
      <c r="W109" s="445">
        <v>0</v>
      </c>
      <c r="X109" s="445">
        <v>-1</v>
      </c>
      <c r="Y109" s="445"/>
      <c r="Z109" s="449"/>
      <c r="AB109" s="42"/>
      <c r="AC109" s="42"/>
      <c r="AD109" s="42"/>
      <c r="AE109" s="42"/>
      <c r="AF109" s="42"/>
    </row>
    <row r="110" spans="1:32" x14ac:dyDescent="0.25">
      <c r="B110" s="485" t="s">
        <v>1746</v>
      </c>
      <c r="C110" s="474">
        <f t="shared" si="0"/>
        <v>9</v>
      </c>
      <c r="D110" s="445">
        <v>15</v>
      </c>
      <c r="E110" s="445" t="s">
        <v>191</v>
      </c>
      <c r="F110" s="445" t="s">
        <v>387</v>
      </c>
      <c r="G110" s="445">
        <v>150</v>
      </c>
      <c r="H110" s="445">
        <v>90</v>
      </c>
      <c r="I110" s="445">
        <v>3</v>
      </c>
      <c r="J110" s="448"/>
      <c r="K110" s="448"/>
      <c r="L110" s="448"/>
      <c r="M110" s="448"/>
      <c r="N110" s="445">
        <v>-13</v>
      </c>
      <c r="O110" s="445">
        <v>-11</v>
      </c>
      <c r="P110" s="445">
        <v>-9</v>
      </c>
      <c r="Q110" s="445">
        <v>-7</v>
      </c>
      <c r="R110" s="445">
        <v>-5</v>
      </c>
      <c r="S110" s="445">
        <v>-3</v>
      </c>
      <c r="T110" s="445">
        <v>-1</v>
      </c>
      <c r="U110" s="445">
        <v>0</v>
      </c>
      <c r="V110" s="445">
        <v>1</v>
      </c>
      <c r="W110" s="445">
        <v>0</v>
      </c>
      <c r="X110" s="445">
        <v>3</v>
      </c>
      <c r="Y110" s="445"/>
      <c r="Z110" s="449"/>
      <c r="AB110" s="42"/>
      <c r="AC110" s="42"/>
      <c r="AD110" s="42"/>
      <c r="AE110" s="42"/>
      <c r="AF110" s="42"/>
    </row>
    <row r="111" spans="1:32" x14ac:dyDescent="0.25">
      <c r="B111" s="485" t="s">
        <v>1747</v>
      </c>
      <c r="C111" s="474">
        <f t="shared" si="0"/>
        <v>10</v>
      </c>
      <c r="D111" s="445">
        <v>35</v>
      </c>
      <c r="E111" s="445" t="s">
        <v>197</v>
      </c>
      <c r="F111" s="445" t="s">
        <v>387</v>
      </c>
      <c r="G111" s="445">
        <v>30</v>
      </c>
      <c r="H111" s="445">
        <v>60</v>
      </c>
      <c r="I111" s="445">
        <v>4</v>
      </c>
      <c r="J111" s="448"/>
      <c r="K111" s="448"/>
      <c r="L111" s="448"/>
      <c r="M111" s="448"/>
      <c r="N111" s="445">
        <v>-7</v>
      </c>
      <c r="O111" s="445">
        <v>-6</v>
      </c>
      <c r="P111" s="445">
        <v>-5</v>
      </c>
      <c r="Q111" s="445">
        <v>-4</v>
      </c>
      <c r="R111" s="445">
        <v>-3</v>
      </c>
      <c r="S111" s="445">
        <v>-2</v>
      </c>
      <c r="T111" s="445">
        <v>-1</v>
      </c>
      <c r="U111" s="445">
        <v>0</v>
      </c>
      <c r="V111" s="445">
        <v>0</v>
      </c>
      <c r="W111" s="445">
        <v>0</v>
      </c>
      <c r="X111" s="445">
        <v>2</v>
      </c>
      <c r="Y111" s="445"/>
      <c r="Z111" s="449"/>
      <c r="AB111" s="42"/>
      <c r="AC111" s="42"/>
      <c r="AD111" s="42"/>
      <c r="AE111" s="42"/>
      <c r="AF111" s="42"/>
    </row>
    <row r="112" spans="1:32" x14ac:dyDescent="0.25">
      <c r="B112" s="485" t="s">
        <v>1748</v>
      </c>
      <c r="C112" s="474">
        <f t="shared" si="0"/>
        <v>11</v>
      </c>
      <c r="D112" s="445">
        <v>40</v>
      </c>
      <c r="E112" s="445" t="s">
        <v>191</v>
      </c>
      <c r="F112" s="445" t="s">
        <v>197</v>
      </c>
      <c r="G112" s="445">
        <v>90</v>
      </c>
      <c r="H112" s="445">
        <v>60</v>
      </c>
      <c r="I112" s="445">
        <v>2</v>
      </c>
      <c r="J112" s="448"/>
      <c r="K112" s="448"/>
      <c r="L112" s="448"/>
      <c r="M112" s="448"/>
      <c r="N112" s="445">
        <v>-10</v>
      </c>
      <c r="O112" s="445">
        <v>-9</v>
      </c>
      <c r="P112" s="445">
        <v>-8</v>
      </c>
      <c r="Q112" s="445">
        <v>-9</v>
      </c>
      <c r="R112" s="445">
        <v>-4</v>
      </c>
      <c r="S112" s="445">
        <v>-2</v>
      </c>
      <c r="T112" s="445">
        <v>-1</v>
      </c>
      <c r="U112" s="445">
        <v>0</v>
      </c>
      <c r="V112" s="445">
        <v>1</v>
      </c>
      <c r="W112" s="445">
        <v>0</v>
      </c>
      <c r="X112" s="445">
        <v>2</v>
      </c>
      <c r="Y112" s="445"/>
      <c r="Z112" s="449"/>
      <c r="AB112" s="42"/>
      <c r="AC112" s="42"/>
      <c r="AD112" s="42"/>
      <c r="AE112" s="42"/>
      <c r="AF112" s="42"/>
    </row>
    <row r="113" spans="2:32" x14ac:dyDescent="0.25">
      <c r="B113" s="485" t="s">
        <v>1752</v>
      </c>
      <c r="C113" s="474">
        <f t="shared" si="0"/>
        <v>12</v>
      </c>
      <c r="D113" s="446" t="s">
        <v>1816</v>
      </c>
      <c r="E113" s="445">
        <v>1</v>
      </c>
      <c r="F113" s="445" t="s">
        <v>385</v>
      </c>
      <c r="G113" s="445" t="s">
        <v>1753</v>
      </c>
      <c r="H113" s="445" t="s">
        <v>1753</v>
      </c>
      <c r="I113" s="445" t="s">
        <v>1753</v>
      </c>
      <c r="J113" s="448"/>
      <c r="K113" s="448"/>
      <c r="L113" s="448"/>
      <c r="M113" s="448"/>
      <c r="N113" s="445">
        <v>-8</v>
      </c>
      <c r="O113" s="445">
        <v>-7</v>
      </c>
      <c r="P113" s="445">
        <v>-6</v>
      </c>
      <c r="Q113" s="445">
        <v>-5</v>
      </c>
      <c r="R113" s="445">
        <v>-4</v>
      </c>
      <c r="S113" s="445">
        <v>-3</v>
      </c>
      <c r="T113" s="445">
        <v>-2</v>
      </c>
      <c r="U113" s="445">
        <v>-1</v>
      </c>
      <c r="V113" s="445">
        <v>0</v>
      </c>
      <c r="W113" s="445">
        <v>1</v>
      </c>
      <c r="X113" s="445">
        <v>2</v>
      </c>
      <c r="Y113" s="445"/>
      <c r="Z113" s="449"/>
      <c r="AB113" s="42"/>
      <c r="AC113" s="42"/>
      <c r="AD113" s="42"/>
      <c r="AE113" s="42"/>
      <c r="AF113" s="42"/>
    </row>
    <row r="114" spans="2:32" x14ac:dyDescent="0.25">
      <c r="B114" s="485" t="s">
        <v>1754</v>
      </c>
      <c r="C114" s="474">
        <f t="shared" si="0"/>
        <v>13</v>
      </c>
      <c r="D114" s="445">
        <v>50</v>
      </c>
      <c r="E114" s="445" t="s">
        <v>204</v>
      </c>
      <c r="F114" s="445" t="s">
        <v>204</v>
      </c>
      <c r="G114" s="445" t="s">
        <v>1740</v>
      </c>
      <c r="H114" s="445">
        <v>30</v>
      </c>
      <c r="I114" s="445">
        <v>8</v>
      </c>
      <c r="J114" s="448"/>
      <c r="K114" s="448"/>
      <c r="L114" s="448"/>
      <c r="M114" s="448"/>
      <c r="N114" s="445">
        <v>-3</v>
      </c>
      <c r="O114" s="445">
        <v>-3</v>
      </c>
      <c r="P114" s="445">
        <v>-2</v>
      </c>
      <c r="Q114" s="445">
        <v>-1</v>
      </c>
      <c r="R114" s="445">
        <v>-1</v>
      </c>
      <c r="S114" s="445">
        <v>0</v>
      </c>
      <c r="T114" s="445">
        <v>0</v>
      </c>
      <c r="U114" s="445">
        <v>0</v>
      </c>
      <c r="V114" s="445">
        <v>0</v>
      </c>
      <c r="W114" s="445">
        <v>0</v>
      </c>
      <c r="X114" s="445">
        <v>1</v>
      </c>
      <c r="Y114" s="445"/>
      <c r="Z114" s="449"/>
      <c r="AB114" s="42"/>
      <c r="AC114" s="42"/>
      <c r="AD114" s="42"/>
      <c r="AE114" s="42"/>
      <c r="AF114" s="42"/>
    </row>
    <row r="115" spans="2:32" x14ac:dyDescent="0.25">
      <c r="B115" s="485" t="s">
        <v>192</v>
      </c>
      <c r="C115" s="474">
        <f t="shared" si="0"/>
        <v>14</v>
      </c>
      <c r="D115" s="445">
        <v>40</v>
      </c>
      <c r="E115" s="445" t="s">
        <v>193</v>
      </c>
      <c r="F115" s="445" t="s">
        <v>193</v>
      </c>
      <c r="G115" s="445">
        <v>90</v>
      </c>
      <c r="H115" s="445">
        <v>60</v>
      </c>
      <c r="I115" s="445">
        <v>4</v>
      </c>
      <c r="J115" s="448"/>
      <c r="K115" s="448"/>
      <c r="L115" s="448"/>
      <c r="M115" s="448"/>
      <c r="N115" s="445">
        <v>-4</v>
      </c>
      <c r="O115" s="445">
        <v>-3</v>
      </c>
      <c r="P115" s="445">
        <v>-3</v>
      </c>
      <c r="Q115" s="445">
        <v>-2</v>
      </c>
      <c r="R115" s="445">
        <v>-2</v>
      </c>
      <c r="S115" s="445">
        <v>-1</v>
      </c>
      <c r="T115" s="445">
        <v>0</v>
      </c>
      <c r="U115" s="445">
        <v>0</v>
      </c>
      <c r="V115" s="445">
        <v>1</v>
      </c>
      <c r="W115" s="445">
        <v>1</v>
      </c>
      <c r="X115" s="445">
        <v>3</v>
      </c>
      <c r="Y115" s="499">
        <f>IF(NivC1&gt;2,1+ROUNDDOWN(((NivC1-3)/6),0),"0")</f>
        <v>1</v>
      </c>
      <c r="Z115" s="500">
        <f>1+ROUNDDOWN(((NivC1-1)/6),0)</f>
        <v>1</v>
      </c>
      <c r="AB115" s="42"/>
      <c r="AC115" s="42"/>
      <c r="AD115" s="42"/>
      <c r="AE115" s="42"/>
      <c r="AF115" s="42"/>
    </row>
    <row r="116" spans="2:32" x14ac:dyDescent="0.25">
      <c r="B116" s="485" t="s">
        <v>1755</v>
      </c>
      <c r="C116" s="474">
        <f t="shared" si="0"/>
        <v>15</v>
      </c>
      <c r="D116" s="445">
        <v>6</v>
      </c>
      <c r="E116" s="445" t="s">
        <v>387</v>
      </c>
      <c r="F116" s="445" t="s">
        <v>385</v>
      </c>
      <c r="G116" s="445">
        <v>30</v>
      </c>
      <c r="H116" s="445">
        <v>30</v>
      </c>
      <c r="I116" s="445">
        <v>2</v>
      </c>
      <c r="J116" s="448"/>
      <c r="K116" s="448"/>
      <c r="L116" s="448"/>
      <c r="M116" s="448"/>
      <c r="N116" s="445">
        <v>-6</v>
      </c>
      <c r="O116" s="445">
        <v>-5</v>
      </c>
      <c r="P116" s="445">
        <v>-5</v>
      </c>
      <c r="Q116" s="445">
        <v>-4</v>
      </c>
      <c r="R116" s="445">
        <v>-3</v>
      </c>
      <c r="S116" s="445">
        <v>-2</v>
      </c>
      <c r="T116" s="445">
        <v>-1</v>
      </c>
      <c r="U116" s="445">
        <v>0</v>
      </c>
      <c r="V116" s="445">
        <v>1</v>
      </c>
      <c r="W116" s="445">
        <v>1</v>
      </c>
      <c r="X116" s="445">
        <v>3</v>
      </c>
      <c r="Y116" s="445"/>
      <c r="Z116" s="449"/>
      <c r="AB116" s="42"/>
      <c r="AC116" s="42"/>
      <c r="AD116" s="42"/>
      <c r="AE116" s="42"/>
      <c r="AF116" s="42"/>
    </row>
    <row r="117" spans="2:32" x14ac:dyDescent="0.25">
      <c r="B117" s="485" t="s">
        <v>1756</v>
      </c>
      <c r="C117" s="474">
        <f t="shared" si="0"/>
        <v>16</v>
      </c>
      <c r="D117" s="445">
        <v>75</v>
      </c>
      <c r="E117" s="445" t="s">
        <v>191</v>
      </c>
      <c r="F117" s="445" t="s">
        <v>195</v>
      </c>
      <c r="G117" s="445">
        <v>240</v>
      </c>
      <c r="H117" s="445">
        <v>30</v>
      </c>
      <c r="I117" s="445">
        <v>8</v>
      </c>
      <c r="J117" s="448"/>
      <c r="K117" s="448"/>
      <c r="L117" s="448"/>
      <c r="M117" s="448"/>
      <c r="N117" s="445">
        <v>-2</v>
      </c>
      <c r="O117" s="445">
        <v>-2</v>
      </c>
      <c r="P117" s="445">
        <v>-1</v>
      </c>
      <c r="Q117" s="445">
        <v>-1</v>
      </c>
      <c r="R117" s="445">
        <v>0</v>
      </c>
      <c r="S117" s="445">
        <v>0</v>
      </c>
      <c r="T117" s="445">
        <v>0</v>
      </c>
      <c r="U117" s="445">
        <v>0</v>
      </c>
      <c r="V117" s="445">
        <v>0</v>
      </c>
      <c r="W117" s="445">
        <v>0</v>
      </c>
      <c r="X117" s="445">
        <v>0</v>
      </c>
      <c r="Y117" s="445"/>
      <c r="Z117" s="449"/>
      <c r="AB117" s="42"/>
      <c r="AC117" s="42"/>
      <c r="AD117" s="42"/>
      <c r="AE117" s="42"/>
      <c r="AF117" s="42"/>
    </row>
    <row r="118" spans="2:32" x14ac:dyDescent="0.25">
      <c r="B118" s="485" t="s">
        <v>196</v>
      </c>
      <c r="C118" s="474">
        <f t="shared" si="0"/>
        <v>17</v>
      </c>
      <c r="D118" s="445">
        <v>10</v>
      </c>
      <c r="E118" s="445" t="s">
        <v>197</v>
      </c>
      <c r="F118" s="445" t="s">
        <v>387</v>
      </c>
      <c r="G118" s="445">
        <v>40</v>
      </c>
      <c r="H118" s="445">
        <v>30</v>
      </c>
      <c r="I118" s="445">
        <v>2</v>
      </c>
      <c r="J118" s="448"/>
      <c r="K118" s="448"/>
      <c r="L118" s="448"/>
      <c r="M118" s="448"/>
      <c r="N118" s="445">
        <v>-4</v>
      </c>
      <c r="O118" s="445">
        <v>-4</v>
      </c>
      <c r="P118" s="445">
        <v>-3</v>
      </c>
      <c r="Q118" s="445">
        <v>-3</v>
      </c>
      <c r="R118" s="445">
        <v>-2</v>
      </c>
      <c r="S118" s="445">
        <v>-2</v>
      </c>
      <c r="T118" s="445">
        <v>0</v>
      </c>
      <c r="U118" s="445">
        <v>0</v>
      </c>
      <c r="V118" s="445">
        <v>1</v>
      </c>
      <c r="W118" s="445">
        <v>1</v>
      </c>
      <c r="X118" s="445">
        <v>3</v>
      </c>
      <c r="Y118" s="445"/>
      <c r="Z118" s="449"/>
      <c r="AB118" s="42"/>
      <c r="AC118" s="42"/>
      <c r="AD118" s="42"/>
      <c r="AE118" s="42"/>
      <c r="AF118" s="42"/>
    </row>
    <row r="119" spans="2:32" x14ac:dyDescent="0.25">
      <c r="B119" s="485" t="s">
        <v>1757</v>
      </c>
      <c r="C119" s="474">
        <f t="shared" si="0"/>
        <v>18</v>
      </c>
      <c r="D119" s="445">
        <v>250</v>
      </c>
      <c r="E119" s="445" t="s">
        <v>195</v>
      </c>
      <c r="F119" s="445" t="s">
        <v>221</v>
      </c>
      <c r="G119" s="445">
        <v>180</v>
      </c>
      <c r="H119" s="445">
        <v>180</v>
      </c>
      <c r="I119" s="445">
        <v>10</v>
      </c>
      <c r="J119" s="448"/>
      <c r="K119" s="448"/>
      <c r="L119" s="448"/>
      <c r="M119" s="448"/>
      <c r="N119" s="445">
        <v>2</v>
      </c>
      <c r="O119" s="445">
        <v>2</v>
      </c>
      <c r="P119" s="445">
        <v>2</v>
      </c>
      <c r="Q119" s="445">
        <v>2</v>
      </c>
      <c r="R119" s="445">
        <v>2</v>
      </c>
      <c r="S119" s="445">
        <v>2</v>
      </c>
      <c r="T119" s="445">
        <v>3</v>
      </c>
      <c r="U119" s="445">
        <v>3</v>
      </c>
      <c r="V119" s="445">
        <v>3</v>
      </c>
      <c r="W119" s="445">
        <v>1</v>
      </c>
      <c r="X119" s="445">
        <v>0</v>
      </c>
      <c r="Y119" s="445"/>
      <c r="Z119" s="449"/>
      <c r="AB119" s="42"/>
      <c r="AC119" s="42"/>
      <c r="AD119" s="42"/>
      <c r="AE119" s="42"/>
      <c r="AF119" s="42"/>
    </row>
    <row r="120" spans="2:32" x14ac:dyDescent="0.25">
      <c r="B120" s="485" t="s">
        <v>1758</v>
      </c>
      <c r="C120" s="474">
        <f t="shared" si="0"/>
        <v>19</v>
      </c>
      <c r="D120" s="445">
        <v>100</v>
      </c>
      <c r="E120" s="445" t="s">
        <v>204</v>
      </c>
      <c r="F120" s="445" t="s">
        <v>412</v>
      </c>
      <c r="G120" s="445">
        <v>135</v>
      </c>
      <c r="H120" s="445">
        <v>120</v>
      </c>
      <c r="I120" s="445">
        <v>6</v>
      </c>
      <c r="J120" s="448"/>
      <c r="K120" s="448"/>
      <c r="L120" s="448"/>
      <c r="M120" s="448"/>
      <c r="N120" s="445">
        <v>0</v>
      </c>
      <c r="O120" s="445">
        <v>0</v>
      </c>
      <c r="P120" s="445">
        <v>0</v>
      </c>
      <c r="Q120" s="445">
        <v>0</v>
      </c>
      <c r="R120" s="445">
        <v>1</v>
      </c>
      <c r="S120" s="445">
        <v>1</v>
      </c>
      <c r="T120" s="445">
        <v>1</v>
      </c>
      <c r="U120" s="445">
        <v>1</v>
      </c>
      <c r="V120" s="445">
        <v>1</v>
      </c>
      <c r="W120" s="445">
        <v>1</v>
      </c>
      <c r="X120" s="445">
        <v>0</v>
      </c>
      <c r="Y120" s="445"/>
      <c r="Z120" s="449"/>
      <c r="AB120" s="42"/>
      <c r="AC120" s="42"/>
      <c r="AD120" s="42"/>
      <c r="AE120" s="42"/>
      <c r="AF120" s="42"/>
    </row>
    <row r="121" spans="2:32" x14ac:dyDescent="0.25">
      <c r="B121" s="485" t="s">
        <v>1759</v>
      </c>
      <c r="C121" s="474">
        <f t="shared" si="0"/>
        <v>20</v>
      </c>
      <c r="D121" s="445">
        <v>35</v>
      </c>
      <c r="E121" s="445" t="s">
        <v>191</v>
      </c>
      <c r="F121" s="445" t="s">
        <v>193</v>
      </c>
      <c r="G121" s="445">
        <v>60</v>
      </c>
      <c r="H121" s="445">
        <v>30</v>
      </c>
      <c r="I121" s="445">
        <v>3</v>
      </c>
      <c r="J121" s="448"/>
      <c r="K121" s="448"/>
      <c r="L121" s="448"/>
      <c r="M121" s="448"/>
      <c r="N121" s="445">
        <v>-5</v>
      </c>
      <c r="O121" s="445">
        <v>-4</v>
      </c>
      <c r="P121" s="445">
        <v>-3</v>
      </c>
      <c r="Q121" s="445">
        <v>-2</v>
      </c>
      <c r="R121" s="445">
        <v>-1</v>
      </c>
      <c r="S121" s="445">
        <v>0</v>
      </c>
      <c r="T121" s="445">
        <v>0</v>
      </c>
      <c r="U121" s="445">
        <v>0</v>
      </c>
      <c r="V121" s="445">
        <v>1</v>
      </c>
      <c r="W121" s="445">
        <v>0</v>
      </c>
      <c r="X121" s="445">
        <v>2</v>
      </c>
      <c r="Y121" s="445"/>
      <c r="Z121" s="449"/>
      <c r="AB121" s="42"/>
      <c r="AC121" s="42"/>
      <c r="AD121" s="42"/>
      <c r="AE121" s="42"/>
      <c r="AF121" s="42"/>
    </row>
    <row r="122" spans="2:32" x14ac:dyDescent="0.25">
      <c r="B122" s="485" t="s">
        <v>1760</v>
      </c>
      <c r="C122" s="474">
        <f t="shared" si="0"/>
        <v>21</v>
      </c>
      <c r="D122" s="446" t="s">
        <v>1761</v>
      </c>
      <c r="E122" s="445" t="s">
        <v>384</v>
      </c>
      <c r="F122" s="445" t="s">
        <v>204</v>
      </c>
      <c r="G122" s="445">
        <v>105</v>
      </c>
      <c r="H122" s="445">
        <v>105</v>
      </c>
      <c r="I122" s="445">
        <v>5</v>
      </c>
      <c r="J122" s="448"/>
      <c r="K122" s="448"/>
      <c r="L122" s="448"/>
      <c r="M122" s="448"/>
      <c r="N122" s="445">
        <v>-3</v>
      </c>
      <c r="O122" s="445">
        <v>-2</v>
      </c>
      <c r="P122" s="445">
        <v>-2</v>
      </c>
      <c r="Q122" s="445">
        <v>-1</v>
      </c>
      <c r="R122" s="445">
        <v>0</v>
      </c>
      <c r="S122" s="445">
        <v>1</v>
      </c>
      <c r="T122" s="445">
        <v>1</v>
      </c>
      <c r="U122" s="445">
        <v>1</v>
      </c>
      <c r="V122" s="445">
        <v>1</v>
      </c>
      <c r="W122" s="445">
        <v>0</v>
      </c>
      <c r="X122" s="445">
        <v>0</v>
      </c>
      <c r="Y122" s="445"/>
      <c r="Z122" s="449"/>
      <c r="AB122" s="42"/>
      <c r="AC122" s="42"/>
      <c r="AD122" s="42"/>
      <c r="AE122" s="42"/>
      <c r="AF122" s="42"/>
    </row>
    <row r="123" spans="2:32" x14ac:dyDescent="0.25">
      <c r="B123" s="485" t="s">
        <v>1762</v>
      </c>
      <c r="C123" s="474">
        <f t="shared" si="0"/>
        <v>22</v>
      </c>
      <c r="D123" s="445">
        <v>75</v>
      </c>
      <c r="E123" s="445" t="s">
        <v>204</v>
      </c>
      <c r="F123" s="445" t="s">
        <v>191</v>
      </c>
      <c r="G123" s="445">
        <v>105</v>
      </c>
      <c r="H123" s="445">
        <v>120</v>
      </c>
      <c r="I123" s="445">
        <v>9</v>
      </c>
      <c r="J123" s="448"/>
      <c r="K123" s="448"/>
      <c r="L123" s="448"/>
      <c r="M123" s="448"/>
      <c r="N123" s="445">
        <v>-7</v>
      </c>
      <c r="O123" s="445">
        <v>-6</v>
      </c>
      <c r="P123" s="445">
        <v>-5</v>
      </c>
      <c r="Q123" s="445">
        <v>-4</v>
      </c>
      <c r="R123" s="445">
        <v>-2</v>
      </c>
      <c r="S123" s="445">
        <v>-1</v>
      </c>
      <c r="T123" s="445">
        <v>0</v>
      </c>
      <c r="U123" s="445">
        <v>0</v>
      </c>
      <c r="V123" s="445">
        <v>1</v>
      </c>
      <c r="W123" s="445">
        <v>1</v>
      </c>
      <c r="X123" s="445">
        <v>2</v>
      </c>
      <c r="Y123" s="445"/>
      <c r="Z123" s="449"/>
      <c r="AB123" s="42"/>
      <c r="AC123" s="42"/>
      <c r="AD123" s="42"/>
      <c r="AE123" s="42"/>
      <c r="AF123" s="42"/>
    </row>
    <row r="124" spans="2:32" x14ac:dyDescent="0.25">
      <c r="B124" s="485" t="s">
        <v>1763</v>
      </c>
      <c r="C124" s="474">
        <f t="shared" si="0"/>
        <v>23</v>
      </c>
      <c r="D124" s="445">
        <v>75</v>
      </c>
      <c r="E124" s="445" t="s">
        <v>204</v>
      </c>
      <c r="F124" s="445" t="s">
        <v>384</v>
      </c>
      <c r="G124" s="445">
        <v>105</v>
      </c>
      <c r="H124" s="445">
        <v>120</v>
      </c>
      <c r="I124" s="445">
        <v>5</v>
      </c>
      <c r="J124" s="448"/>
      <c r="K124" s="448"/>
      <c r="L124" s="448"/>
      <c r="M124" s="448"/>
      <c r="N124" s="445">
        <v>-5</v>
      </c>
      <c r="O124" s="445">
        <v>-4</v>
      </c>
      <c r="P124" s="445">
        <v>-3</v>
      </c>
      <c r="Q124" s="445">
        <v>-2</v>
      </c>
      <c r="R124" s="445">
        <v>-1</v>
      </c>
      <c r="S124" s="445">
        <v>0</v>
      </c>
      <c r="T124" s="445">
        <v>0</v>
      </c>
      <c r="U124" s="445">
        <v>1</v>
      </c>
      <c r="V124" s="445">
        <v>1</v>
      </c>
      <c r="W124" s="445">
        <v>1</v>
      </c>
      <c r="X124" s="445">
        <v>2</v>
      </c>
      <c r="Y124" s="499">
        <f>IF(NivC1&gt;2,1+ROUNDDOWN(((NivC1-3)/6),0),"0")</f>
        <v>1</v>
      </c>
      <c r="Z124" s="500">
        <f>1+ROUNDDOWN(((NivC1-1)/6),0)</f>
        <v>1</v>
      </c>
      <c r="AB124" s="42"/>
      <c r="AC124" s="42"/>
      <c r="AD124" s="42"/>
      <c r="AE124" s="42"/>
      <c r="AF124" s="42"/>
    </row>
    <row r="125" spans="2:32" x14ac:dyDescent="0.25">
      <c r="B125" s="485" t="s">
        <v>1489</v>
      </c>
      <c r="C125" s="474">
        <f t="shared" si="0"/>
        <v>24</v>
      </c>
      <c r="D125" s="445">
        <v>60</v>
      </c>
      <c r="E125" s="445" t="s">
        <v>193</v>
      </c>
      <c r="F125" s="445" t="s">
        <v>1258</v>
      </c>
      <c r="G125" s="445">
        <v>105</v>
      </c>
      <c r="H125" s="445">
        <v>90</v>
      </c>
      <c r="I125" s="445">
        <v>5</v>
      </c>
      <c r="J125" s="448"/>
      <c r="K125" s="448"/>
      <c r="L125" s="448"/>
      <c r="M125" s="448"/>
      <c r="N125" s="445">
        <v>-4</v>
      </c>
      <c r="O125" s="445">
        <v>-3</v>
      </c>
      <c r="P125" s="445">
        <v>-2</v>
      </c>
      <c r="Q125" s="445">
        <v>-1</v>
      </c>
      <c r="R125" s="445">
        <v>0</v>
      </c>
      <c r="S125" s="445">
        <v>0</v>
      </c>
      <c r="T125" s="445">
        <v>0</v>
      </c>
      <c r="U125" s="445">
        <v>0</v>
      </c>
      <c r="V125" s="445">
        <v>0</v>
      </c>
      <c r="W125" s="445">
        <v>1</v>
      </c>
      <c r="X125" s="445">
        <v>2</v>
      </c>
      <c r="Y125" s="499">
        <f>IF(NivC1&gt;2,1+ROUNDDOWN(((NivC1-3)/6),0),"0")</f>
        <v>1</v>
      </c>
      <c r="Z125" s="500">
        <f>1+ROUNDDOWN(((NivC1-1)/6),0)</f>
        <v>1</v>
      </c>
      <c r="AB125" s="42"/>
      <c r="AC125" s="42"/>
      <c r="AD125" s="42"/>
      <c r="AE125" s="42"/>
      <c r="AF125" s="42"/>
    </row>
    <row r="126" spans="2:32" x14ac:dyDescent="0.25">
      <c r="B126" s="485" t="s">
        <v>1764</v>
      </c>
      <c r="C126" s="474">
        <f t="shared" si="0"/>
        <v>25</v>
      </c>
      <c r="D126" s="445">
        <v>40</v>
      </c>
      <c r="E126" s="445" t="s">
        <v>1259</v>
      </c>
      <c r="F126" s="445" t="s">
        <v>197</v>
      </c>
      <c r="G126" s="445">
        <v>60</v>
      </c>
      <c r="H126" s="445">
        <v>60</v>
      </c>
      <c r="I126" s="445">
        <v>5</v>
      </c>
      <c r="J126" s="448"/>
      <c r="K126" s="448"/>
      <c r="L126" s="448"/>
      <c r="M126" s="448"/>
      <c r="N126" s="445">
        <v>2</v>
      </c>
      <c r="O126" s="445">
        <v>2</v>
      </c>
      <c r="P126" s="445">
        <v>1</v>
      </c>
      <c r="Q126" s="445">
        <v>1</v>
      </c>
      <c r="R126" s="445">
        <v>1</v>
      </c>
      <c r="S126" s="445">
        <v>1</v>
      </c>
      <c r="T126" s="445">
        <v>0</v>
      </c>
      <c r="U126" s="445">
        <v>0</v>
      </c>
      <c r="V126" s="445">
        <v>-1</v>
      </c>
      <c r="W126" s="445">
        <v>-1</v>
      </c>
      <c r="X126" s="445">
        <v>-1</v>
      </c>
      <c r="Y126" s="499">
        <f>IF(NivC1&gt;2,1+ROUNDDOWN(((NivC1-5)/6),0),"0")</f>
        <v>1</v>
      </c>
      <c r="Z126" s="500">
        <f>IF(NivC1&gt;2,1+ROUNDDOWN(((NivC1-3)/6),0),"0")</f>
        <v>1</v>
      </c>
      <c r="AB126" s="42"/>
      <c r="AC126" s="42"/>
      <c r="AD126" s="42"/>
      <c r="AE126" s="42"/>
      <c r="AF126" s="42"/>
    </row>
    <row r="127" spans="2:32" x14ac:dyDescent="0.25">
      <c r="B127" s="485" t="s">
        <v>1765</v>
      </c>
      <c r="C127" s="474">
        <f t="shared" si="0"/>
        <v>26</v>
      </c>
      <c r="D127" s="445">
        <v>60</v>
      </c>
      <c r="E127" s="445" t="s">
        <v>384</v>
      </c>
      <c r="F127" s="445" t="s">
        <v>204</v>
      </c>
      <c r="G127" s="445">
        <v>120</v>
      </c>
      <c r="H127" s="445">
        <v>120</v>
      </c>
      <c r="I127" s="445">
        <v>7</v>
      </c>
      <c r="J127" s="448"/>
      <c r="K127" s="448"/>
      <c r="L127" s="448"/>
      <c r="M127" s="448"/>
      <c r="N127" s="445">
        <v>3</v>
      </c>
      <c r="O127" s="445">
        <v>3</v>
      </c>
      <c r="P127" s="445">
        <v>2</v>
      </c>
      <c r="Q127" s="445">
        <v>2</v>
      </c>
      <c r="R127" s="445">
        <v>1</v>
      </c>
      <c r="S127" s="445">
        <v>1</v>
      </c>
      <c r="T127" s="445">
        <v>0</v>
      </c>
      <c r="U127" s="445">
        <v>-1</v>
      </c>
      <c r="V127" s="445">
        <v>-1</v>
      </c>
      <c r="W127" s="445">
        <v>-1</v>
      </c>
      <c r="X127" s="445">
        <v>-2</v>
      </c>
      <c r="Y127" s="445"/>
      <c r="Z127" s="449"/>
      <c r="AB127" s="42"/>
      <c r="AC127" s="42"/>
      <c r="AD127" s="42"/>
      <c r="AE127" s="42"/>
      <c r="AF127" s="42"/>
    </row>
    <row r="128" spans="2:32" x14ac:dyDescent="0.25">
      <c r="B128" s="485" t="s">
        <v>1766</v>
      </c>
      <c r="C128" s="474">
        <f t="shared" si="0"/>
        <v>27</v>
      </c>
      <c r="D128" s="445">
        <v>125</v>
      </c>
      <c r="E128" s="445" t="s">
        <v>204</v>
      </c>
      <c r="F128" s="445" t="s">
        <v>384</v>
      </c>
      <c r="G128" s="445">
        <v>120</v>
      </c>
      <c r="H128" s="445">
        <v>150</v>
      </c>
      <c r="I128" s="445">
        <v>7</v>
      </c>
      <c r="J128" s="448"/>
      <c r="K128" s="448"/>
      <c r="L128" s="448"/>
      <c r="M128" s="448"/>
      <c r="N128" s="445">
        <v>0</v>
      </c>
      <c r="O128" s="445">
        <v>0</v>
      </c>
      <c r="P128" s="445">
        <v>0</v>
      </c>
      <c r="Q128" s="445">
        <v>1</v>
      </c>
      <c r="R128" s="445">
        <v>1</v>
      </c>
      <c r="S128" s="445">
        <v>1</v>
      </c>
      <c r="T128" s="445">
        <v>1</v>
      </c>
      <c r="U128" s="445">
        <v>1</v>
      </c>
      <c r="V128" s="445">
        <v>1</v>
      </c>
      <c r="W128" s="445">
        <v>2</v>
      </c>
      <c r="X128" s="445">
        <v>2</v>
      </c>
      <c r="Y128" s="445"/>
      <c r="Z128" s="449"/>
    </row>
    <row r="129" spans="2:26" x14ac:dyDescent="0.25">
      <c r="B129" s="485" t="s">
        <v>1767</v>
      </c>
      <c r="C129" s="474">
        <f t="shared" si="0"/>
        <v>28</v>
      </c>
      <c r="D129" s="445">
        <v>60</v>
      </c>
      <c r="E129" s="445" t="s">
        <v>191</v>
      </c>
      <c r="F129" s="445" t="s">
        <v>193</v>
      </c>
      <c r="G129" s="445">
        <v>240</v>
      </c>
      <c r="H129" s="445">
        <v>60</v>
      </c>
      <c r="I129" s="445">
        <v>8</v>
      </c>
      <c r="J129" s="448"/>
      <c r="K129" s="448"/>
      <c r="L129" s="448"/>
      <c r="M129" s="448"/>
      <c r="N129" s="445">
        <v>-3</v>
      </c>
      <c r="O129" s="445">
        <v>-3</v>
      </c>
      <c r="P129" s="445">
        <v>-2</v>
      </c>
      <c r="Q129" s="445">
        <v>-2</v>
      </c>
      <c r="R129" s="445">
        <v>-1</v>
      </c>
      <c r="S129" s="445">
        <v>-1</v>
      </c>
      <c r="T129" s="445">
        <v>0</v>
      </c>
      <c r="U129" s="445">
        <v>0</v>
      </c>
      <c r="V129" s="445">
        <v>0</v>
      </c>
      <c r="W129" s="445">
        <v>-1</v>
      </c>
      <c r="X129" s="445">
        <v>-1</v>
      </c>
      <c r="Y129" s="445"/>
      <c r="Z129" s="449"/>
    </row>
    <row r="130" spans="2:26" x14ac:dyDescent="0.25">
      <c r="B130" s="485" t="s">
        <v>1768</v>
      </c>
      <c r="C130" s="474">
        <f t="shared" si="0"/>
        <v>29</v>
      </c>
      <c r="D130" s="445">
        <v>35</v>
      </c>
      <c r="E130" s="445" t="s">
        <v>1259</v>
      </c>
      <c r="F130" s="445" t="s">
        <v>1259</v>
      </c>
      <c r="G130" s="445">
        <v>60</v>
      </c>
      <c r="H130" s="445">
        <v>120</v>
      </c>
      <c r="I130" s="445">
        <v>6</v>
      </c>
      <c r="J130" s="448"/>
      <c r="K130" s="448"/>
      <c r="L130" s="448"/>
      <c r="M130" s="448"/>
      <c r="N130" s="445">
        <v>0</v>
      </c>
      <c r="O130" s="445">
        <v>0</v>
      </c>
      <c r="P130" s="445">
        <v>0</v>
      </c>
      <c r="Q130" s="445">
        <v>0</v>
      </c>
      <c r="R130" s="445">
        <v>0</v>
      </c>
      <c r="S130" s="445">
        <v>0</v>
      </c>
      <c r="T130" s="445">
        <v>0</v>
      </c>
      <c r="U130" s="445">
        <v>1</v>
      </c>
      <c r="V130" s="445">
        <v>1</v>
      </c>
      <c r="W130" s="445">
        <v>1</v>
      </c>
      <c r="X130" s="445">
        <v>0</v>
      </c>
      <c r="Y130" s="499">
        <f>IF(NivC1&gt;2,1+ROUNDDOWN(((NivC1-5)/6),0),"0")</f>
        <v>1</v>
      </c>
      <c r="Z130" s="500">
        <f>IF(NivC1&gt;2,1+ROUNDDOWN(((NivC1-3)/6),0),"0")</f>
        <v>1</v>
      </c>
    </row>
    <row r="131" spans="2:26" x14ac:dyDescent="0.25">
      <c r="B131" s="485" t="s">
        <v>1769</v>
      </c>
      <c r="C131" s="474">
        <f t="shared" si="0"/>
        <v>30</v>
      </c>
      <c r="D131" s="445">
        <v>150</v>
      </c>
      <c r="E131" s="445" t="s">
        <v>384</v>
      </c>
      <c r="F131" s="445" t="s">
        <v>204</v>
      </c>
      <c r="G131" s="445">
        <v>120</v>
      </c>
      <c r="H131" s="445">
        <v>180</v>
      </c>
      <c r="I131" s="445">
        <v>7</v>
      </c>
      <c r="J131" s="448"/>
      <c r="K131" s="448"/>
      <c r="L131" s="448"/>
      <c r="M131" s="448"/>
      <c r="N131" s="445">
        <v>3</v>
      </c>
      <c r="O131" s="445">
        <v>3</v>
      </c>
      <c r="P131" s="445">
        <v>2</v>
      </c>
      <c r="Q131" s="445">
        <v>2</v>
      </c>
      <c r="R131" s="445">
        <v>1</v>
      </c>
      <c r="S131" s="445">
        <v>2</v>
      </c>
      <c r="T131" s="445">
        <v>1</v>
      </c>
      <c r="U131" s="445">
        <v>1</v>
      </c>
      <c r="V131" s="445">
        <v>1</v>
      </c>
      <c r="W131" s="445">
        <v>1</v>
      </c>
      <c r="X131" s="445">
        <v>-1</v>
      </c>
      <c r="Y131" s="445"/>
      <c r="Z131" s="449"/>
    </row>
    <row r="132" spans="2:26" x14ac:dyDescent="0.25">
      <c r="B132" s="485" t="s">
        <v>222</v>
      </c>
      <c r="C132" s="474">
        <f t="shared" si="0"/>
        <v>31</v>
      </c>
      <c r="D132" s="446" t="s">
        <v>1772</v>
      </c>
      <c r="E132" s="445" t="s">
        <v>385</v>
      </c>
      <c r="F132" s="445">
        <v>1</v>
      </c>
      <c r="G132" s="445" t="s">
        <v>1773</v>
      </c>
      <c r="H132" s="445" t="s">
        <v>1773</v>
      </c>
      <c r="I132" s="446" t="s">
        <v>1818</v>
      </c>
      <c r="J132" s="448"/>
      <c r="K132" s="448"/>
      <c r="L132" s="448"/>
      <c r="M132" s="448"/>
      <c r="N132" s="445">
        <v>-14</v>
      </c>
      <c r="O132" s="445">
        <v>-12</v>
      </c>
      <c r="P132" s="445">
        <v>-10</v>
      </c>
      <c r="Q132" s="445">
        <v>-8</v>
      </c>
      <c r="R132" s="445">
        <v>-6</v>
      </c>
      <c r="S132" s="445">
        <v>-4</v>
      </c>
      <c r="T132" s="445">
        <v>-2</v>
      </c>
      <c r="U132" s="445">
        <v>-1</v>
      </c>
      <c r="V132" s="445">
        <v>1</v>
      </c>
      <c r="W132" s="445">
        <v>0</v>
      </c>
      <c r="X132" s="445">
        <v>3</v>
      </c>
      <c r="Y132" s="445"/>
      <c r="Z132" s="449"/>
    </row>
    <row r="133" spans="2:26" x14ac:dyDescent="0.25">
      <c r="B133" s="485" t="s">
        <v>1774</v>
      </c>
      <c r="C133" s="474">
        <f t="shared" si="0"/>
        <v>32</v>
      </c>
      <c r="D133" s="445">
        <v>75</v>
      </c>
      <c r="E133" s="445" t="s">
        <v>193</v>
      </c>
      <c r="F133" s="445" t="s">
        <v>195</v>
      </c>
      <c r="G133" s="445" t="s">
        <v>1775</v>
      </c>
      <c r="H133" s="445">
        <v>30</v>
      </c>
      <c r="I133" s="445">
        <v>7</v>
      </c>
      <c r="J133" s="448"/>
      <c r="K133" s="448"/>
      <c r="L133" s="448"/>
      <c r="M133" s="448"/>
      <c r="N133" s="445">
        <v>-3</v>
      </c>
      <c r="O133" s="445">
        <v>-3</v>
      </c>
      <c r="P133" s="445">
        <v>-2</v>
      </c>
      <c r="Q133" s="445">
        <v>-2</v>
      </c>
      <c r="R133" s="445">
        <v>-1</v>
      </c>
      <c r="S133" s="445">
        <v>0</v>
      </c>
      <c r="T133" s="445">
        <v>0</v>
      </c>
      <c r="U133" s="445">
        <v>1</v>
      </c>
      <c r="V133" s="445">
        <v>1</v>
      </c>
      <c r="W133" s="445">
        <v>0</v>
      </c>
      <c r="X133" s="445">
        <v>1</v>
      </c>
      <c r="Y133" s="445"/>
      <c r="Z133" s="449"/>
    </row>
    <row r="134" spans="2:26" x14ac:dyDescent="0.25">
      <c r="B134" s="485" t="s">
        <v>1776</v>
      </c>
      <c r="C134" s="474">
        <f t="shared" si="0"/>
        <v>33</v>
      </c>
      <c r="D134" s="445">
        <v>80</v>
      </c>
      <c r="E134" s="445" t="s">
        <v>193</v>
      </c>
      <c r="F134" s="445" t="s">
        <v>195</v>
      </c>
      <c r="G134" s="445">
        <v>240</v>
      </c>
      <c r="H134" s="445">
        <v>60</v>
      </c>
      <c r="I134" s="445">
        <v>8</v>
      </c>
      <c r="J134" s="448"/>
      <c r="K134" s="448"/>
      <c r="L134" s="448"/>
      <c r="M134" s="448"/>
      <c r="N134" s="445">
        <v>-2</v>
      </c>
      <c r="O134" s="445">
        <v>-2</v>
      </c>
      <c r="P134" s="445">
        <v>-1</v>
      </c>
      <c r="Q134" s="445">
        <v>-1</v>
      </c>
      <c r="R134" s="445">
        <v>-1</v>
      </c>
      <c r="S134" s="445">
        <v>-1</v>
      </c>
      <c r="T134" s="445">
        <v>0</v>
      </c>
      <c r="U134" s="445">
        <v>0</v>
      </c>
      <c r="V134" s="445">
        <v>1</v>
      </c>
      <c r="W134" s="445">
        <v>0</v>
      </c>
      <c r="X134" s="445">
        <v>1</v>
      </c>
      <c r="Y134" s="445"/>
      <c r="Z134" s="449"/>
    </row>
    <row r="135" spans="2:26" x14ac:dyDescent="0.25">
      <c r="B135" s="485" t="s">
        <v>1781</v>
      </c>
      <c r="C135" s="474">
        <f t="shared" si="0"/>
        <v>34</v>
      </c>
      <c r="D135" s="445">
        <v>1</v>
      </c>
      <c r="E135" s="445" t="s">
        <v>197</v>
      </c>
      <c r="F135" s="445" t="s">
        <v>191</v>
      </c>
      <c r="G135" s="445">
        <v>90</v>
      </c>
      <c r="H135" s="445">
        <v>45</v>
      </c>
      <c r="I135" s="445">
        <v>2</v>
      </c>
      <c r="J135" s="448"/>
      <c r="K135" s="448"/>
      <c r="L135" s="448"/>
      <c r="M135" s="448"/>
      <c r="N135" s="445">
        <v>0</v>
      </c>
      <c r="O135" s="445">
        <v>0</v>
      </c>
      <c r="P135" s="445">
        <v>0</v>
      </c>
      <c r="Q135" s="445">
        <v>0</v>
      </c>
      <c r="R135" s="445">
        <v>0</v>
      </c>
      <c r="S135" s="445">
        <v>0</v>
      </c>
      <c r="T135" s="445">
        <v>0</v>
      </c>
      <c r="U135" s="445">
        <v>0</v>
      </c>
      <c r="V135" s="445">
        <v>0</v>
      </c>
      <c r="W135" s="445">
        <v>0</v>
      </c>
      <c r="X135" s="445">
        <v>0</v>
      </c>
      <c r="Y135" s="445"/>
      <c r="Z135" s="449"/>
    </row>
    <row r="136" spans="2:26" x14ac:dyDescent="0.25">
      <c r="B136" s="485" t="s">
        <v>1782</v>
      </c>
      <c r="C136" s="474">
        <f t="shared" si="0"/>
        <v>35</v>
      </c>
      <c r="D136" s="445">
        <v>100</v>
      </c>
      <c r="E136" s="445" t="s">
        <v>204</v>
      </c>
      <c r="F136" s="445" t="s">
        <v>209</v>
      </c>
      <c r="G136" s="445" t="s">
        <v>1740</v>
      </c>
      <c r="H136" s="445">
        <v>30</v>
      </c>
      <c r="I136" s="445">
        <v>9</v>
      </c>
      <c r="J136" s="448"/>
      <c r="K136" s="448"/>
      <c r="L136" s="448"/>
      <c r="M136" s="448"/>
      <c r="N136" s="445">
        <v>-2</v>
      </c>
      <c r="O136" s="445">
        <v>-2</v>
      </c>
      <c r="P136" s="445">
        <v>-1</v>
      </c>
      <c r="Q136" s="445">
        <v>-1</v>
      </c>
      <c r="R136" s="445">
        <v>0</v>
      </c>
      <c r="S136" s="445">
        <v>0</v>
      </c>
      <c r="T136" s="445">
        <v>0</v>
      </c>
      <c r="U136" s="445">
        <v>0</v>
      </c>
      <c r="V136" s="445">
        <v>0</v>
      </c>
      <c r="W136" s="445">
        <v>0</v>
      </c>
      <c r="X136" s="445">
        <v>0</v>
      </c>
      <c r="Y136" s="445"/>
      <c r="Z136" s="449"/>
    </row>
    <row r="137" spans="2:26" x14ac:dyDescent="0.25">
      <c r="B137" s="485" t="s">
        <v>205</v>
      </c>
      <c r="C137" s="474">
        <f t="shared" si="0"/>
        <v>36</v>
      </c>
      <c r="D137" s="445">
        <v>80</v>
      </c>
      <c r="E137" s="445" t="s">
        <v>204</v>
      </c>
      <c r="F137" s="445" t="s">
        <v>193</v>
      </c>
      <c r="G137" s="445" t="s">
        <v>1783</v>
      </c>
      <c r="H137" s="445">
        <v>60</v>
      </c>
      <c r="I137" s="445">
        <v>8</v>
      </c>
      <c r="J137" s="448"/>
      <c r="K137" s="448"/>
      <c r="L137" s="448"/>
      <c r="M137" s="448"/>
      <c r="N137" s="445">
        <v>-3</v>
      </c>
      <c r="O137" s="445">
        <v>-3</v>
      </c>
      <c r="P137" s="445">
        <v>-2</v>
      </c>
      <c r="Q137" s="445">
        <v>-2</v>
      </c>
      <c r="R137" s="445">
        <v>-1</v>
      </c>
      <c r="S137" s="445">
        <v>-1</v>
      </c>
      <c r="T137" s="445">
        <v>0</v>
      </c>
      <c r="U137" s="445">
        <v>0</v>
      </c>
      <c r="V137" s="445">
        <v>0</v>
      </c>
      <c r="W137" s="445">
        <v>-1</v>
      </c>
      <c r="X137" s="445">
        <v>-1</v>
      </c>
      <c r="Y137" s="445"/>
      <c r="Z137" s="449"/>
    </row>
    <row r="138" spans="2:26" x14ac:dyDescent="0.25">
      <c r="B138" s="485" t="s">
        <v>1784</v>
      </c>
      <c r="C138" s="474">
        <f t="shared" si="0"/>
        <v>37</v>
      </c>
      <c r="D138" s="445">
        <v>150</v>
      </c>
      <c r="E138" s="445" t="s">
        <v>204</v>
      </c>
      <c r="F138" s="445" t="s">
        <v>204</v>
      </c>
      <c r="G138" s="445" t="s">
        <v>1775</v>
      </c>
      <c r="H138" s="445">
        <v>30</v>
      </c>
      <c r="I138" s="445">
        <v>9</v>
      </c>
      <c r="J138" s="448"/>
      <c r="K138" s="448"/>
      <c r="L138" s="448"/>
      <c r="M138" s="448"/>
      <c r="N138" s="445">
        <v>-2</v>
      </c>
      <c r="O138" s="445">
        <v>-2</v>
      </c>
      <c r="P138" s="445">
        <v>-1</v>
      </c>
      <c r="Q138" s="445">
        <v>-1</v>
      </c>
      <c r="R138" s="445">
        <v>0</v>
      </c>
      <c r="S138" s="445">
        <v>1</v>
      </c>
      <c r="T138" s="445">
        <v>1</v>
      </c>
      <c r="U138" s="445">
        <v>1</v>
      </c>
      <c r="V138" s="445">
        <v>0</v>
      </c>
      <c r="W138" s="445">
        <v>0</v>
      </c>
      <c r="X138" s="445">
        <v>0</v>
      </c>
      <c r="Y138" s="445"/>
      <c r="Z138" s="449"/>
    </row>
    <row r="139" spans="2:26" x14ac:dyDescent="0.25">
      <c r="B139" s="485" t="s">
        <v>1785</v>
      </c>
      <c r="C139" s="474">
        <f t="shared" si="0"/>
        <v>38</v>
      </c>
      <c r="D139" s="445">
        <v>75</v>
      </c>
      <c r="E139" s="445" t="s">
        <v>193</v>
      </c>
      <c r="F139" s="445" t="s">
        <v>193</v>
      </c>
      <c r="G139" s="445">
        <v>120</v>
      </c>
      <c r="H139" s="445">
        <v>120</v>
      </c>
      <c r="I139" s="445">
        <v>7</v>
      </c>
      <c r="J139" s="448"/>
      <c r="K139" s="448"/>
      <c r="L139" s="448"/>
      <c r="M139" s="448"/>
      <c r="N139" s="445">
        <v>-5</v>
      </c>
      <c r="O139" s="445">
        <v>-4</v>
      </c>
      <c r="P139" s="445">
        <v>-3</v>
      </c>
      <c r="Q139" s="445">
        <v>-2</v>
      </c>
      <c r="R139" s="445">
        <v>-1</v>
      </c>
      <c r="S139" s="445">
        <v>-1</v>
      </c>
      <c r="T139" s="445">
        <v>0</v>
      </c>
      <c r="U139" s="445">
        <v>0</v>
      </c>
      <c r="V139" s="445">
        <v>1</v>
      </c>
      <c r="W139" s="445">
        <v>1</v>
      </c>
      <c r="X139" s="445">
        <v>2</v>
      </c>
      <c r="Y139" s="445"/>
      <c r="Z139" s="449"/>
    </row>
    <row r="140" spans="2:26" x14ac:dyDescent="0.25">
      <c r="B140" s="485" t="s">
        <v>208</v>
      </c>
      <c r="C140" s="474">
        <f t="shared" si="0"/>
        <v>39</v>
      </c>
      <c r="D140" s="445">
        <v>175</v>
      </c>
      <c r="E140" s="445" t="s">
        <v>195</v>
      </c>
      <c r="F140" s="445" t="s">
        <v>209</v>
      </c>
      <c r="G140" s="445" t="s">
        <v>1787</v>
      </c>
      <c r="H140" s="445">
        <v>150</v>
      </c>
      <c r="I140" s="445">
        <v>9</v>
      </c>
      <c r="J140" s="448"/>
      <c r="K140" s="448"/>
      <c r="L140" s="448"/>
      <c r="M140" s="448"/>
      <c r="N140" s="445">
        <v>0</v>
      </c>
      <c r="O140" s="445">
        <v>1</v>
      </c>
      <c r="P140" s="445">
        <v>1</v>
      </c>
      <c r="Q140" s="445">
        <v>1</v>
      </c>
      <c r="R140" s="445">
        <v>1</v>
      </c>
      <c r="S140" s="445">
        <v>2</v>
      </c>
      <c r="T140" s="445">
        <v>2</v>
      </c>
      <c r="U140" s="445">
        <v>2</v>
      </c>
      <c r="V140" s="445">
        <v>1</v>
      </c>
      <c r="W140" s="445">
        <v>1</v>
      </c>
      <c r="X140" s="445">
        <v>0</v>
      </c>
      <c r="Y140" s="445"/>
      <c r="Z140" s="449"/>
    </row>
    <row r="141" spans="2:26" x14ac:dyDescent="0.25">
      <c r="B141" s="485" t="s">
        <v>1788</v>
      </c>
      <c r="C141" s="474">
        <f t="shared" si="0"/>
        <v>40</v>
      </c>
      <c r="D141" s="446" t="s">
        <v>1789</v>
      </c>
      <c r="E141" s="445" t="s">
        <v>204</v>
      </c>
      <c r="F141" s="445" t="s">
        <v>209</v>
      </c>
      <c r="G141" s="445" t="s">
        <v>1743</v>
      </c>
      <c r="H141" s="445">
        <v>45</v>
      </c>
      <c r="I141" s="445">
        <v>6</v>
      </c>
      <c r="J141" s="448"/>
      <c r="K141" s="448"/>
      <c r="L141" s="448"/>
      <c r="M141" s="448"/>
      <c r="N141" s="445">
        <v>-3</v>
      </c>
      <c r="O141" s="445">
        <v>-2</v>
      </c>
      <c r="P141" s="445">
        <v>-2</v>
      </c>
      <c r="Q141" s="445">
        <v>-1</v>
      </c>
      <c r="R141" s="445">
        <v>-1</v>
      </c>
      <c r="S141" s="445">
        <v>-1</v>
      </c>
      <c r="T141" s="445">
        <v>0</v>
      </c>
      <c r="U141" s="445">
        <v>0</v>
      </c>
      <c r="V141" s="445">
        <v>0</v>
      </c>
      <c r="W141" s="445">
        <v>0</v>
      </c>
      <c r="X141" s="445">
        <v>0</v>
      </c>
      <c r="Y141" s="445"/>
      <c r="Z141" s="449"/>
    </row>
    <row r="142" spans="2:26" x14ac:dyDescent="0.25">
      <c r="B142" s="485" t="s">
        <v>1790</v>
      </c>
      <c r="C142" s="474">
        <f t="shared" si="0"/>
        <v>41</v>
      </c>
      <c r="D142" s="445">
        <v>40</v>
      </c>
      <c r="E142" s="445" t="s">
        <v>191</v>
      </c>
      <c r="F142" s="445" t="s">
        <v>197</v>
      </c>
      <c r="G142" s="445">
        <v>90</v>
      </c>
      <c r="H142" s="445">
        <v>60</v>
      </c>
      <c r="I142" s="445">
        <v>2</v>
      </c>
      <c r="J142" s="448"/>
      <c r="K142" s="448"/>
      <c r="L142" s="448"/>
      <c r="M142" s="448"/>
      <c r="N142" s="445">
        <v>-10</v>
      </c>
      <c r="O142" s="445">
        <v>-9</v>
      </c>
      <c r="P142" s="445">
        <v>-8</v>
      </c>
      <c r="Q142" s="445">
        <f>--6</f>
        <v>6</v>
      </c>
      <c r="R142" s="445">
        <v>-4</v>
      </c>
      <c r="S142" s="445">
        <v>-2</v>
      </c>
      <c r="T142" s="445">
        <v>-1</v>
      </c>
      <c r="U142" s="445">
        <v>0</v>
      </c>
      <c r="V142" s="445">
        <v>1</v>
      </c>
      <c r="W142" s="445">
        <v>0</v>
      </c>
      <c r="X142" s="445">
        <v>2</v>
      </c>
      <c r="Y142" s="445"/>
      <c r="Z142" s="449"/>
    </row>
    <row r="143" spans="2:26" x14ac:dyDescent="0.25">
      <c r="B143" s="485" t="s">
        <v>1791</v>
      </c>
      <c r="C143" s="474">
        <f t="shared" si="0"/>
        <v>42</v>
      </c>
      <c r="D143" s="445">
        <v>50</v>
      </c>
      <c r="E143" s="445" t="s">
        <v>191</v>
      </c>
      <c r="F143" s="445" t="s">
        <v>193</v>
      </c>
      <c r="G143" s="445">
        <v>300</v>
      </c>
      <c r="H143" s="445">
        <v>30</v>
      </c>
      <c r="I143" s="445">
        <v>7</v>
      </c>
      <c r="J143" s="448"/>
      <c r="K143" s="448"/>
      <c r="L143" s="448"/>
      <c r="M143" s="448"/>
      <c r="N143" s="445">
        <v>-3</v>
      </c>
      <c r="O143" s="445">
        <v>-3</v>
      </c>
      <c r="P143" s="445">
        <v>-2</v>
      </c>
      <c r="Q143" s="445">
        <v>-2</v>
      </c>
      <c r="R143" s="445">
        <v>-1</v>
      </c>
      <c r="S143" s="445">
        <v>0</v>
      </c>
      <c r="T143" s="445">
        <v>0</v>
      </c>
      <c r="U143" s="445">
        <v>0</v>
      </c>
      <c r="V143" s="445">
        <v>0</v>
      </c>
      <c r="W143" s="445">
        <v>0</v>
      </c>
      <c r="X143" s="445">
        <v>0</v>
      </c>
      <c r="Y143" s="499">
        <f>1+ROUNDDOWN(((NivC1-1)/6),0)</f>
        <v>1</v>
      </c>
      <c r="Z143" s="500">
        <f>IF(NivC1&gt;2,1+ROUNDDOWN(((NivC1-5)/6),0),"0")</f>
        <v>1</v>
      </c>
    </row>
    <row r="144" spans="2:26" x14ac:dyDescent="0.25">
      <c r="B144" s="485" t="s">
        <v>1792</v>
      </c>
      <c r="C144" s="474">
        <f t="shared" si="0"/>
        <v>43</v>
      </c>
      <c r="D144" s="445">
        <v>150</v>
      </c>
      <c r="E144" s="445" t="s">
        <v>404</v>
      </c>
      <c r="F144" s="445" t="s">
        <v>221</v>
      </c>
      <c r="G144" s="445">
        <v>420</v>
      </c>
      <c r="H144" s="445">
        <v>30</v>
      </c>
      <c r="I144" s="445">
        <v>8</v>
      </c>
      <c r="J144" s="448"/>
      <c r="K144" s="448"/>
      <c r="L144" s="448"/>
      <c r="M144" s="448"/>
      <c r="N144" s="445">
        <v>4</v>
      </c>
      <c r="O144" s="445">
        <v>4</v>
      </c>
      <c r="P144" s="445">
        <v>3</v>
      </c>
      <c r="Q144" s="445">
        <v>3</v>
      </c>
      <c r="R144" s="445">
        <v>2</v>
      </c>
      <c r="S144" s="445">
        <v>2</v>
      </c>
      <c r="T144" s="445">
        <v>2</v>
      </c>
      <c r="U144" s="445">
        <v>1</v>
      </c>
      <c r="V144" s="445">
        <v>1</v>
      </c>
      <c r="W144" s="445">
        <v>0</v>
      </c>
      <c r="X144" s="445">
        <v>0</v>
      </c>
      <c r="Y144" s="499">
        <f>1+ROUNDDOWN(((NivC1-1)/6),0)</f>
        <v>1</v>
      </c>
      <c r="Z144" s="500">
        <f>IF(NivC1&gt;2,1+ROUNDDOWN(((NivC1-5)/6),0),"0")</f>
        <v>1</v>
      </c>
    </row>
    <row r="145" spans="2:26" x14ac:dyDescent="0.25">
      <c r="B145" s="485" t="s">
        <v>1793</v>
      </c>
      <c r="C145" s="474">
        <f t="shared" si="0"/>
        <v>44</v>
      </c>
      <c r="D145" s="445">
        <v>100</v>
      </c>
      <c r="E145" s="445" t="s">
        <v>384</v>
      </c>
      <c r="F145" s="445" t="s">
        <v>209</v>
      </c>
      <c r="G145" s="445">
        <v>360</v>
      </c>
      <c r="H145" s="445">
        <v>30</v>
      </c>
      <c r="I145" s="445">
        <v>6</v>
      </c>
      <c r="J145" s="448"/>
      <c r="K145" s="448"/>
      <c r="L145" s="448"/>
      <c r="M145" s="448"/>
      <c r="N145" s="445">
        <v>-1</v>
      </c>
      <c r="O145" s="445">
        <v>0</v>
      </c>
      <c r="P145" s="445">
        <v>0</v>
      </c>
      <c r="Q145" s="445">
        <v>1</v>
      </c>
      <c r="R145" s="445">
        <v>1</v>
      </c>
      <c r="S145" s="445">
        <v>1</v>
      </c>
      <c r="T145" s="445">
        <v>1</v>
      </c>
      <c r="U145" s="445">
        <v>0</v>
      </c>
      <c r="V145" s="445">
        <v>0</v>
      </c>
      <c r="W145" s="445">
        <v>0</v>
      </c>
      <c r="X145" s="445">
        <v>0</v>
      </c>
      <c r="Y145" s="499">
        <f>1+ROUNDDOWN(((NivC1-1)/6),0)</f>
        <v>1</v>
      </c>
      <c r="Z145" s="500">
        <f>IF(NivC1&gt;2,1+ROUNDDOWN(((NivC1-5)/6),0),"0")</f>
        <v>1</v>
      </c>
    </row>
    <row r="146" spans="2:26" x14ac:dyDescent="0.25">
      <c r="B146" s="485" t="s">
        <v>1794</v>
      </c>
      <c r="C146" s="474">
        <f t="shared" si="0"/>
        <v>45</v>
      </c>
      <c r="D146" s="446" t="s">
        <v>1795</v>
      </c>
      <c r="E146" s="445" t="s">
        <v>191</v>
      </c>
      <c r="F146" s="445" t="s">
        <v>193</v>
      </c>
      <c r="G146" s="445" t="s">
        <v>1796</v>
      </c>
      <c r="H146" s="445">
        <v>30</v>
      </c>
      <c r="I146" s="446" t="s">
        <v>1819</v>
      </c>
      <c r="J146" s="448"/>
      <c r="K146" s="448"/>
      <c r="L146" s="448"/>
      <c r="M146" s="448"/>
      <c r="N146" s="445">
        <v>-2</v>
      </c>
      <c r="O146" s="445">
        <v>-2</v>
      </c>
      <c r="P146" s="445">
        <v>-2</v>
      </c>
      <c r="Q146" s="445">
        <v>-1</v>
      </c>
      <c r="R146" s="445">
        <v>-1</v>
      </c>
      <c r="S146" s="445">
        <v>-1</v>
      </c>
      <c r="T146" s="445">
        <v>0</v>
      </c>
      <c r="U146" s="445">
        <v>0</v>
      </c>
      <c r="V146" s="445">
        <v>0</v>
      </c>
      <c r="W146" s="445">
        <v>0</v>
      </c>
      <c r="X146" s="445">
        <v>0</v>
      </c>
      <c r="Y146" s="445"/>
      <c r="Z146" s="449"/>
    </row>
    <row r="147" spans="2:26" x14ac:dyDescent="0.25">
      <c r="B147" s="485" t="s">
        <v>1797</v>
      </c>
      <c r="C147" s="474">
        <f t="shared" si="0"/>
        <v>46</v>
      </c>
      <c r="D147" s="445">
        <v>20</v>
      </c>
      <c r="E147" s="445" t="s">
        <v>1753</v>
      </c>
      <c r="F147" s="445" t="s">
        <v>1753</v>
      </c>
      <c r="G147" s="445" t="s">
        <v>1798</v>
      </c>
      <c r="H147" s="445">
        <v>240</v>
      </c>
      <c r="I147" s="445">
        <v>10</v>
      </c>
      <c r="J147" s="448"/>
      <c r="K147" s="448"/>
      <c r="L147" s="448"/>
      <c r="M147" s="448"/>
      <c r="N147" s="445">
        <v>0</v>
      </c>
      <c r="O147" s="445">
        <v>0</v>
      </c>
      <c r="P147" s="445">
        <v>0</v>
      </c>
      <c r="Q147" s="445">
        <v>0</v>
      </c>
      <c r="R147" s="445">
        <v>0</v>
      </c>
      <c r="S147" s="445">
        <v>0</v>
      </c>
      <c r="T147" s="445">
        <v>0</v>
      </c>
      <c r="U147" s="445">
        <v>0</v>
      </c>
      <c r="V147" s="445">
        <v>0</v>
      </c>
      <c r="W147" s="445">
        <v>0</v>
      </c>
      <c r="X147" s="445">
        <v>0</v>
      </c>
      <c r="Y147" s="445"/>
      <c r="Z147" s="449"/>
    </row>
    <row r="148" spans="2:26" x14ac:dyDescent="0.25">
      <c r="B148" s="485" t="s">
        <v>1799</v>
      </c>
      <c r="C148" s="474">
        <f t="shared" si="0"/>
        <v>47</v>
      </c>
      <c r="D148" s="445">
        <v>50</v>
      </c>
      <c r="E148" s="445" t="s">
        <v>1259</v>
      </c>
      <c r="F148" s="445" t="s">
        <v>197</v>
      </c>
      <c r="G148" s="445">
        <v>45</v>
      </c>
      <c r="H148" s="445">
        <v>60</v>
      </c>
      <c r="I148" s="445">
        <v>4</v>
      </c>
      <c r="J148" s="448"/>
      <c r="K148" s="448"/>
      <c r="L148" s="448"/>
      <c r="M148" s="448"/>
      <c r="N148" s="445">
        <v>0</v>
      </c>
      <c r="O148" s="445">
        <v>0</v>
      </c>
      <c r="P148" s="445">
        <v>0</v>
      </c>
      <c r="Q148" s="445">
        <v>0</v>
      </c>
      <c r="R148" s="445">
        <v>0</v>
      </c>
      <c r="S148" s="445">
        <v>0</v>
      </c>
      <c r="T148" s="445">
        <v>0</v>
      </c>
      <c r="U148" s="445">
        <v>0</v>
      </c>
      <c r="V148" s="445">
        <v>0</v>
      </c>
      <c r="W148" s="445">
        <v>0</v>
      </c>
      <c r="X148" s="445">
        <v>0</v>
      </c>
      <c r="Y148" s="445"/>
      <c r="Z148" s="449"/>
    </row>
    <row r="149" spans="2:26" x14ac:dyDescent="0.25">
      <c r="B149" s="485" t="s">
        <v>1800</v>
      </c>
      <c r="C149" s="474">
        <f t="shared" si="0"/>
        <v>48</v>
      </c>
      <c r="D149" s="445">
        <v>150</v>
      </c>
      <c r="E149" s="445" t="s">
        <v>204</v>
      </c>
      <c r="F149" s="445" t="s">
        <v>191</v>
      </c>
      <c r="G149" s="445" t="s">
        <v>1787</v>
      </c>
      <c r="H149" s="445">
        <v>150</v>
      </c>
      <c r="I149" s="445">
        <v>9</v>
      </c>
      <c r="J149" s="448"/>
      <c r="K149" s="448"/>
      <c r="L149" s="448"/>
      <c r="M149" s="448"/>
      <c r="N149" s="445">
        <v>0</v>
      </c>
      <c r="O149" s="445">
        <v>1</v>
      </c>
      <c r="P149" s="445">
        <v>1</v>
      </c>
      <c r="Q149" s="445">
        <v>1</v>
      </c>
      <c r="R149" s="445">
        <v>2</v>
      </c>
      <c r="S149" s="445">
        <v>2</v>
      </c>
      <c r="T149" s="445">
        <v>2</v>
      </c>
      <c r="U149" s="445">
        <v>1</v>
      </c>
      <c r="V149" s="445">
        <v>1</v>
      </c>
      <c r="W149" s="445">
        <v>0</v>
      </c>
      <c r="X149" s="445">
        <v>0</v>
      </c>
      <c r="Y149" s="445"/>
      <c r="Z149" s="449"/>
    </row>
    <row r="150" spans="2:26" x14ac:dyDescent="0.25">
      <c r="B150" s="485" t="s">
        <v>1801</v>
      </c>
      <c r="C150" s="474">
        <f t="shared" si="0"/>
        <v>49</v>
      </c>
      <c r="D150" s="445">
        <v>50</v>
      </c>
      <c r="E150" s="445" t="s">
        <v>191</v>
      </c>
      <c r="F150" s="445" t="s">
        <v>197</v>
      </c>
      <c r="G150" s="445">
        <v>45</v>
      </c>
      <c r="H150" s="445">
        <v>60</v>
      </c>
      <c r="I150" s="445">
        <v>6</v>
      </c>
      <c r="J150" s="448"/>
      <c r="K150" s="448"/>
      <c r="L150" s="448"/>
      <c r="M150" s="448"/>
      <c r="N150" s="445">
        <v>2</v>
      </c>
      <c r="O150" s="445">
        <v>2</v>
      </c>
      <c r="P150" s="445">
        <v>1</v>
      </c>
      <c r="Q150" s="445">
        <v>1</v>
      </c>
      <c r="R150" s="445">
        <v>0</v>
      </c>
      <c r="S150" s="445">
        <v>0</v>
      </c>
      <c r="T150" s="445">
        <v>0</v>
      </c>
      <c r="U150" s="445">
        <v>0</v>
      </c>
      <c r="V150" s="445">
        <v>0</v>
      </c>
      <c r="W150" s="445">
        <v>0</v>
      </c>
      <c r="X150" s="445">
        <v>0</v>
      </c>
      <c r="Y150" s="499">
        <f>IF(NivC1&gt;2,1+ROUNDDOWN(((NivC1-5)/6),0),"0")</f>
        <v>1</v>
      </c>
      <c r="Z150" s="500">
        <f>IF(NivC1&gt;2,1+ROUNDDOWN(((NivC1-3)/6),0),"0")</f>
        <v>1</v>
      </c>
    </row>
    <row r="151" spans="2:26" x14ac:dyDescent="0.25">
      <c r="B151" s="485" t="s">
        <v>1802</v>
      </c>
      <c r="C151" s="474">
        <f t="shared" si="0"/>
        <v>50</v>
      </c>
      <c r="D151" s="445">
        <v>100</v>
      </c>
      <c r="E151" s="445" t="s">
        <v>384</v>
      </c>
      <c r="F151" s="445" t="s">
        <v>191</v>
      </c>
      <c r="G151" s="445">
        <v>75</v>
      </c>
      <c r="H151" s="445">
        <v>120</v>
      </c>
      <c r="I151" s="445">
        <v>7</v>
      </c>
      <c r="J151" s="448"/>
      <c r="K151" s="448"/>
      <c r="L151" s="448"/>
      <c r="M151" s="448"/>
      <c r="N151" s="445">
        <v>2</v>
      </c>
      <c r="O151" s="445">
        <v>2</v>
      </c>
      <c r="P151" s="445">
        <v>1</v>
      </c>
      <c r="Q151" s="445">
        <v>1</v>
      </c>
      <c r="R151" s="445">
        <v>0</v>
      </c>
      <c r="S151" s="445">
        <v>0</v>
      </c>
      <c r="T151" s="445">
        <v>0</v>
      </c>
      <c r="U151" s="445">
        <v>0</v>
      </c>
      <c r="V151" s="445">
        <v>0</v>
      </c>
      <c r="W151" s="445">
        <v>1</v>
      </c>
      <c r="X151" s="445">
        <v>-1</v>
      </c>
      <c r="Y151" s="445"/>
      <c r="Z151" s="449"/>
    </row>
    <row r="152" spans="2:26" x14ac:dyDescent="0.25">
      <c r="B152" s="485" t="s">
        <v>1803</v>
      </c>
      <c r="C152" s="474">
        <f t="shared" si="0"/>
        <v>51</v>
      </c>
      <c r="D152" s="445">
        <v>30</v>
      </c>
      <c r="E152" s="445" t="s">
        <v>191</v>
      </c>
      <c r="F152" s="445" t="s">
        <v>387</v>
      </c>
      <c r="G152" s="445">
        <v>90</v>
      </c>
      <c r="H152" s="445" t="s">
        <v>1804</v>
      </c>
      <c r="I152" s="445">
        <v>4</v>
      </c>
      <c r="J152" s="448"/>
      <c r="K152" s="448"/>
      <c r="L152" s="448"/>
      <c r="M152" s="448"/>
      <c r="N152" s="445">
        <v>-7</v>
      </c>
      <c r="O152" s="445">
        <v>-6</v>
      </c>
      <c r="P152" s="445">
        <v>-5</v>
      </c>
      <c r="Q152" s="445">
        <v>-4</v>
      </c>
      <c r="R152" s="445">
        <v>-3</v>
      </c>
      <c r="S152" s="445">
        <v>-2</v>
      </c>
      <c r="T152" s="445">
        <v>-1</v>
      </c>
      <c r="U152" s="445">
        <v>-1</v>
      </c>
      <c r="V152" s="445">
        <v>0</v>
      </c>
      <c r="W152" s="445">
        <v>0</v>
      </c>
      <c r="X152" s="445">
        <v>1</v>
      </c>
      <c r="Y152" s="445"/>
      <c r="Z152" s="449"/>
    </row>
    <row r="153" spans="2:26" x14ac:dyDescent="0.25">
      <c r="B153" s="485" t="s">
        <v>1805</v>
      </c>
      <c r="C153" s="474">
        <f t="shared" si="0"/>
        <v>52</v>
      </c>
      <c r="D153" s="445">
        <v>10</v>
      </c>
      <c r="E153" s="445" t="s">
        <v>385</v>
      </c>
      <c r="F153" s="445" t="s">
        <v>385</v>
      </c>
      <c r="G153" s="445">
        <v>15</v>
      </c>
      <c r="H153" s="445">
        <v>30</v>
      </c>
      <c r="I153" s="445">
        <v>2</v>
      </c>
      <c r="J153" s="448"/>
      <c r="K153" s="448"/>
      <c r="L153" s="448"/>
      <c r="M153" s="448"/>
      <c r="N153" s="445">
        <v>-14</v>
      </c>
      <c r="O153" s="445">
        <v>-12</v>
      </c>
      <c r="P153" s="445">
        <v>-13</v>
      </c>
      <c r="Q153" s="445">
        <v>-10</v>
      </c>
      <c r="R153" s="445">
        <v>-8</v>
      </c>
      <c r="S153" s="445">
        <v>-6</v>
      </c>
      <c r="T153" s="445">
        <v>-5</v>
      </c>
      <c r="U153" s="445">
        <v>-4</v>
      </c>
      <c r="V153" s="445">
        <v>-3</v>
      </c>
      <c r="W153" s="445">
        <v>-2</v>
      </c>
      <c r="X153" s="445">
        <v>0</v>
      </c>
      <c r="Y153" s="445"/>
      <c r="Z153" s="449"/>
    </row>
    <row r="154" spans="2:26" x14ac:dyDescent="0.25">
      <c r="B154" s="485" t="s">
        <v>1806</v>
      </c>
      <c r="C154" s="474">
        <f t="shared" si="0"/>
        <v>53</v>
      </c>
      <c r="D154" s="445">
        <v>80</v>
      </c>
      <c r="E154" s="445" t="s">
        <v>191</v>
      </c>
      <c r="F154" s="445" t="s">
        <v>384</v>
      </c>
      <c r="G154" s="445" t="s">
        <v>1775</v>
      </c>
      <c r="H154" s="445">
        <v>90</v>
      </c>
      <c r="I154" s="445">
        <v>9</v>
      </c>
      <c r="J154" s="448"/>
      <c r="K154" s="448"/>
      <c r="L154" s="448"/>
      <c r="M154" s="448"/>
      <c r="N154" s="445">
        <v>0</v>
      </c>
      <c r="O154" s="445">
        <v>0</v>
      </c>
      <c r="P154" s="445">
        <v>0</v>
      </c>
      <c r="Q154" s="445">
        <v>0</v>
      </c>
      <c r="R154" s="445">
        <v>0</v>
      </c>
      <c r="S154" s="445">
        <v>0</v>
      </c>
      <c r="T154" s="445">
        <v>0</v>
      </c>
      <c r="U154" s="445">
        <v>0</v>
      </c>
      <c r="V154" s="445">
        <v>0</v>
      </c>
      <c r="W154" s="445">
        <v>0</v>
      </c>
      <c r="X154" s="445">
        <v>0</v>
      </c>
      <c r="Y154" s="445"/>
      <c r="Z154" s="449"/>
    </row>
    <row r="155" spans="2:26" x14ac:dyDescent="0.25">
      <c r="B155" s="485" t="s">
        <v>1807</v>
      </c>
      <c r="C155" s="474">
        <f t="shared" si="0"/>
        <v>54</v>
      </c>
      <c r="D155" s="445">
        <v>80</v>
      </c>
      <c r="E155" s="445" t="s">
        <v>191</v>
      </c>
      <c r="F155" s="445" t="s">
        <v>1258</v>
      </c>
      <c r="G155" s="445">
        <v>540</v>
      </c>
      <c r="H155" s="445">
        <v>30</v>
      </c>
      <c r="I155" s="445">
        <v>13</v>
      </c>
      <c r="J155" s="448"/>
      <c r="K155" s="448"/>
      <c r="L155" s="448"/>
      <c r="M155" s="448"/>
      <c r="N155" s="445">
        <v>-1</v>
      </c>
      <c r="O155" s="445">
        <v>-1</v>
      </c>
      <c r="P155" s="445">
        <v>0</v>
      </c>
      <c r="Q155" s="445">
        <v>0</v>
      </c>
      <c r="R155" s="445">
        <v>0</v>
      </c>
      <c r="S155" s="445">
        <v>0</v>
      </c>
      <c r="T155" s="445">
        <v>0</v>
      </c>
      <c r="U155" s="445">
        <v>0</v>
      </c>
      <c r="V155" s="445">
        <v>0</v>
      </c>
      <c r="W155" s="445">
        <v>-1</v>
      </c>
      <c r="X155" s="445">
        <v>-2</v>
      </c>
      <c r="Y155" s="445"/>
      <c r="Z155" s="449"/>
    </row>
    <row r="156" spans="2:26" x14ac:dyDescent="0.25">
      <c r="B156" s="485" t="s">
        <v>1810</v>
      </c>
      <c r="C156" s="474">
        <f t="shared" si="0"/>
        <v>55</v>
      </c>
      <c r="D156" s="445">
        <v>50</v>
      </c>
      <c r="E156" s="445" t="s">
        <v>204</v>
      </c>
      <c r="F156" s="445" t="s">
        <v>204</v>
      </c>
      <c r="G156" s="445">
        <v>240</v>
      </c>
      <c r="H156" s="445">
        <v>30</v>
      </c>
      <c r="I156" s="445">
        <v>8</v>
      </c>
      <c r="J156" s="448"/>
      <c r="K156" s="448"/>
      <c r="L156" s="448"/>
      <c r="M156" s="448"/>
      <c r="N156" s="445">
        <v>-3</v>
      </c>
      <c r="O156" s="445">
        <v>-3</v>
      </c>
      <c r="P156" s="445">
        <v>-2</v>
      </c>
      <c r="Q156" s="445">
        <v>-1</v>
      </c>
      <c r="R156" s="445">
        <v>-1</v>
      </c>
      <c r="S156" s="445">
        <v>0</v>
      </c>
      <c r="T156" s="445">
        <v>0</v>
      </c>
      <c r="U156" s="445">
        <v>0</v>
      </c>
      <c r="V156" s="445">
        <v>0</v>
      </c>
      <c r="W156" s="445">
        <v>0</v>
      </c>
      <c r="X156" s="445">
        <v>1</v>
      </c>
      <c r="Y156" s="445"/>
      <c r="Z156" s="449"/>
    </row>
    <row r="157" spans="2:26" x14ac:dyDescent="0.25">
      <c r="B157" s="485" t="s">
        <v>1811</v>
      </c>
      <c r="C157" s="474">
        <f t="shared" si="0"/>
        <v>56</v>
      </c>
      <c r="D157" s="445">
        <v>10</v>
      </c>
      <c r="E157" s="445" t="s">
        <v>385</v>
      </c>
      <c r="F157" s="445" t="s">
        <v>385</v>
      </c>
      <c r="G157" s="445">
        <v>15</v>
      </c>
      <c r="H157" s="445">
        <v>30</v>
      </c>
      <c r="I157" s="445">
        <v>2</v>
      </c>
      <c r="J157" s="448"/>
      <c r="K157" s="448"/>
      <c r="L157" s="448"/>
      <c r="M157" s="448"/>
      <c r="N157" s="445">
        <v>-14</v>
      </c>
      <c r="O157" s="445">
        <v>-13</v>
      </c>
      <c r="P157" s="445">
        <v>-12</v>
      </c>
      <c r="Q157" s="445">
        <v>-10</v>
      </c>
      <c r="R157" s="445">
        <v>-8</v>
      </c>
      <c r="S157" s="445">
        <v>-6</v>
      </c>
      <c r="T157" s="445">
        <v>-5</v>
      </c>
      <c r="U157" s="445">
        <v>-4</v>
      </c>
      <c r="V157" s="445">
        <v>-3</v>
      </c>
      <c r="W157" s="445">
        <v>-2</v>
      </c>
      <c r="X157" s="445">
        <v>0</v>
      </c>
      <c r="Y157" s="445"/>
      <c r="Z157" s="449"/>
    </row>
    <row r="158" spans="2:26" x14ac:dyDescent="0.25">
      <c r="B158" s="485" t="s">
        <v>1813</v>
      </c>
      <c r="C158" s="474">
        <f t="shared" si="0"/>
        <v>57</v>
      </c>
      <c r="D158" s="445">
        <v>150</v>
      </c>
      <c r="E158" s="445" t="s">
        <v>204</v>
      </c>
      <c r="F158" s="445" t="s">
        <v>195</v>
      </c>
      <c r="G158" s="445" t="s">
        <v>1740</v>
      </c>
      <c r="H158" s="445">
        <v>30</v>
      </c>
      <c r="I158" s="445">
        <v>10</v>
      </c>
      <c r="J158" s="448"/>
      <c r="K158" s="448"/>
      <c r="L158" s="448"/>
      <c r="M158" s="448"/>
      <c r="N158" s="445">
        <v>0</v>
      </c>
      <c r="O158" s="445">
        <v>0</v>
      </c>
      <c r="P158" s="445">
        <v>0</v>
      </c>
      <c r="Q158" s="445">
        <v>0</v>
      </c>
      <c r="R158" s="445">
        <v>0</v>
      </c>
      <c r="S158" s="445">
        <v>0</v>
      </c>
      <c r="T158" s="445">
        <v>0</v>
      </c>
      <c r="U158" s="445">
        <v>0</v>
      </c>
      <c r="V158" s="445">
        <v>0</v>
      </c>
      <c r="W158" s="445">
        <v>0</v>
      </c>
      <c r="X158" s="445">
        <v>0</v>
      </c>
      <c r="Y158" s="445"/>
      <c r="Z158" s="449"/>
    </row>
    <row r="159" spans="2:26" x14ac:dyDescent="0.25">
      <c r="B159" s="485" t="s">
        <v>211</v>
      </c>
      <c r="C159" s="474">
        <f t="shared" si="0"/>
        <v>58</v>
      </c>
      <c r="D159" s="445">
        <v>50</v>
      </c>
      <c r="E159" s="445" t="s">
        <v>384</v>
      </c>
      <c r="F159" s="445" t="s">
        <v>212</v>
      </c>
      <c r="G159" s="445" t="s">
        <v>1814</v>
      </c>
      <c r="H159" s="445">
        <v>30</v>
      </c>
      <c r="I159" s="446" t="s">
        <v>1819</v>
      </c>
      <c r="J159" s="448"/>
      <c r="K159" s="448"/>
      <c r="L159" s="448"/>
      <c r="M159" s="448"/>
      <c r="N159" s="445">
        <v>-4</v>
      </c>
      <c r="O159" s="445">
        <v>-3</v>
      </c>
      <c r="P159" s="445">
        <v>-3</v>
      </c>
      <c r="Q159" s="445">
        <v>-2</v>
      </c>
      <c r="R159" s="445">
        <v>-1</v>
      </c>
      <c r="S159" s="445">
        <v>-1</v>
      </c>
      <c r="T159" s="445">
        <v>0</v>
      </c>
      <c r="U159" s="445">
        <v>0</v>
      </c>
      <c r="V159" s="445">
        <v>1</v>
      </c>
      <c r="W159" s="445">
        <v>0</v>
      </c>
      <c r="X159" s="445">
        <v>1</v>
      </c>
      <c r="Y159" s="445"/>
      <c r="Z159" s="449"/>
    </row>
    <row r="160" spans="2:26" ht="15.75" thickBot="1" x14ac:dyDescent="0.3">
      <c r="B160" s="487" t="s">
        <v>1815</v>
      </c>
      <c r="C160" s="478">
        <f t="shared" si="0"/>
        <v>59</v>
      </c>
      <c r="D160" s="455">
        <v>125</v>
      </c>
      <c r="E160" s="455" t="s">
        <v>204</v>
      </c>
      <c r="F160" s="455" t="s">
        <v>204</v>
      </c>
      <c r="G160" s="455" t="s">
        <v>1740</v>
      </c>
      <c r="H160" s="455">
        <v>60</v>
      </c>
      <c r="I160" s="455">
        <v>10</v>
      </c>
      <c r="J160" s="479"/>
      <c r="K160" s="479"/>
      <c r="L160" s="479"/>
      <c r="M160" s="479"/>
      <c r="N160" s="455">
        <v>-2</v>
      </c>
      <c r="O160" s="455">
        <v>-2</v>
      </c>
      <c r="P160" s="455">
        <v>-1</v>
      </c>
      <c r="Q160" s="455">
        <v>-1</v>
      </c>
      <c r="R160" s="455">
        <v>0</v>
      </c>
      <c r="S160" s="455">
        <v>1</v>
      </c>
      <c r="T160" s="455">
        <v>1</v>
      </c>
      <c r="U160" s="455">
        <v>1</v>
      </c>
      <c r="V160" s="455">
        <v>0</v>
      </c>
      <c r="W160" s="455">
        <v>0</v>
      </c>
      <c r="X160" s="455">
        <v>0</v>
      </c>
      <c r="Y160" s="455"/>
      <c r="Z160" s="456"/>
    </row>
    <row r="161" spans="2:28" s="204" customFormat="1" ht="24.75" thickBot="1" x14ac:dyDescent="0.3">
      <c r="B161" s="488" t="s">
        <v>1829</v>
      </c>
      <c r="C161" s="480" t="s">
        <v>1842</v>
      </c>
      <c r="D161" s="453" t="s">
        <v>1714</v>
      </c>
      <c r="E161" s="453" t="s">
        <v>1715</v>
      </c>
      <c r="F161" s="453" t="s">
        <v>1716</v>
      </c>
      <c r="G161" s="453" t="s">
        <v>1717</v>
      </c>
      <c r="H161" s="453" t="s">
        <v>1718</v>
      </c>
      <c r="I161" s="453" t="s">
        <v>1719</v>
      </c>
      <c r="J161" s="453" t="s">
        <v>1720</v>
      </c>
      <c r="K161" s="453" t="s">
        <v>1196</v>
      </c>
      <c r="L161" s="453" t="s">
        <v>388</v>
      </c>
      <c r="M161" s="453" t="s">
        <v>1721</v>
      </c>
      <c r="N161" s="453" t="s">
        <v>1722</v>
      </c>
      <c r="O161" s="453" t="s">
        <v>1723</v>
      </c>
      <c r="P161" s="453" t="s">
        <v>1724</v>
      </c>
      <c r="Q161" s="453" t="s">
        <v>1725</v>
      </c>
      <c r="R161" s="453" t="s">
        <v>1726</v>
      </c>
      <c r="S161" s="453" t="s">
        <v>1727</v>
      </c>
      <c r="T161" s="453" t="s">
        <v>1728</v>
      </c>
      <c r="U161" s="453" t="s">
        <v>1729</v>
      </c>
      <c r="V161" s="453" t="s">
        <v>1730</v>
      </c>
      <c r="W161" s="453" t="s">
        <v>1731</v>
      </c>
      <c r="X161" s="453" t="s">
        <v>1732</v>
      </c>
      <c r="Y161" s="453"/>
      <c r="Z161" s="454"/>
    </row>
    <row r="162" spans="2:28" x14ac:dyDescent="0.25">
      <c r="B162" s="489" t="s">
        <v>1840</v>
      </c>
      <c r="C162" s="481">
        <f>C160+1</f>
        <v>60</v>
      </c>
      <c r="D162" s="457"/>
      <c r="E162" s="457"/>
      <c r="F162" s="457"/>
      <c r="G162" s="457"/>
      <c r="H162" s="457"/>
      <c r="I162" s="457" t="s">
        <v>1753</v>
      </c>
      <c r="J162" s="482"/>
      <c r="K162" s="482"/>
      <c r="L162" s="482"/>
      <c r="M162" s="482"/>
      <c r="N162" s="457">
        <v>0</v>
      </c>
      <c r="O162" s="457">
        <v>0</v>
      </c>
      <c r="P162" s="457">
        <v>0</v>
      </c>
      <c r="Q162" s="457">
        <v>0</v>
      </c>
      <c r="R162" s="457">
        <v>0</v>
      </c>
      <c r="S162" s="457">
        <v>0</v>
      </c>
      <c r="T162" s="457">
        <v>0</v>
      </c>
      <c r="U162" s="457">
        <v>0</v>
      </c>
      <c r="V162" s="457">
        <v>0</v>
      </c>
      <c r="W162" s="457">
        <v>0</v>
      </c>
      <c r="X162" s="457">
        <v>0</v>
      </c>
      <c r="Y162" s="457"/>
      <c r="Z162" s="458"/>
      <c r="AA162" s="204"/>
      <c r="AB162" s="204"/>
    </row>
    <row r="163" spans="2:28" x14ac:dyDescent="0.25">
      <c r="B163" s="486" t="s">
        <v>1832</v>
      </c>
      <c r="C163" s="474">
        <f>C162+1</f>
        <v>61</v>
      </c>
      <c r="D163" s="451">
        <v>35</v>
      </c>
      <c r="E163" s="451" t="s">
        <v>191</v>
      </c>
      <c r="F163" s="451" t="s">
        <v>387</v>
      </c>
      <c r="G163" s="451">
        <v>60</v>
      </c>
      <c r="H163" s="451">
        <v>60</v>
      </c>
      <c r="I163" s="451" t="s">
        <v>1753</v>
      </c>
      <c r="J163" s="451">
        <v>1</v>
      </c>
      <c r="K163" s="451">
        <v>3</v>
      </c>
      <c r="L163" s="451">
        <v>0</v>
      </c>
      <c r="M163" s="451">
        <v>0</v>
      </c>
      <c r="N163" s="451">
        <v>-8</v>
      </c>
      <c r="O163" s="451">
        <v>-7</v>
      </c>
      <c r="P163" s="451">
        <v>-6</v>
      </c>
      <c r="Q163" s="451">
        <v>-5</v>
      </c>
      <c r="R163" s="451">
        <v>-4</v>
      </c>
      <c r="S163" s="451">
        <v>-3</v>
      </c>
      <c r="T163" s="451">
        <v>-2</v>
      </c>
      <c r="U163" s="451">
        <v>-1</v>
      </c>
      <c r="V163" s="451">
        <v>0</v>
      </c>
      <c r="W163" s="451">
        <v>0</v>
      </c>
      <c r="X163" s="451">
        <v>0</v>
      </c>
      <c r="Y163" s="451"/>
      <c r="Z163" s="452"/>
      <c r="AA163" s="204"/>
      <c r="AB163" s="204"/>
    </row>
    <row r="164" spans="2:28" x14ac:dyDescent="0.25">
      <c r="B164" s="485" t="s">
        <v>1734</v>
      </c>
      <c r="C164" s="474">
        <f t="shared" ref="C164:C186" si="1">C163+1</f>
        <v>62</v>
      </c>
      <c r="D164" s="445">
        <v>20</v>
      </c>
      <c r="E164" s="445" t="s">
        <v>387</v>
      </c>
      <c r="F164" s="445" t="s">
        <v>385</v>
      </c>
      <c r="G164" s="445"/>
      <c r="H164" s="445"/>
      <c r="I164" s="445" t="s">
        <v>1753</v>
      </c>
      <c r="J164" s="445">
        <v>1</v>
      </c>
      <c r="K164" s="445">
        <v>6</v>
      </c>
      <c r="L164" s="445">
        <v>12</v>
      </c>
      <c r="M164" s="445">
        <v>18</v>
      </c>
      <c r="N164" s="445">
        <v>-6</v>
      </c>
      <c r="O164" s="445">
        <v>-4</v>
      </c>
      <c r="P164" s="445">
        <v>-2</v>
      </c>
      <c r="Q164" s="445">
        <v>-1</v>
      </c>
      <c r="R164" s="445">
        <v>0</v>
      </c>
      <c r="S164" s="445">
        <v>0</v>
      </c>
      <c r="T164" s="445">
        <v>0</v>
      </c>
      <c r="U164" s="445">
        <v>1</v>
      </c>
      <c r="V164" s="445">
        <v>2</v>
      </c>
      <c r="W164" s="445">
        <v>2</v>
      </c>
      <c r="X164" s="445">
        <v>3</v>
      </c>
      <c r="Y164" s="445"/>
      <c r="Z164" s="449"/>
      <c r="AA164" s="204"/>
      <c r="AB164" s="204"/>
    </row>
    <row r="165" spans="2:28" x14ac:dyDescent="0.25">
      <c r="B165" s="485" t="s">
        <v>1711</v>
      </c>
      <c r="C165" s="474">
        <f t="shared" si="1"/>
        <v>63</v>
      </c>
      <c r="D165" s="445">
        <v>50</v>
      </c>
      <c r="E165" s="445" t="s">
        <v>197</v>
      </c>
      <c r="F165" s="445" t="s">
        <v>197</v>
      </c>
      <c r="G165" s="445"/>
      <c r="H165" s="445"/>
      <c r="I165" s="445" t="s">
        <v>1753</v>
      </c>
      <c r="J165" s="445">
        <v>1</v>
      </c>
      <c r="K165" s="445">
        <v>18</v>
      </c>
      <c r="L165" s="445">
        <v>36</v>
      </c>
      <c r="M165" s="445">
        <v>54</v>
      </c>
      <c r="N165" s="445">
        <v>-3</v>
      </c>
      <c r="O165" s="445">
        <v>-2</v>
      </c>
      <c r="P165" s="445">
        <v>-2</v>
      </c>
      <c r="Q165" s="445">
        <v>-1</v>
      </c>
      <c r="R165" s="445">
        <v>0</v>
      </c>
      <c r="S165" s="445">
        <v>0</v>
      </c>
      <c r="T165" s="445">
        <v>1</v>
      </c>
      <c r="U165" s="445">
        <v>2</v>
      </c>
      <c r="V165" s="445">
        <v>3</v>
      </c>
      <c r="W165" s="445">
        <v>3</v>
      </c>
      <c r="X165" s="445">
        <v>3</v>
      </c>
      <c r="Y165" s="445"/>
      <c r="Z165" s="449"/>
      <c r="AA165" s="204"/>
      <c r="AB165" s="204"/>
    </row>
    <row r="166" spans="2:28" x14ac:dyDescent="0.25">
      <c r="B166" s="485" t="s">
        <v>1712</v>
      </c>
      <c r="C166" s="474">
        <f t="shared" si="1"/>
        <v>64</v>
      </c>
      <c r="D166" s="445">
        <v>80</v>
      </c>
      <c r="E166" s="445" t="s">
        <v>1259</v>
      </c>
      <c r="F166" s="445" t="s">
        <v>384</v>
      </c>
      <c r="G166" s="445"/>
      <c r="H166" s="445"/>
      <c r="I166" s="445" t="s">
        <v>1753</v>
      </c>
      <c r="J166" s="446">
        <v>0.5</v>
      </c>
      <c r="K166" s="445">
        <v>24</v>
      </c>
      <c r="L166" s="445">
        <v>48</v>
      </c>
      <c r="M166" s="445">
        <v>72</v>
      </c>
      <c r="N166" s="445">
        <v>-2</v>
      </c>
      <c r="O166" s="445">
        <v>-1</v>
      </c>
      <c r="P166" s="445">
        <v>-1</v>
      </c>
      <c r="Q166" s="445">
        <v>0</v>
      </c>
      <c r="R166" s="445">
        <v>1</v>
      </c>
      <c r="S166" s="445">
        <v>2</v>
      </c>
      <c r="T166" s="445">
        <v>3</v>
      </c>
      <c r="U166" s="445">
        <v>3</v>
      </c>
      <c r="V166" s="445">
        <v>4</v>
      </c>
      <c r="W166" s="445">
        <v>4</v>
      </c>
      <c r="X166" s="445">
        <v>4</v>
      </c>
      <c r="Y166" s="445"/>
      <c r="Z166" s="449"/>
      <c r="AA166" s="204"/>
      <c r="AB166" s="204"/>
    </row>
    <row r="167" spans="2:28" x14ac:dyDescent="0.25">
      <c r="B167" s="485" t="s">
        <v>1735</v>
      </c>
      <c r="C167" s="474">
        <f t="shared" si="1"/>
        <v>65</v>
      </c>
      <c r="D167" s="445">
        <v>50</v>
      </c>
      <c r="E167" s="445" t="s">
        <v>191</v>
      </c>
      <c r="F167" s="445" t="s">
        <v>191</v>
      </c>
      <c r="G167" s="445"/>
      <c r="H167" s="445"/>
      <c r="I167" s="445" t="s">
        <v>1753</v>
      </c>
      <c r="J167" s="445">
        <v>2</v>
      </c>
      <c r="K167" s="445">
        <v>15</v>
      </c>
      <c r="L167" s="445">
        <v>30</v>
      </c>
      <c r="M167" s="445">
        <v>45</v>
      </c>
      <c r="N167" s="445">
        <v>-7</v>
      </c>
      <c r="O167" s="445">
        <v>-6</v>
      </c>
      <c r="P167" s="445">
        <v>-5</v>
      </c>
      <c r="Q167" s="445">
        <v>-4</v>
      </c>
      <c r="R167" s="445">
        <v>-1</v>
      </c>
      <c r="S167" s="445">
        <v>0</v>
      </c>
      <c r="T167" s="445">
        <v>0</v>
      </c>
      <c r="U167" s="445">
        <v>1</v>
      </c>
      <c r="V167" s="445">
        <v>2</v>
      </c>
      <c r="W167" s="445">
        <v>2</v>
      </c>
      <c r="X167" s="445">
        <v>2</v>
      </c>
      <c r="Y167" s="445"/>
      <c r="Z167" s="449"/>
      <c r="AA167" s="204"/>
      <c r="AB167" s="204"/>
    </row>
    <row r="168" spans="2:28" x14ac:dyDescent="0.25">
      <c r="B168" s="485" t="s">
        <v>1736</v>
      </c>
      <c r="C168" s="474">
        <f t="shared" si="1"/>
        <v>66</v>
      </c>
      <c r="D168" s="445">
        <v>40</v>
      </c>
      <c r="E168" s="445" t="s">
        <v>191</v>
      </c>
      <c r="F168" s="445" t="s">
        <v>191</v>
      </c>
      <c r="G168" s="445"/>
      <c r="H168" s="445"/>
      <c r="I168" s="445" t="s">
        <v>1753</v>
      </c>
      <c r="J168" s="445">
        <v>2</v>
      </c>
      <c r="K168" s="445">
        <v>15</v>
      </c>
      <c r="L168" s="445">
        <v>30</v>
      </c>
      <c r="M168" s="445">
        <v>54</v>
      </c>
      <c r="N168" s="445">
        <v>-4</v>
      </c>
      <c r="O168" s="445">
        <v>-4</v>
      </c>
      <c r="P168" s="445">
        <v>-3</v>
      </c>
      <c r="Q168" s="445">
        <v>-3</v>
      </c>
      <c r="R168" s="445">
        <v>-1</v>
      </c>
      <c r="S168" s="445">
        <v>0</v>
      </c>
      <c r="T168" s="445">
        <v>1</v>
      </c>
      <c r="U168" s="445">
        <v>2</v>
      </c>
      <c r="V168" s="445">
        <v>2</v>
      </c>
      <c r="W168" s="445">
        <v>2</v>
      </c>
      <c r="X168" s="445">
        <v>3</v>
      </c>
      <c r="Y168" s="445"/>
      <c r="Z168" s="449"/>
      <c r="AA168" s="204"/>
      <c r="AB168" s="204"/>
    </row>
    <row r="169" spans="2:28" x14ac:dyDescent="0.25">
      <c r="B169" s="485" t="s">
        <v>1737</v>
      </c>
      <c r="C169" s="474">
        <f t="shared" si="1"/>
        <v>67</v>
      </c>
      <c r="D169" s="445">
        <v>100</v>
      </c>
      <c r="E169" s="445" t="s">
        <v>191</v>
      </c>
      <c r="F169" s="445" t="s">
        <v>191</v>
      </c>
      <c r="G169" s="445"/>
      <c r="H169" s="445"/>
      <c r="I169" s="445" t="s">
        <v>1753</v>
      </c>
      <c r="J169" s="445">
        <v>2</v>
      </c>
      <c r="K169" s="445">
        <v>18</v>
      </c>
      <c r="L169" s="445">
        <v>36</v>
      </c>
      <c r="M169" s="445">
        <v>63</v>
      </c>
      <c r="N169" s="445">
        <v>-4</v>
      </c>
      <c r="O169" s="445">
        <v>-3</v>
      </c>
      <c r="P169" s="445">
        <v>-2</v>
      </c>
      <c r="Q169" s="445">
        <v>-1</v>
      </c>
      <c r="R169" s="445">
        <v>0</v>
      </c>
      <c r="S169" s="445">
        <v>0</v>
      </c>
      <c r="T169" s="445">
        <v>1</v>
      </c>
      <c r="U169" s="445">
        <v>2</v>
      </c>
      <c r="V169" s="445">
        <v>2</v>
      </c>
      <c r="W169" s="445">
        <v>3</v>
      </c>
      <c r="X169" s="445">
        <v>3</v>
      </c>
      <c r="Y169" s="445"/>
      <c r="Z169" s="449"/>
      <c r="AA169" s="204"/>
      <c r="AB169" s="204"/>
    </row>
    <row r="170" spans="2:28" x14ac:dyDescent="0.25">
      <c r="B170" s="485" t="s">
        <v>1738</v>
      </c>
      <c r="C170" s="474">
        <f t="shared" si="1"/>
        <v>68</v>
      </c>
      <c r="D170" s="445">
        <v>80</v>
      </c>
      <c r="E170" s="445" t="s">
        <v>191</v>
      </c>
      <c r="F170" s="445" t="s">
        <v>191</v>
      </c>
      <c r="G170" s="445"/>
      <c r="H170" s="445"/>
      <c r="I170" s="445" t="s">
        <v>1753</v>
      </c>
      <c r="J170" s="445">
        <v>2</v>
      </c>
      <c r="K170" s="445">
        <v>21</v>
      </c>
      <c r="L170" s="445">
        <v>42</v>
      </c>
      <c r="M170" s="445">
        <v>63</v>
      </c>
      <c r="N170" s="445">
        <v>-2</v>
      </c>
      <c r="O170" s="445">
        <v>-1</v>
      </c>
      <c r="P170" s="445">
        <v>-1</v>
      </c>
      <c r="Q170" s="445">
        <v>0</v>
      </c>
      <c r="R170" s="445">
        <v>0</v>
      </c>
      <c r="S170" s="445">
        <v>0</v>
      </c>
      <c r="T170" s="445">
        <v>1</v>
      </c>
      <c r="U170" s="445">
        <v>2</v>
      </c>
      <c r="V170" s="445">
        <v>3</v>
      </c>
      <c r="W170" s="445">
        <v>3</v>
      </c>
      <c r="X170" s="445">
        <v>3</v>
      </c>
      <c r="Y170" s="445"/>
      <c r="Z170" s="449"/>
      <c r="AA170" s="204"/>
      <c r="AB170" s="204"/>
    </row>
    <row r="171" spans="2:28" x14ac:dyDescent="0.25">
      <c r="B171" s="485" t="s">
        <v>1833</v>
      </c>
      <c r="C171" s="474">
        <f t="shared" si="1"/>
        <v>69</v>
      </c>
      <c r="D171" s="445">
        <v>6</v>
      </c>
      <c r="E171" s="445" t="s">
        <v>387</v>
      </c>
      <c r="F171" s="445" t="s">
        <v>385</v>
      </c>
      <c r="G171" s="445">
        <v>30</v>
      </c>
      <c r="H171" s="445">
        <v>30</v>
      </c>
      <c r="I171" s="445" t="s">
        <v>1753</v>
      </c>
      <c r="J171" s="445">
        <v>2</v>
      </c>
      <c r="K171" s="445">
        <v>3</v>
      </c>
      <c r="L171" s="445">
        <v>6</v>
      </c>
      <c r="M171" s="445">
        <v>9</v>
      </c>
      <c r="N171" s="445">
        <v>-8</v>
      </c>
      <c r="O171" s="445">
        <v>-7</v>
      </c>
      <c r="P171" s="445">
        <v>-6</v>
      </c>
      <c r="Q171" s="445">
        <v>-5</v>
      </c>
      <c r="R171" s="445">
        <v>-4</v>
      </c>
      <c r="S171" s="445">
        <v>-3</v>
      </c>
      <c r="T171" s="445">
        <v>-2</v>
      </c>
      <c r="U171" s="445">
        <v>-1</v>
      </c>
      <c r="V171" s="445">
        <v>0</v>
      </c>
      <c r="W171" s="445">
        <v>0</v>
      </c>
      <c r="X171" s="445">
        <v>1</v>
      </c>
      <c r="Y171" s="445"/>
      <c r="Z171" s="449"/>
      <c r="AA171" s="204"/>
      <c r="AB171" s="204"/>
    </row>
    <row r="172" spans="2:28" x14ac:dyDescent="0.25">
      <c r="B172" s="485" t="s">
        <v>1834</v>
      </c>
      <c r="C172" s="474">
        <f t="shared" si="1"/>
        <v>70</v>
      </c>
      <c r="D172" s="445">
        <v>10</v>
      </c>
      <c r="E172" s="445" t="s">
        <v>197</v>
      </c>
      <c r="F172" s="445" t="s">
        <v>387</v>
      </c>
      <c r="G172" s="445">
        <v>40</v>
      </c>
      <c r="H172" s="445">
        <v>30</v>
      </c>
      <c r="I172" s="445" t="s">
        <v>1753</v>
      </c>
      <c r="J172" s="445">
        <v>2</v>
      </c>
      <c r="K172" s="445">
        <v>3</v>
      </c>
      <c r="L172" s="445">
        <v>6</v>
      </c>
      <c r="M172" s="445">
        <v>9</v>
      </c>
      <c r="N172" s="445">
        <v>-7</v>
      </c>
      <c r="O172" s="445">
        <v>-6</v>
      </c>
      <c r="P172" s="445">
        <v>-5</v>
      </c>
      <c r="Q172" s="445">
        <v>-4</v>
      </c>
      <c r="R172" s="445">
        <v>-3</v>
      </c>
      <c r="S172" s="445">
        <v>-2</v>
      </c>
      <c r="T172" s="445">
        <v>-1</v>
      </c>
      <c r="U172" s="445">
        <v>-1</v>
      </c>
      <c r="V172" s="445">
        <v>0</v>
      </c>
      <c r="W172" s="445">
        <v>0</v>
      </c>
      <c r="X172" s="445">
        <v>1</v>
      </c>
      <c r="Y172" s="445"/>
      <c r="Z172" s="449"/>
      <c r="AA172" s="204"/>
      <c r="AB172" s="204"/>
    </row>
    <row r="173" spans="2:28" x14ac:dyDescent="0.25">
      <c r="B173" s="485" t="s">
        <v>1771</v>
      </c>
      <c r="C173" s="474">
        <f t="shared" si="1"/>
        <v>71</v>
      </c>
      <c r="D173" s="445">
        <v>5</v>
      </c>
      <c r="E173" s="445" t="s">
        <v>387</v>
      </c>
      <c r="F173" s="445" t="s">
        <v>385</v>
      </c>
      <c r="G173" s="445"/>
      <c r="H173" s="445"/>
      <c r="I173" s="445" t="s">
        <v>1753</v>
      </c>
      <c r="J173" s="445">
        <v>3</v>
      </c>
      <c r="K173" s="445">
        <v>4.5</v>
      </c>
      <c r="L173" s="445">
        <v>9</v>
      </c>
      <c r="M173" s="445">
        <v>13.5</v>
      </c>
      <c r="N173" s="445">
        <v>-7</v>
      </c>
      <c r="O173" s="445">
        <v>-6</v>
      </c>
      <c r="P173" s="445">
        <v>-5</v>
      </c>
      <c r="Q173" s="445">
        <v>-4</v>
      </c>
      <c r="R173" s="445">
        <v>-3</v>
      </c>
      <c r="S173" s="445">
        <v>-2</v>
      </c>
      <c r="T173" s="445">
        <v>-1</v>
      </c>
      <c r="U173" s="445">
        <v>0</v>
      </c>
      <c r="V173" s="445">
        <v>1</v>
      </c>
      <c r="W173" s="445">
        <v>0</v>
      </c>
      <c r="X173" s="445">
        <v>1</v>
      </c>
      <c r="Y173" s="445"/>
      <c r="Z173" s="449"/>
      <c r="AA173" s="204"/>
      <c r="AB173" s="204"/>
    </row>
    <row r="174" spans="2:28" x14ac:dyDescent="0.25">
      <c r="B174" s="485" t="s">
        <v>1777</v>
      </c>
      <c r="C174" s="474">
        <f t="shared" si="1"/>
        <v>72</v>
      </c>
      <c r="D174" s="445">
        <v>2</v>
      </c>
      <c r="E174" s="445" t="s">
        <v>1259</v>
      </c>
      <c r="F174" s="445" t="s">
        <v>384</v>
      </c>
      <c r="G174" s="445"/>
      <c r="H174" s="445"/>
      <c r="I174" s="445" t="s">
        <v>1753</v>
      </c>
      <c r="J174" s="445">
        <v>1</v>
      </c>
      <c r="K174" s="445">
        <v>15</v>
      </c>
      <c r="L174" s="445">
        <v>30</v>
      </c>
      <c r="M174" s="445">
        <v>60</v>
      </c>
      <c r="N174" s="445">
        <v>-3</v>
      </c>
      <c r="O174" s="445">
        <v>-3</v>
      </c>
      <c r="P174" s="445">
        <v>-2</v>
      </c>
      <c r="Q174" s="445">
        <v>-2</v>
      </c>
      <c r="R174" s="445">
        <v>-1</v>
      </c>
      <c r="S174" s="445">
        <v>0</v>
      </c>
      <c r="T174" s="445">
        <v>0</v>
      </c>
      <c r="U174" s="445">
        <v>0</v>
      </c>
      <c r="V174" s="445">
        <v>2</v>
      </c>
      <c r="W174" s="445">
        <v>1</v>
      </c>
      <c r="X174" s="445">
        <v>3</v>
      </c>
      <c r="Y174" s="445"/>
      <c r="Z174" s="449"/>
      <c r="AA174" s="204"/>
      <c r="AB174" s="204"/>
    </row>
    <row r="175" spans="2:28" x14ac:dyDescent="0.25">
      <c r="B175" s="485" t="s">
        <v>1778</v>
      </c>
      <c r="C175" s="474">
        <f t="shared" si="1"/>
        <v>73</v>
      </c>
      <c r="D175" s="445">
        <v>1</v>
      </c>
      <c r="E175" s="445" t="s">
        <v>197</v>
      </c>
      <c r="F175" s="445" t="s">
        <v>197</v>
      </c>
      <c r="G175" s="445"/>
      <c r="H175" s="445"/>
      <c r="I175" s="445" t="s">
        <v>1753</v>
      </c>
      <c r="J175" s="445">
        <v>1</v>
      </c>
      <c r="K175" s="445">
        <v>12</v>
      </c>
      <c r="L175" s="445">
        <v>24</v>
      </c>
      <c r="M175" s="445">
        <v>48</v>
      </c>
      <c r="N175" s="445">
        <v>-7</v>
      </c>
      <c r="O175" s="445">
        <v>-6</v>
      </c>
      <c r="P175" s="445">
        <v>-5</v>
      </c>
      <c r="Q175" s="445">
        <v>-4</v>
      </c>
      <c r="R175" s="445">
        <v>-2</v>
      </c>
      <c r="S175" s="445">
        <v>-1</v>
      </c>
      <c r="T175" s="445">
        <v>0</v>
      </c>
      <c r="U175" s="445">
        <v>0</v>
      </c>
      <c r="V175" s="445">
        <v>2</v>
      </c>
      <c r="W175" s="445">
        <v>1</v>
      </c>
      <c r="X175" s="445">
        <v>3</v>
      </c>
      <c r="Y175" s="445"/>
      <c r="Z175" s="449"/>
      <c r="AA175" s="204"/>
      <c r="AB175" s="204"/>
    </row>
    <row r="176" spans="2:28" x14ac:dyDescent="0.25">
      <c r="B176" s="485" t="s">
        <v>1779</v>
      </c>
      <c r="C176" s="474">
        <f t="shared" si="1"/>
        <v>74</v>
      </c>
      <c r="D176" s="445">
        <v>5</v>
      </c>
      <c r="E176" s="445" t="s">
        <v>204</v>
      </c>
      <c r="F176" s="445" t="s">
        <v>1817</v>
      </c>
      <c r="G176" s="445"/>
      <c r="H176" s="445"/>
      <c r="I176" s="445" t="s">
        <v>1753</v>
      </c>
      <c r="J176" s="446">
        <v>0.5</v>
      </c>
      <c r="K176" s="445" t="s">
        <v>1753</v>
      </c>
      <c r="L176" s="446" t="s">
        <v>1844</v>
      </c>
      <c r="M176" s="445">
        <v>27</v>
      </c>
      <c r="N176" s="445">
        <v>-5</v>
      </c>
      <c r="O176" s="445">
        <v>-4</v>
      </c>
      <c r="P176" s="445">
        <v>-3</v>
      </c>
      <c r="Q176" s="445">
        <v>-2</v>
      </c>
      <c r="R176" s="445">
        <v>-1</v>
      </c>
      <c r="S176" s="445">
        <v>0</v>
      </c>
      <c r="T176" s="445">
        <v>0</v>
      </c>
      <c r="U176" s="445">
        <v>0</v>
      </c>
      <c r="V176" s="445">
        <v>0</v>
      </c>
      <c r="W176" s="445">
        <v>0</v>
      </c>
      <c r="X176" s="445">
        <v>0</v>
      </c>
      <c r="Y176" s="445"/>
      <c r="Z176" s="449"/>
      <c r="AA176" s="204"/>
      <c r="AB176" s="204"/>
    </row>
    <row r="177" spans="2:29" x14ac:dyDescent="0.25">
      <c r="B177" s="485" t="s">
        <v>1780</v>
      </c>
      <c r="C177" s="474">
        <f t="shared" si="1"/>
        <v>75</v>
      </c>
      <c r="D177" s="445">
        <v>4</v>
      </c>
      <c r="E177" s="445" t="s">
        <v>193</v>
      </c>
      <c r="F177" s="445" t="s">
        <v>204</v>
      </c>
      <c r="G177" s="445"/>
      <c r="H177" s="445"/>
      <c r="I177" s="445" t="s">
        <v>1753</v>
      </c>
      <c r="J177" s="446">
        <v>0.5</v>
      </c>
      <c r="K177" s="445" t="s">
        <v>1753</v>
      </c>
      <c r="L177" s="446" t="s">
        <v>1844</v>
      </c>
      <c r="M177" s="445">
        <v>27</v>
      </c>
      <c r="N177" s="445">
        <v>-6</v>
      </c>
      <c r="O177" s="445">
        <v>-5</v>
      </c>
      <c r="P177" s="445">
        <v>-4</v>
      </c>
      <c r="Q177" s="445">
        <v>-3</v>
      </c>
      <c r="R177" s="445">
        <v>-2</v>
      </c>
      <c r="S177" s="445">
        <v>-1</v>
      </c>
      <c r="T177" s="445">
        <v>0</v>
      </c>
      <c r="U177" s="445">
        <v>0</v>
      </c>
      <c r="V177" s="445">
        <v>0</v>
      </c>
      <c r="W177" s="445">
        <v>0</v>
      </c>
      <c r="X177" s="445">
        <v>0</v>
      </c>
      <c r="Y177" s="445"/>
      <c r="Z177" s="449"/>
      <c r="AA177" s="204"/>
      <c r="AB177" s="204"/>
    </row>
    <row r="178" spans="2:29" x14ac:dyDescent="0.25">
      <c r="B178" s="485" t="s">
        <v>1854</v>
      </c>
      <c r="C178" s="474">
        <f t="shared" si="1"/>
        <v>76</v>
      </c>
      <c r="D178" s="445">
        <v>50</v>
      </c>
      <c r="E178" s="445" t="s">
        <v>191</v>
      </c>
      <c r="F178" s="445" t="s">
        <v>197</v>
      </c>
      <c r="G178" s="445">
        <v>45</v>
      </c>
      <c r="H178" s="445">
        <v>30</v>
      </c>
      <c r="I178" s="445" t="s">
        <v>1753</v>
      </c>
      <c r="J178" s="445">
        <v>1</v>
      </c>
      <c r="K178" s="445">
        <v>3</v>
      </c>
      <c r="L178" s="445">
        <v>6</v>
      </c>
      <c r="M178" s="445">
        <v>9</v>
      </c>
      <c r="N178" s="445">
        <v>-6</v>
      </c>
      <c r="O178" s="445">
        <v>-5</v>
      </c>
      <c r="P178" s="445">
        <v>-4</v>
      </c>
      <c r="Q178" s="445">
        <v>-3</v>
      </c>
      <c r="R178" s="445">
        <v>-2</v>
      </c>
      <c r="S178" s="445">
        <v>-1</v>
      </c>
      <c r="T178" s="445">
        <v>-1</v>
      </c>
      <c r="U178" s="445">
        <v>0</v>
      </c>
      <c r="V178" s="445">
        <v>0</v>
      </c>
      <c r="W178" s="445">
        <v>0</v>
      </c>
      <c r="X178" s="445">
        <v>1</v>
      </c>
      <c r="Y178" s="445"/>
      <c r="Z178" s="449"/>
      <c r="AA178" s="204"/>
      <c r="AB178" s="204"/>
    </row>
    <row r="179" spans="2:29" x14ac:dyDescent="0.25">
      <c r="B179" s="485" t="s">
        <v>1835</v>
      </c>
      <c r="C179" s="474">
        <f t="shared" si="1"/>
        <v>77</v>
      </c>
      <c r="D179" s="446" t="s">
        <v>1789</v>
      </c>
      <c r="E179" s="445" t="s">
        <v>204</v>
      </c>
      <c r="F179" s="445" t="s">
        <v>209</v>
      </c>
      <c r="G179" s="445" t="s">
        <v>1743</v>
      </c>
      <c r="H179" s="445">
        <v>45</v>
      </c>
      <c r="I179" s="445" t="s">
        <v>1753</v>
      </c>
      <c r="J179" s="445">
        <v>1</v>
      </c>
      <c r="K179" s="445">
        <v>3</v>
      </c>
      <c r="L179" s="445">
        <v>6</v>
      </c>
      <c r="M179" s="445">
        <v>9</v>
      </c>
      <c r="N179" s="445">
        <v>-6</v>
      </c>
      <c r="O179" s="445">
        <v>-5</v>
      </c>
      <c r="P179" s="445">
        <v>-4</v>
      </c>
      <c r="Q179" s="445">
        <v>-3</v>
      </c>
      <c r="R179" s="445">
        <v>-2</v>
      </c>
      <c r="S179" s="445">
        <v>-1</v>
      </c>
      <c r="T179" s="445">
        <v>0</v>
      </c>
      <c r="U179" s="445">
        <v>0</v>
      </c>
      <c r="V179" s="445">
        <v>0</v>
      </c>
      <c r="W179" s="445">
        <v>0</v>
      </c>
      <c r="X179" s="445">
        <v>1</v>
      </c>
      <c r="Y179" s="445"/>
      <c r="Z179" s="449"/>
      <c r="AA179" s="204"/>
      <c r="AB179" s="204"/>
    </row>
    <row r="180" spans="2:29" x14ac:dyDescent="0.25">
      <c r="B180" s="485" t="s">
        <v>219</v>
      </c>
      <c r="C180" s="474">
        <f t="shared" si="1"/>
        <v>78</v>
      </c>
      <c r="D180" s="445">
        <v>20</v>
      </c>
      <c r="E180" s="445" t="s">
        <v>191</v>
      </c>
      <c r="F180" s="445" t="s">
        <v>191</v>
      </c>
      <c r="G180" s="445"/>
      <c r="H180" s="445"/>
      <c r="I180" s="445" t="s">
        <v>1753</v>
      </c>
      <c r="J180" s="445">
        <v>1</v>
      </c>
      <c r="K180" s="445">
        <v>6</v>
      </c>
      <c r="L180" s="445">
        <v>12</v>
      </c>
      <c r="M180" s="445">
        <v>18</v>
      </c>
      <c r="N180" s="445">
        <v>-7</v>
      </c>
      <c r="O180" s="445">
        <v>-6</v>
      </c>
      <c r="P180" s="445">
        <v>-5</v>
      </c>
      <c r="Q180" s="445">
        <v>-4</v>
      </c>
      <c r="R180" s="445">
        <v>-3</v>
      </c>
      <c r="S180" s="445">
        <v>-2</v>
      </c>
      <c r="T180" s="445">
        <v>-1</v>
      </c>
      <c r="U180" s="445">
        <v>0</v>
      </c>
      <c r="V180" s="445">
        <v>1</v>
      </c>
      <c r="W180" s="445">
        <v>0</v>
      </c>
      <c r="X180" s="445">
        <v>1</v>
      </c>
      <c r="Y180" s="445"/>
      <c r="Z180" s="449"/>
      <c r="AA180" s="204"/>
      <c r="AB180" s="204"/>
    </row>
    <row r="181" spans="2:29" x14ac:dyDescent="0.25">
      <c r="B181" s="485" t="s">
        <v>1836</v>
      </c>
      <c r="C181" s="474">
        <f t="shared" si="1"/>
        <v>79</v>
      </c>
      <c r="D181" s="446" t="s">
        <v>1795</v>
      </c>
      <c r="E181" s="445" t="s">
        <v>191</v>
      </c>
      <c r="F181" s="445" t="s">
        <v>193</v>
      </c>
      <c r="G181" s="445" t="s">
        <v>1796</v>
      </c>
      <c r="H181" s="445">
        <v>30</v>
      </c>
      <c r="I181" s="446" t="s">
        <v>1753</v>
      </c>
      <c r="J181" s="445">
        <v>1</v>
      </c>
      <c r="K181" s="445">
        <v>3</v>
      </c>
      <c r="L181" s="445">
        <v>6</v>
      </c>
      <c r="M181" s="445">
        <v>9</v>
      </c>
      <c r="N181" s="445">
        <v>-4</v>
      </c>
      <c r="O181" s="445">
        <v>-4</v>
      </c>
      <c r="P181" s="445">
        <v>-3</v>
      </c>
      <c r="Q181" s="445">
        <v>-3</v>
      </c>
      <c r="R181" s="445">
        <v>-2</v>
      </c>
      <c r="S181" s="445">
        <v>-2</v>
      </c>
      <c r="T181" s="445">
        <v>-1</v>
      </c>
      <c r="U181" s="445">
        <v>0</v>
      </c>
      <c r="V181" s="445">
        <v>0</v>
      </c>
      <c r="W181" s="445">
        <v>0</v>
      </c>
      <c r="X181" s="445">
        <v>0</v>
      </c>
      <c r="Y181" s="445"/>
      <c r="Z181" s="449"/>
      <c r="AA181" s="204"/>
      <c r="AB181" s="204"/>
    </row>
    <row r="182" spans="2:29" x14ac:dyDescent="0.25">
      <c r="B182" s="485" t="s">
        <v>1837</v>
      </c>
      <c r="C182" s="474">
        <f t="shared" si="1"/>
        <v>80</v>
      </c>
      <c r="D182" s="445">
        <v>20</v>
      </c>
      <c r="E182" s="445" t="s">
        <v>1753</v>
      </c>
      <c r="F182" s="445" t="s">
        <v>1753</v>
      </c>
      <c r="G182" s="445" t="s">
        <v>1798</v>
      </c>
      <c r="H182" s="445">
        <v>240</v>
      </c>
      <c r="I182" s="445" t="s">
        <v>1753</v>
      </c>
      <c r="J182" s="446">
        <v>0.5</v>
      </c>
      <c r="K182" s="445">
        <v>3</v>
      </c>
      <c r="L182" s="445">
        <v>6</v>
      </c>
      <c r="M182" s="445">
        <v>9</v>
      </c>
      <c r="N182" s="445">
        <v>9</v>
      </c>
      <c r="O182" s="445">
        <v>8</v>
      </c>
      <c r="P182" s="445">
        <v>7</v>
      </c>
      <c r="Q182" s="445">
        <v>6</v>
      </c>
      <c r="R182" s="445">
        <v>5</v>
      </c>
      <c r="S182" s="445">
        <v>4</v>
      </c>
      <c r="T182" s="445">
        <v>3</v>
      </c>
      <c r="U182" s="445">
        <v>2</v>
      </c>
      <c r="V182" s="445">
        <v>1</v>
      </c>
      <c r="W182" s="445">
        <v>0</v>
      </c>
      <c r="X182" s="445">
        <v>-1</v>
      </c>
      <c r="Y182" s="445"/>
      <c r="Z182" s="449"/>
      <c r="AA182" s="204"/>
      <c r="AB182" s="204"/>
    </row>
    <row r="183" spans="2:29" x14ac:dyDescent="0.25">
      <c r="B183" s="485" t="s">
        <v>1838</v>
      </c>
      <c r="C183" s="474">
        <f t="shared" si="1"/>
        <v>81</v>
      </c>
      <c r="D183" s="445">
        <v>50</v>
      </c>
      <c r="E183" s="445" t="s">
        <v>1259</v>
      </c>
      <c r="F183" s="445" t="s">
        <v>197</v>
      </c>
      <c r="G183" s="445">
        <v>45</v>
      </c>
      <c r="H183" s="445">
        <v>60</v>
      </c>
      <c r="I183" s="445" t="s">
        <v>1753</v>
      </c>
      <c r="J183" s="445">
        <v>1</v>
      </c>
      <c r="K183" s="445">
        <v>3</v>
      </c>
      <c r="L183" s="445">
        <v>6</v>
      </c>
      <c r="M183" s="445">
        <v>9</v>
      </c>
      <c r="N183" s="445">
        <v>-4</v>
      </c>
      <c r="O183" s="445">
        <v>-3</v>
      </c>
      <c r="P183" s="445">
        <v>-2</v>
      </c>
      <c r="Q183" s="445">
        <v>-1</v>
      </c>
      <c r="R183" s="445">
        <v>0</v>
      </c>
      <c r="S183" s="445">
        <v>0</v>
      </c>
      <c r="T183" s="445">
        <v>0</v>
      </c>
      <c r="U183" s="445">
        <v>0</v>
      </c>
      <c r="V183" s="445">
        <v>0</v>
      </c>
      <c r="W183" s="445">
        <v>0</v>
      </c>
      <c r="X183" s="445">
        <v>1</v>
      </c>
      <c r="Y183" s="445"/>
      <c r="Z183" s="449"/>
      <c r="AA183" s="204"/>
      <c r="AB183" s="204"/>
    </row>
    <row r="184" spans="2:29" x14ac:dyDescent="0.25">
      <c r="B184" s="485" t="s">
        <v>1839</v>
      </c>
      <c r="C184" s="474">
        <f t="shared" si="1"/>
        <v>82</v>
      </c>
      <c r="D184" s="445">
        <v>30</v>
      </c>
      <c r="E184" s="445" t="s">
        <v>191</v>
      </c>
      <c r="F184" s="445" t="s">
        <v>387</v>
      </c>
      <c r="G184" s="445">
        <v>90</v>
      </c>
      <c r="H184" s="445" t="s">
        <v>1804</v>
      </c>
      <c r="I184" s="445" t="s">
        <v>1753</v>
      </c>
      <c r="J184" s="445">
        <v>1</v>
      </c>
      <c r="K184" s="445">
        <v>3</v>
      </c>
      <c r="L184" s="445">
        <v>6</v>
      </c>
      <c r="M184" s="445">
        <v>9</v>
      </c>
      <c r="N184" s="445">
        <v>-9</v>
      </c>
      <c r="O184" s="445">
        <v>-8</v>
      </c>
      <c r="P184" s="445">
        <v>-7</v>
      </c>
      <c r="Q184" s="445">
        <v>-5</v>
      </c>
      <c r="R184" s="445">
        <v>-3</v>
      </c>
      <c r="S184" s="445">
        <v>-2</v>
      </c>
      <c r="T184" s="445">
        <v>-1</v>
      </c>
      <c r="U184" s="445">
        <v>-1</v>
      </c>
      <c r="V184" s="445">
        <v>-1</v>
      </c>
      <c r="W184" s="445">
        <v>0</v>
      </c>
      <c r="X184" s="445">
        <v>0</v>
      </c>
      <c r="Y184" s="445"/>
      <c r="Z184" s="449"/>
      <c r="AA184" s="204"/>
      <c r="AB184" s="204"/>
    </row>
    <row r="185" spans="2:29" x14ac:dyDescent="0.25">
      <c r="B185" s="485" t="s">
        <v>1809</v>
      </c>
      <c r="C185" s="474">
        <f t="shared" si="1"/>
        <v>83</v>
      </c>
      <c r="D185" s="445">
        <v>30</v>
      </c>
      <c r="E185" s="445" t="s">
        <v>191</v>
      </c>
      <c r="F185" s="445" t="s">
        <v>191</v>
      </c>
      <c r="G185" s="445">
        <v>90</v>
      </c>
      <c r="H185" s="445">
        <v>30</v>
      </c>
      <c r="I185" s="445" t="s">
        <v>1753</v>
      </c>
      <c r="J185" s="445">
        <v>1</v>
      </c>
      <c r="K185" s="445">
        <v>9</v>
      </c>
      <c r="L185" s="445">
        <v>18</v>
      </c>
      <c r="M185" s="445">
        <v>27</v>
      </c>
      <c r="N185" s="445">
        <v>-6</v>
      </c>
      <c r="O185" s="445">
        <v>-5</v>
      </c>
      <c r="P185" s="445">
        <v>-4</v>
      </c>
      <c r="Q185" s="445">
        <v>-3</v>
      </c>
      <c r="R185" s="445">
        <v>-2</v>
      </c>
      <c r="S185" s="445">
        <v>-1</v>
      </c>
      <c r="T185" s="445">
        <v>0</v>
      </c>
      <c r="U185" s="445">
        <v>0</v>
      </c>
      <c r="V185" s="445">
        <v>1</v>
      </c>
      <c r="W185" s="445">
        <v>1</v>
      </c>
      <c r="X185" s="445">
        <v>2</v>
      </c>
      <c r="Y185" s="445"/>
      <c r="Z185" s="449"/>
      <c r="AA185" s="204"/>
      <c r="AB185" s="204"/>
    </row>
    <row r="186" spans="2:29" ht="15.75" thickBot="1" x14ac:dyDescent="0.3">
      <c r="B186" s="490" t="s">
        <v>1812</v>
      </c>
      <c r="C186" s="483">
        <f t="shared" si="1"/>
        <v>84</v>
      </c>
      <c r="D186" s="447">
        <v>15</v>
      </c>
      <c r="E186" s="447" t="s">
        <v>191</v>
      </c>
      <c r="F186" s="447">
        <v>1</v>
      </c>
      <c r="G186" s="447"/>
      <c r="H186" s="447"/>
      <c r="I186" s="447" t="s">
        <v>1753</v>
      </c>
      <c r="J186" s="447">
        <v>2</v>
      </c>
      <c r="K186" s="447">
        <v>3</v>
      </c>
      <c r="L186" s="447">
        <v>6</v>
      </c>
      <c r="M186" s="447">
        <v>9</v>
      </c>
      <c r="N186" s="447">
        <v>-14</v>
      </c>
      <c r="O186" s="447">
        <v>-12</v>
      </c>
      <c r="P186" s="447">
        <v>-10</v>
      </c>
      <c r="Q186" s="447">
        <v>-8</v>
      </c>
      <c r="R186" s="447">
        <v>-6</v>
      </c>
      <c r="S186" s="447">
        <v>-4</v>
      </c>
      <c r="T186" s="447">
        <v>-2</v>
      </c>
      <c r="U186" s="447">
        <v>-1</v>
      </c>
      <c r="V186" s="447">
        <v>-1</v>
      </c>
      <c r="W186" s="447">
        <v>1</v>
      </c>
      <c r="X186" s="447">
        <v>2</v>
      </c>
      <c r="Y186" s="447"/>
      <c r="Z186" s="450"/>
      <c r="AA186" s="204"/>
      <c r="AB186" s="204"/>
    </row>
    <row r="187" spans="2:29" ht="15.75" thickBot="1" x14ac:dyDescent="0.3">
      <c r="C187" s="323"/>
      <c r="X187" s="27"/>
      <c r="Y187" s="27"/>
      <c r="Z187" s="27"/>
      <c r="AA187" s="204"/>
      <c r="AB187" s="204"/>
      <c r="AC187" s="204"/>
    </row>
    <row r="188" spans="2:29" x14ac:dyDescent="0.25">
      <c r="B188" s="461" t="s">
        <v>1770</v>
      </c>
      <c r="C188" s="472"/>
      <c r="D188" s="457">
        <v>2</v>
      </c>
      <c r="E188" s="457" t="s">
        <v>191</v>
      </c>
      <c r="F188" s="457" t="s">
        <v>191</v>
      </c>
      <c r="G188" s="457"/>
      <c r="H188" s="457"/>
      <c r="I188" s="457"/>
      <c r="J188" s="457"/>
      <c r="K188" s="457"/>
      <c r="L188" s="457"/>
      <c r="M188" s="457"/>
      <c r="N188" s="457"/>
      <c r="O188" s="457"/>
      <c r="P188" s="457"/>
      <c r="Q188" s="457"/>
      <c r="R188" s="457"/>
      <c r="S188" s="457"/>
      <c r="T188" s="457"/>
      <c r="U188" s="457"/>
      <c r="V188" s="457"/>
      <c r="W188" s="457"/>
      <c r="X188" s="457"/>
      <c r="Y188" s="457"/>
      <c r="Z188" s="458"/>
      <c r="AA188" s="204"/>
      <c r="AB188" s="204"/>
      <c r="AC188" s="204"/>
    </row>
    <row r="189" spans="2:29" x14ac:dyDescent="0.25">
      <c r="B189" s="459" t="s">
        <v>1749</v>
      </c>
      <c r="C189" s="470"/>
      <c r="D189" s="445">
        <v>1</v>
      </c>
      <c r="E189" s="445" t="s">
        <v>387</v>
      </c>
      <c r="F189" s="445" t="s">
        <v>385</v>
      </c>
      <c r="G189" s="445"/>
      <c r="H189" s="445"/>
      <c r="I189" s="445"/>
      <c r="J189" s="445"/>
      <c r="K189" s="445"/>
      <c r="L189" s="445"/>
      <c r="M189" s="445"/>
      <c r="N189" s="445"/>
      <c r="O189" s="445"/>
      <c r="P189" s="445"/>
      <c r="Q189" s="445"/>
      <c r="R189" s="445"/>
      <c r="S189" s="445"/>
      <c r="T189" s="445"/>
      <c r="U189" s="445"/>
      <c r="V189" s="445"/>
      <c r="W189" s="445"/>
      <c r="X189" s="445"/>
      <c r="Y189" s="445"/>
      <c r="Z189" s="449"/>
      <c r="AA189" s="204"/>
      <c r="AB189" s="204"/>
      <c r="AC189" s="204"/>
    </row>
    <row r="190" spans="2:29" x14ac:dyDescent="0.25">
      <c r="B190" s="459" t="s">
        <v>1750</v>
      </c>
      <c r="C190" s="470"/>
      <c r="D190" s="445">
        <v>1</v>
      </c>
      <c r="E190" s="445" t="s">
        <v>197</v>
      </c>
      <c r="F190" s="445" t="s">
        <v>197</v>
      </c>
      <c r="G190" s="445"/>
      <c r="H190" s="445"/>
      <c r="I190" s="445"/>
      <c r="J190" s="445"/>
      <c r="K190" s="445"/>
      <c r="L190" s="445"/>
      <c r="M190" s="445"/>
      <c r="N190" s="445"/>
      <c r="O190" s="445"/>
      <c r="P190" s="445"/>
      <c r="Q190" s="445"/>
      <c r="R190" s="445"/>
      <c r="S190" s="445"/>
      <c r="T190" s="445"/>
      <c r="U190" s="445"/>
      <c r="V190" s="445"/>
      <c r="W190" s="445"/>
      <c r="X190" s="445"/>
      <c r="Y190" s="445"/>
      <c r="Z190" s="449"/>
      <c r="AA190" s="204"/>
      <c r="AB190" s="204"/>
    </row>
    <row r="191" spans="2:29" ht="15.75" thickBot="1" x14ac:dyDescent="0.3">
      <c r="B191" s="460" t="s">
        <v>1751</v>
      </c>
      <c r="C191" s="471"/>
      <c r="D191" s="447">
        <v>2</v>
      </c>
      <c r="E191" s="447" t="s">
        <v>1259</v>
      </c>
      <c r="F191" s="447" t="s">
        <v>384</v>
      </c>
      <c r="G191" s="447"/>
      <c r="H191" s="447"/>
      <c r="I191" s="447"/>
      <c r="J191" s="447"/>
      <c r="K191" s="447"/>
      <c r="L191" s="447"/>
      <c r="M191" s="447"/>
      <c r="N191" s="447"/>
      <c r="O191" s="447"/>
      <c r="P191" s="447"/>
      <c r="Q191" s="447"/>
      <c r="R191" s="447"/>
      <c r="S191" s="447"/>
      <c r="T191" s="447"/>
      <c r="U191" s="447"/>
      <c r="V191" s="447"/>
      <c r="W191" s="447"/>
      <c r="X191" s="447"/>
      <c r="Y191" s="447"/>
      <c r="Z191" s="450"/>
      <c r="AA191" s="204"/>
      <c r="AB191" s="204"/>
    </row>
  </sheetData>
  <pageMargins left="0.7" right="0.7" top="0.75" bottom="0.75" header="0.3" footer="0.3"/>
  <pageSetup paperSize="9" orientation="portrait" horizontalDpi="0" verticalDpi="0" r:id="rId1"/>
  <ignoredErrors>
    <ignoredError sqref="L176:L177" twoDigitTextYear="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tint="-0.34998626667073579"/>
  </sheetPr>
  <dimension ref="B2:BF152"/>
  <sheetViews>
    <sheetView topLeftCell="A69" zoomScaleNormal="100" workbookViewId="0">
      <selection activeCell="D137" sqref="D137:D152"/>
    </sheetView>
  </sheetViews>
  <sheetFormatPr baseColWidth="10" defaultColWidth="10.7109375" defaultRowHeight="15" x14ac:dyDescent="0.25"/>
  <cols>
    <col min="1" max="3" width="3.7109375" customWidth="1"/>
    <col min="4" max="4" width="3" bestFit="1" customWidth="1"/>
    <col min="5" max="5" width="33.5703125" bestFit="1" customWidth="1"/>
    <col min="6" max="10" width="3.7109375" style="27" customWidth="1"/>
    <col min="11" max="11" width="37" bestFit="1" customWidth="1"/>
    <col min="12" max="16" width="3.7109375" style="27" customWidth="1"/>
    <col min="17" max="17" width="41.140625" bestFit="1" customWidth="1"/>
    <col min="18" max="22" width="3.7109375" style="27" customWidth="1"/>
    <col min="23" max="23" width="39.85546875" bestFit="1" customWidth="1"/>
    <col min="24" max="28" width="3.7109375" style="27" customWidth="1"/>
    <col min="29" max="29" width="35" bestFit="1" customWidth="1"/>
    <col min="30" max="34" width="3.7109375" style="27" customWidth="1"/>
    <col min="35" max="35" width="33.42578125" bestFit="1" customWidth="1"/>
    <col min="36" max="40" width="3.7109375" style="27" customWidth="1"/>
    <col min="41" max="41" width="37" bestFit="1" customWidth="1"/>
    <col min="42" max="46" width="3.7109375" style="27" customWidth="1"/>
    <col min="47" max="47" width="30.28515625" bestFit="1" customWidth="1"/>
    <col min="48" max="52" width="3.7109375" style="27" customWidth="1"/>
    <col min="53" max="53" width="29.42578125" bestFit="1" customWidth="1"/>
    <col min="54" max="58" width="3.7109375" style="27" customWidth="1"/>
  </cols>
  <sheetData>
    <row r="2" spans="2:58" ht="15.75" thickBot="1" x14ac:dyDescent="0.3">
      <c r="B2">
        <v>0</v>
      </c>
      <c r="E2" s="26" t="s">
        <v>248</v>
      </c>
    </row>
    <row r="3" spans="2:58" s="26" customFormat="1" x14ac:dyDescent="0.25">
      <c r="B3" s="26">
        <v>1</v>
      </c>
      <c r="D3" s="37"/>
      <c r="E3" s="38" t="s">
        <v>664</v>
      </c>
      <c r="F3" s="39" t="s">
        <v>1275</v>
      </c>
      <c r="G3" s="39" t="s">
        <v>1218</v>
      </c>
      <c r="H3" s="39" t="s">
        <v>1201</v>
      </c>
      <c r="I3" s="39" t="s">
        <v>400</v>
      </c>
      <c r="J3" s="40" t="s">
        <v>388</v>
      </c>
      <c r="K3" s="38" t="s">
        <v>665</v>
      </c>
      <c r="L3" s="39" t="s">
        <v>1275</v>
      </c>
      <c r="M3" s="39" t="s">
        <v>1218</v>
      </c>
      <c r="N3" s="39" t="s">
        <v>1201</v>
      </c>
      <c r="O3" s="39" t="s">
        <v>400</v>
      </c>
      <c r="P3" s="40" t="s">
        <v>388</v>
      </c>
      <c r="Q3" s="38" t="s">
        <v>666</v>
      </c>
      <c r="R3" s="39" t="s">
        <v>1275</v>
      </c>
      <c r="S3" s="39" t="s">
        <v>1218</v>
      </c>
      <c r="T3" s="39" t="s">
        <v>1201</v>
      </c>
      <c r="U3" s="39" t="s">
        <v>400</v>
      </c>
      <c r="V3" s="41" t="s">
        <v>388</v>
      </c>
      <c r="W3" s="38" t="s">
        <v>667</v>
      </c>
      <c r="X3" s="39" t="s">
        <v>1275</v>
      </c>
      <c r="Y3" s="39" t="s">
        <v>1218</v>
      </c>
      <c r="Z3" s="39" t="s">
        <v>1201</v>
      </c>
      <c r="AA3" s="39" t="s">
        <v>400</v>
      </c>
      <c r="AB3" s="40" t="s">
        <v>388</v>
      </c>
      <c r="AC3" s="38" t="s">
        <v>723</v>
      </c>
      <c r="AD3" s="39" t="s">
        <v>1275</v>
      </c>
      <c r="AE3" s="39" t="s">
        <v>1218</v>
      </c>
      <c r="AF3" s="39" t="s">
        <v>1201</v>
      </c>
      <c r="AG3" s="39" t="s">
        <v>400</v>
      </c>
      <c r="AH3" s="41" t="s">
        <v>388</v>
      </c>
      <c r="AI3" s="38" t="s">
        <v>724</v>
      </c>
      <c r="AJ3" s="39" t="s">
        <v>1275</v>
      </c>
      <c r="AK3" s="39" t="s">
        <v>1218</v>
      </c>
      <c r="AL3" s="39" t="s">
        <v>1201</v>
      </c>
      <c r="AM3" s="39" t="s">
        <v>400</v>
      </c>
      <c r="AN3" s="40" t="s">
        <v>388</v>
      </c>
      <c r="AO3" s="38" t="s">
        <v>725</v>
      </c>
      <c r="AP3" s="39" t="s">
        <v>1275</v>
      </c>
      <c r="AQ3" s="39" t="s">
        <v>1218</v>
      </c>
      <c r="AR3" s="39" t="s">
        <v>1201</v>
      </c>
      <c r="AS3" s="39" t="s">
        <v>400</v>
      </c>
      <c r="AT3" s="40" t="s">
        <v>388</v>
      </c>
      <c r="AV3" s="42"/>
      <c r="AW3" s="42"/>
      <c r="AX3" s="42"/>
      <c r="AY3" s="42"/>
      <c r="AZ3" s="42"/>
      <c r="BB3" s="42"/>
      <c r="BC3" s="42"/>
      <c r="BD3" s="42"/>
      <c r="BE3" s="42"/>
      <c r="BF3" s="42"/>
    </row>
    <row r="4" spans="2:58" x14ac:dyDescent="0.25">
      <c r="B4">
        <v>2</v>
      </c>
      <c r="D4" s="34">
        <v>1</v>
      </c>
      <c r="E4" s="83" t="s">
        <v>630</v>
      </c>
      <c r="F4" s="28" t="s">
        <v>1221</v>
      </c>
      <c r="G4" s="28" t="s">
        <v>400</v>
      </c>
      <c r="H4" s="28" t="s">
        <v>1274</v>
      </c>
      <c r="I4" s="28" t="s">
        <v>1274</v>
      </c>
      <c r="J4" s="30" t="s">
        <v>1297</v>
      </c>
      <c r="K4" s="29" t="s">
        <v>631</v>
      </c>
      <c r="L4" s="28" t="s">
        <v>1221</v>
      </c>
      <c r="M4" s="28" t="s">
        <v>1334</v>
      </c>
      <c r="N4" s="28" t="s">
        <v>1274</v>
      </c>
      <c r="O4" s="28" t="s">
        <v>1274</v>
      </c>
      <c r="P4" s="30" t="s">
        <v>1274</v>
      </c>
      <c r="Q4" s="29" t="s">
        <v>632</v>
      </c>
      <c r="R4" s="28" t="s">
        <v>1221</v>
      </c>
      <c r="S4" s="28" t="s">
        <v>1330</v>
      </c>
      <c r="T4" s="28" t="s">
        <v>1274</v>
      </c>
      <c r="U4" s="28" t="s">
        <v>1274</v>
      </c>
      <c r="V4" s="36" t="s">
        <v>1274</v>
      </c>
      <c r="W4" s="29" t="s">
        <v>760</v>
      </c>
      <c r="X4" s="28" t="s">
        <v>1321</v>
      </c>
      <c r="Y4" s="28" t="s">
        <v>1298</v>
      </c>
      <c r="Z4" s="28" t="s">
        <v>1274</v>
      </c>
      <c r="AA4" s="28" t="s">
        <v>1274</v>
      </c>
      <c r="AB4" s="30" t="s">
        <v>1274</v>
      </c>
      <c r="AC4" s="29" t="s">
        <v>796</v>
      </c>
      <c r="AD4" s="28" t="s">
        <v>1321</v>
      </c>
      <c r="AE4" s="28" t="s">
        <v>1300</v>
      </c>
      <c r="AF4" s="28" t="s">
        <v>1274</v>
      </c>
      <c r="AG4" s="28" t="s">
        <v>1274</v>
      </c>
      <c r="AH4" s="36" t="s">
        <v>1274</v>
      </c>
      <c r="AI4" s="29" t="s">
        <v>797</v>
      </c>
      <c r="AJ4" s="28" t="s">
        <v>1312</v>
      </c>
      <c r="AK4" s="28" t="s">
        <v>1300</v>
      </c>
      <c r="AL4" s="28" t="s">
        <v>1274</v>
      </c>
      <c r="AM4" s="28" t="s">
        <v>1274</v>
      </c>
      <c r="AN4" s="30" t="s">
        <v>1297</v>
      </c>
      <c r="AO4" s="29" t="s">
        <v>798</v>
      </c>
      <c r="AP4" s="28" t="s">
        <v>1221</v>
      </c>
      <c r="AQ4" s="28" t="s">
        <v>400</v>
      </c>
      <c r="AR4" s="28" t="s">
        <v>1274</v>
      </c>
      <c r="AS4" s="28" t="s">
        <v>1274</v>
      </c>
      <c r="AT4" s="30" t="s">
        <v>1274</v>
      </c>
    </row>
    <row r="5" spans="2:58" x14ac:dyDescent="0.25">
      <c r="D5" s="34">
        <v>2</v>
      </c>
      <c r="E5" s="83" t="s">
        <v>633</v>
      </c>
      <c r="F5" s="28" t="s">
        <v>1318</v>
      </c>
      <c r="G5" s="28" t="s">
        <v>1275</v>
      </c>
      <c r="H5" s="28" t="s">
        <v>1274</v>
      </c>
      <c r="I5" s="28" t="s">
        <v>1274</v>
      </c>
      <c r="J5" s="30" t="s">
        <v>1274</v>
      </c>
      <c r="K5" s="29" t="s">
        <v>634</v>
      </c>
      <c r="L5" s="28">
        <v>0</v>
      </c>
      <c r="M5" s="28" t="s">
        <v>400</v>
      </c>
      <c r="N5" s="28" t="s">
        <v>1274</v>
      </c>
      <c r="O5" s="28" t="s">
        <v>1274</v>
      </c>
      <c r="P5" s="30" t="s">
        <v>1274</v>
      </c>
      <c r="Q5" s="29" t="s">
        <v>761</v>
      </c>
      <c r="R5" s="28" t="s">
        <v>1310</v>
      </c>
      <c r="S5" s="28" t="s">
        <v>1275</v>
      </c>
      <c r="T5" s="28" t="s">
        <v>1274</v>
      </c>
      <c r="U5" s="28" t="s">
        <v>1274</v>
      </c>
      <c r="V5" s="36" t="s">
        <v>1297</v>
      </c>
      <c r="W5" s="29" t="s">
        <v>636</v>
      </c>
      <c r="X5" s="28" t="s">
        <v>1318</v>
      </c>
      <c r="Y5" s="28" t="s">
        <v>1275</v>
      </c>
      <c r="Z5" s="28" t="s">
        <v>1274</v>
      </c>
      <c r="AA5" s="28" t="s">
        <v>1274</v>
      </c>
      <c r="AB5" s="30" t="s">
        <v>1274</v>
      </c>
      <c r="AC5" s="29" t="s">
        <v>799</v>
      </c>
      <c r="AD5" s="28" t="s">
        <v>1221</v>
      </c>
      <c r="AE5" s="28" t="s">
        <v>400</v>
      </c>
      <c r="AF5" s="28" t="s">
        <v>1274</v>
      </c>
      <c r="AG5" s="28" t="s">
        <v>1274</v>
      </c>
      <c r="AH5" s="36" t="s">
        <v>1274</v>
      </c>
      <c r="AI5" s="29" t="s">
        <v>800</v>
      </c>
      <c r="AJ5" s="28" t="s">
        <v>1312</v>
      </c>
      <c r="AK5" s="28" t="s">
        <v>1291</v>
      </c>
      <c r="AL5" s="28" t="s">
        <v>1274</v>
      </c>
      <c r="AM5" s="28" t="s">
        <v>1274</v>
      </c>
      <c r="AN5" s="30" t="s">
        <v>1297</v>
      </c>
      <c r="AO5" s="29" t="s">
        <v>739</v>
      </c>
      <c r="AP5" s="28">
        <v>0</v>
      </c>
      <c r="AQ5" s="28" t="s">
        <v>1349</v>
      </c>
      <c r="AR5" s="28" t="s">
        <v>1274</v>
      </c>
      <c r="AS5" s="28" t="s">
        <v>1274</v>
      </c>
      <c r="AT5" s="30" t="s">
        <v>1274</v>
      </c>
    </row>
    <row r="6" spans="2:58" x14ac:dyDescent="0.25">
      <c r="D6" s="34">
        <v>3</v>
      </c>
      <c r="E6" s="83" t="s">
        <v>637</v>
      </c>
      <c r="F6" s="28" t="s">
        <v>1313</v>
      </c>
      <c r="G6" s="28" t="s">
        <v>1319</v>
      </c>
      <c r="H6" s="28" t="s">
        <v>1274</v>
      </c>
      <c r="I6" s="28" t="s">
        <v>1274</v>
      </c>
      <c r="J6" s="30" t="s">
        <v>1274</v>
      </c>
      <c r="K6" s="29" t="s">
        <v>638</v>
      </c>
      <c r="L6" s="28">
        <v>0</v>
      </c>
      <c r="M6" s="28" t="s">
        <v>400</v>
      </c>
      <c r="N6" s="28" t="s">
        <v>1274</v>
      </c>
      <c r="O6" s="28" t="s">
        <v>1274</v>
      </c>
      <c r="P6" s="30" t="s">
        <v>1297</v>
      </c>
      <c r="Q6" s="29" t="s">
        <v>639</v>
      </c>
      <c r="R6" s="28" t="s">
        <v>1221</v>
      </c>
      <c r="S6" s="28" t="s">
        <v>1275</v>
      </c>
      <c r="T6" s="28" t="s">
        <v>1274</v>
      </c>
      <c r="U6" s="28" t="s">
        <v>1274</v>
      </c>
      <c r="V6" s="36" t="s">
        <v>1297</v>
      </c>
      <c r="W6" s="29" t="s">
        <v>726</v>
      </c>
      <c r="X6" s="28" t="s">
        <v>1312</v>
      </c>
      <c r="Y6" s="28" t="s">
        <v>1286</v>
      </c>
      <c r="Z6" s="28" t="s">
        <v>1274</v>
      </c>
      <c r="AA6" s="28" t="s">
        <v>1274</v>
      </c>
      <c r="AB6" s="30" t="s">
        <v>1274</v>
      </c>
      <c r="AC6" s="29" t="s">
        <v>801</v>
      </c>
      <c r="AD6" s="28" t="s">
        <v>1221</v>
      </c>
      <c r="AE6" s="28" t="s">
        <v>1275</v>
      </c>
      <c r="AF6" s="28" t="s">
        <v>1274</v>
      </c>
      <c r="AG6" s="28" t="s">
        <v>1274</v>
      </c>
      <c r="AH6" s="36" t="s">
        <v>1274</v>
      </c>
      <c r="AI6" s="29" t="s">
        <v>802</v>
      </c>
      <c r="AJ6" s="28" t="s">
        <v>1318</v>
      </c>
      <c r="AK6" s="28" t="s">
        <v>1348</v>
      </c>
      <c r="AL6" s="28" t="s">
        <v>1274</v>
      </c>
      <c r="AM6" s="28" t="s">
        <v>1274</v>
      </c>
      <c r="AN6" s="30" t="s">
        <v>1274</v>
      </c>
      <c r="AO6" s="29" t="s">
        <v>803</v>
      </c>
      <c r="AP6" s="28" t="s">
        <v>1318</v>
      </c>
      <c r="AQ6" s="28" t="s">
        <v>400</v>
      </c>
      <c r="AR6" s="28" t="s">
        <v>1274</v>
      </c>
      <c r="AS6" s="28" t="s">
        <v>1274</v>
      </c>
      <c r="AT6" s="30" t="s">
        <v>1274</v>
      </c>
    </row>
    <row r="7" spans="2:58" x14ac:dyDescent="0.25">
      <c r="D7" s="34">
        <v>4</v>
      </c>
      <c r="E7" s="29" t="s">
        <v>640</v>
      </c>
      <c r="F7" s="28" t="s">
        <v>1221</v>
      </c>
      <c r="G7" s="28" t="s">
        <v>1275</v>
      </c>
      <c r="H7" s="28" t="s">
        <v>1274</v>
      </c>
      <c r="I7" s="28" t="s">
        <v>1274</v>
      </c>
      <c r="J7" s="30" t="s">
        <v>1274</v>
      </c>
      <c r="K7" s="29" t="s">
        <v>641</v>
      </c>
      <c r="L7" s="28" t="s">
        <v>1312</v>
      </c>
      <c r="M7" s="28" t="s">
        <v>400</v>
      </c>
      <c r="N7" s="28" t="s">
        <v>1274</v>
      </c>
      <c r="O7" s="28" t="s">
        <v>1274</v>
      </c>
      <c r="P7" s="30" t="s">
        <v>1297</v>
      </c>
      <c r="Q7" s="29" t="s">
        <v>673</v>
      </c>
      <c r="R7" s="28" t="s">
        <v>1313</v>
      </c>
      <c r="S7" s="28" t="s">
        <v>1275</v>
      </c>
      <c r="T7" s="28" t="s">
        <v>1274</v>
      </c>
      <c r="U7" s="28" t="s">
        <v>1274</v>
      </c>
      <c r="V7" s="36" t="s">
        <v>1297</v>
      </c>
      <c r="W7" s="29" t="s">
        <v>642</v>
      </c>
      <c r="X7" s="28" t="s">
        <v>1221</v>
      </c>
      <c r="Y7" s="28" t="s">
        <v>1275</v>
      </c>
      <c r="Z7" s="28" t="s">
        <v>1274</v>
      </c>
      <c r="AA7" s="28" t="s">
        <v>1274</v>
      </c>
      <c r="AB7" s="30" t="s">
        <v>1274</v>
      </c>
      <c r="AC7" s="29" t="s">
        <v>804</v>
      </c>
      <c r="AD7" s="28">
        <v>0</v>
      </c>
      <c r="AE7" s="28" t="s">
        <v>400</v>
      </c>
      <c r="AF7" s="28" t="s">
        <v>1274</v>
      </c>
      <c r="AG7" s="28" t="s">
        <v>1274</v>
      </c>
      <c r="AH7" s="36" t="s">
        <v>1274</v>
      </c>
      <c r="AI7" s="29" t="s">
        <v>643</v>
      </c>
      <c r="AJ7" s="28" t="s">
        <v>1221</v>
      </c>
      <c r="AK7" s="28" t="s">
        <v>1275</v>
      </c>
      <c r="AL7" s="28" t="s">
        <v>1274</v>
      </c>
      <c r="AM7" s="28" t="s">
        <v>1274</v>
      </c>
      <c r="AN7" s="30" t="s">
        <v>1297</v>
      </c>
      <c r="AO7" s="29" t="s">
        <v>805</v>
      </c>
      <c r="AP7" s="28" t="s">
        <v>1221</v>
      </c>
      <c r="AQ7" s="28" t="s">
        <v>1350</v>
      </c>
      <c r="AR7" s="28" t="s">
        <v>1274</v>
      </c>
      <c r="AS7" s="28" t="s">
        <v>1274</v>
      </c>
      <c r="AT7" s="30" t="s">
        <v>1274</v>
      </c>
    </row>
    <row r="8" spans="2:58" x14ac:dyDescent="0.25">
      <c r="D8" s="34">
        <v>5</v>
      </c>
      <c r="E8" s="29" t="s">
        <v>676</v>
      </c>
      <c r="F8" s="28" t="s">
        <v>1312</v>
      </c>
      <c r="G8" s="28" t="s">
        <v>1320</v>
      </c>
      <c r="H8" s="28" t="s">
        <v>1274</v>
      </c>
      <c r="I8" s="28" t="s">
        <v>1274</v>
      </c>
      <c r="J8" s="30" t="s">
        <v>1274</v>
      </c>
      <c r="K8" s="29" t="s">
        <v>762</v>
      </c>
      <c r="L8" s="28" t="s">
        <v>1332</v>
      </c>
      <c r="M8" s="28" t="s">
        <v>1335</v>
      </c>
      <c r="N8" s="28" t="s">
        <v>1274</v>
      </c>
      <c r="O8" s="28" t="s">
        <v>1274</v>
      </c>
      <c r="P8" s="30" t="s">
        <v>1274</v>
      </c>
      <c r="Q8" s="29" t="s">
        <v>763</v>
      </c>
      <c r="R8" s="28" t="s">
        <v>1221</v>
      </c>
      <c r="S8" s="28" t="s">
        <v>1340</v>
      </c>
      <c r="T8" s="28" t="s">
        <v>1274</v>
      </c>
      <c r="U8" s="28" t="s">
        <v>1274</v>
      </c>
      <c r="V8" s="36" t="s">
        <v>1274</v>
      </c>
      <c r="W8" s="29" t="s">
        <v>674</v>
      </c>
      <c r="X8" s="28" t="s">
        <v>1313</v>
      </c>
      <c r="Y8" s="28" t="s">
        <v>1345</v>
      </c>
      <c r="Z8" s="28" t="s">
        <v>1274</v>
      </c>
      <c r="AA8" s="28" t="s">
        <v>1274</v>
      </c>
      <c r="AB8" s="30" t="s">
        <v>1274</v>
      </c>
      <c r="AC8" s="29" t="s">
        <v>806</v>
      </c>
      <c r="AD8" s="28" t="s">
        <v>1221</v>
      </c>
      <c r="AE8" s="28" t="s">
        <v>1300</v>
      </c>
      <c r="AF8" s="28" t="s">
        <v>1274</v>
      </c>
      <c r="AG8" s="28" t="s">
        <v>1274</v>
      </c>
      <c r="AH8" s="36" t="s">
        <v>1274</v>
      </c>
      <c r="AI8" s="29" t="s">
        <v>807</v>
      </c>
      <c r="AJ8" s="28" t="s">
        <v>1312</v>
      </c>
      <c r="AK8" s="28" t="s">
        <v>1275</v>
      </c>
      <c r="AL8" s="28" t="s">
        <v>1274</v>
      </c>
      <c r="AM8" s="28" t="s">
        <v>1274</v>
      </c>
      <c r="AN8" s="30" t="s">
        <v>1274</v>
      </c>
      <c r="AO8" s="29" t="s">
        <v>808</v>
      </c>
      <c r="AP8" s="28">
        <v>0</v>
      </c>
      <c r="AQ8" s="28" t="s">
        <v>400</v>
      </c>
      <c r="AR8" s="28" t="s">
        <v>1274</v>
      </c>
      <c r="AS8" s="30" t="s">
        <v>1297</v>
      </c>
      <c r="AT8" s="30" t="s">
        <v>1297</v>
      </c>
    </row>
    <row r="9" spans="2:58" x14ac:dyDescent="0.25">
      <c r="D9" s="34">
        <v>6</v>
      </c>
      <c r="E9" s="29" t="s">
        <v>764</v>
      </c>
      <c r="F9" s="28" t="s">
        <v>1321</v>
      </c>
      <c r="G9" s="28" t="s">
        <v>1288</v>
      </c>
      <c r="H9" s="28" t="s">
        <v>1274</v>
      </c>
      <c r="I9" s="28" t="s">
        <v>1274</v>
      </c>
      <c r="J9" s="30" t="s">
        <v>1297</v>
      </c>
      <c r="K9" s="29" t="s">
        <v>765</v>
      </c>
      <c r="L9" s="28" t="s">
        <v>1312</v>
      </c>
      <c r="M9" s="28" t="s">
        <v>1320</v>
      </c>
      <c r="N9" s="28" t="s">
        <v>1274</v>
      </c>
      <c r="O9" s="28" t="s">
        <v>1297</v>
      </c>
      <c r="P9" s="30" t="s">
        <v>1297</v>
      </c>
      <c r="Q9" s="29" t="s">
        <v>766</v>
      </c>
      <c r="R9" s="28" t="s">
        <v>1221</v>
      </c>
      <c r="S9" s="28" t="s">
        <v>1275</v>
      </c>
      <c r="T9" s="28" t="s">
        <v>1274</v>
      </c>
      <c r="U9" s="28" t="s">
        <v>1274</v>
      </c>
      <c r="V9" s="36" t="s">
        <v>1274</v>
      </c>
      <c r="W9" s="29" t="s">
        <v>767</v>
      </c>
      <c r="X9" s="28" t="s">
        <v>1312</v>
      </c>
      <c r="Y9" s="28" t="s">
        <v>1300</v>
      </c>
      <c r="Z9" s="28" t="s">
        <v>1274</v>
      </c>
      <c r="AA9" s="28" t="s">
        <v>1274</v>
      </c>
      <c r="AB9" s="30" t="s">
        <v>1274</v>
      </c>
      <c r="AC9" s="29" t="s">
        <v>809</v>
      </c>
      <c r="AD9" s="28" t="s">
        <v>1221</v>
      </c>
      <c r="AE9" s="28" t="s">
        <v>1275</v>
      </c>
      <c r="AF9" s="28" t="s">
        <v>1274</v>
      </c>
      <c r="AG9" s="28" t="s">
        <v>1274</v>
      </c>
      <c r="AH9" s="36" t="s">
        <v>1274</v>
      </c>
      <c r="AI9" s="29" t="s">
        <v>810</v>
      </c>
      <c r="AJ9" s="28" t="s">
        <v>1312</v>
      </c>
      <c r="AK9" s="28" t="s">
        <v>1286</v>
      </c>
      <c r="AL9" s="28" t="s">
        <v>1274</v>
      </c>
      <c r="AM9" s="28" t="s">
        <v>1274</v>
      </c>
      <c r="AN9" s="30" t="s">
        <v>1274</v>
      </c>
      <c r="AO9" s="29" t="s">
        <v>811</v>
      </c>
      <c r="AP9" s="28" t="s">
        <v>1221</v>
      </c>
      <c r="AQ9" s="28" t="s">
        <v>1275</v>
      </c>
      <c r="AR9" s="28" t="s">
        <v>1274</v>
      </c>
      <c r="AS9" s="28" t="s">
        <v>1274</v>
      </c>
      <c r="AT9" s="30" t="s">
        <v>1274</v>
      </c>
    </row>
    <row r="10" spans="2:58" x14ac:dyDescent="0.25">
      <c r="D10" s="34">
        <v>7</v>
      </c>
      <c r="E10" s="29" t="s">
        <v>768</v>
      </c>
      <c r="F10" s="28" t="s">
        <v>1321</v>
      </c>
      <c r="G10" s="28" t="s">
        <v>1367</v>
      </c>
      <c r="H10" s="28" t="s">
        <v>1274</v>
      </c>
      <c r="I10" s="28" t="s">
        <v>1274</v>
      </c>
      <c r="J10" s="30" t="s">
        <v>1274</v>
      </c>
      <c r="K10" s="29" t="s">
        <v>769</v>
      </c>
      <c r="L10" s="28" t="s">
        <v>1312</v>
      </c>
      <c r="M10" s="28" t="s">
        <v>1336</v>
      </c>
      <c r="N10" s="28" t="s">
        <v>1274</v>
      </c>
      <c r="O10" s="28" t="s">
        <v>1274</v>
      </c>
      <c r="P10" s="30" t="s">
        <v>1297</v>
      </c>
      <c r="Q10" s="29" t="s">
        <v>770</v>
      </c>
      <c r="R10" s="28" t="s">
        <v>1221</v>
      </c>
      <c r="S10" s="28" t="s">
        <v>1275</v>
      </c>
      <c r="T10" s="28" t="s">
        <v>1274</v>
      </c>
      <c r="U10" s="28" t="s">
        <v>1274</v>
      </c>
      <c r="V10" s="36" t="s">
        <v>1297</v>
      </c>
      <c r="W10" s="29" t="s">
        <v>645</v>
      </c>
      <c r="X10" s="28">
        <v>0</v>
      </c>
      <c r="Y10" s="28" t="s">
        <v>400</v>
      </c>
      <c r="Z10" s="28" t="s">
        <v>1274</v>
      </c>
      <c r="AA10" s="28" t="s">
        <v>1274</v>
      </c>
      <c r="AB10" s="30" t="s">
        <v>1274</v>
      </c>
      <c r="AC10" s="29" t="s">
        <v>740</v>
      </c>
      <c r="AD10" s="28" t="s">
        <v>1339</v>
      </c>
      <c r="AE10" s="28" t="s">
        <v>1298</v>
      </c>
      <c r="AF10" s="28" t="s">
        <v>1274</v>
      </c>
      <c r="AG10" s="28" t="s">
        <v>1274</v>
      </c>
      <c r="AH10" s="36" t="s">
        <v>1274</v>
      </c>
      <c r="AI10" s="29" t="s">
        <v>812</v>
      </c>
      <c r="AJ10" s="28" t="s">
        <v>1312</v>
      </c>
      <c r="AK10" s="28" t="s">
        <v>1300</v>
      </c>
      <c r="AL10" s="28" t="s">
        <v>1274</v>
      </c>
      <c r="AM10" s="28" t="s">
        <v>1274</v>
      </c>
      <c r="AN10" s="30" t="s">
        <v>1297</v>
      </c>
      <c r="AO10" s="29" t="s">
        <v>813</v>
      </c>
      <c r="AP10" s="28" t="s">
        <v>1221</v>
      </c>
      <c r="AQ10" s="28" t="s">
        <v>1275</v>
      </c>
      <c r="AR10" s="28" t="s">
        <v>1274</v>
      </c>
      <c r="AS10" s="28" t="s">
        <v>1274</v>
      </c>
      <c r="AT10" s="30" t="s">
        <v>1297</v>
      </c>
    </row>
    <row r="11" spans="2:58" x14ac:dyDescent="0.25">
      <c r="D11" s="34">
        <v>8</v>
      </c>
      <c r="E11" s="29" t="s">
        <v>771</v>
      </c>
      <c r="F11" s="28" t="s">
        <v>1221</v>
      </c>
      <c r="G11" s="28" t="s">
        <v>1322</v>
      </c>
      <c r="H11" s="28" t="s">
        <v>1274</v>
      </c>
      <c r="I11" s="28" t="s">
        <v>1274</v>
      </c>
      <c r="J11" s="30" t="s">
        <v>1297</v>
      </c>
      <c r="K11" s="29" t="s">
        <v>772</v>
      </c>
      <c r="L11" s="28" t="s">
        <v>1312</v>
      </c>
      <c r="M11" s="28" t="s">
        <v>1300</v>
      </c>
      <c r="N11" s="28" t="s">
        <v>1274</v>
      </c>
      <c r="O11" s="28" t="s">
        <v>1274</v>
      </c>
      <c r="P11" s="30" t="s">
        <v>1297</v>
      </c>
      <c r="Q11" s="29" t="s">
        <v>682</v>
      </c>
      <c r="R11" s="28" t="s">
        <v>1221</v>
      </c>
      <c r="S11" s="28" t="s">
        <v>1275</v>
      </c>
      <c r="T11" s="28" t="s">
        <v>1274</v>
      </c>
      <c r="U11" s="28" t="s">
        <v>1274</v>
      </c>
      <c r="V11" s="36" t="s">
        <v>1297</v>
      </c>
      <c r="W11" s="29" t="s">
        <v>647</v>
      </c>
      <c r="X11" s="28" t="s">
        <v>1318</v>
      </c>
      <c r="Y11" s="28" t="s">
        <v>1275</v>
      </c>
      <c r="Z11" s="28" t="s">
        <v>1274</v>
      </c>
      <c r="AA11" s="28" t="s">
        <v>1274</v>
      </c>
      <c r="AB11" s="30" t="s">
        <v>1274</v>
      </c>
      <c r="AC11" s="29" t="s">
        <v>814</v>
      </c>
      <c r="AD11" s="28" t="s">
        <v>1318</v>
      </c>
      <c r="AE11" s="28" t="s">
        <v>400</v>
      </c>
      <c r="AF11" s="28" t="s">
        <v>1274</v>
      </c>
      <c r="AG11" s="28" t="s">
        <v>1274</v>
      </c>
      <c r="AH11" s="36" t="s">
        <v>1274</v>
      </c>
      <c r="AI11" s="29" t="s">
        <v>815</v>
      </c>
      <c r="AJ11" s="28" t="s">
        <v>1221</v>
      </c>
      <c r="AK11" s="28" t="s">
        <v>1320</v>
      </c>
      <c r="AL11" s="28" t="s">
        <v>1274</v>
      </c>
      <c r="AM11" s="28" t="s">
        <v>1274</v>
      </c>
      <c r="AN11" s="30" t="s">
        <v>1274</v>
      </c>
      <c r="AO11" s="29" t="s">
        <v>816</v>
      </c>
      <c r="AP11" s="28" t="s">
        <v>1221</v>
      </c>
      <c r="AQ11" s="28" t="s">
        <v>1275</v>
      </c>
      <c r="AR11" s="28" t="s">
        <v>1274</v>
      </c>
      <c r="AS11" s="28" t="s">
        <v>1274</v>
      </c>
      <c r="AT11" s="30" t="s">
        <v>1274</v>
      </c>
    </row>
    <row r="12" spans="2:58" x14ac:dyDescent="0.25">
      <c r="D12" s="34">
        <v>9</v>
      </c>
      <c r="E12" s="29" t="s">
        <v>648</v>
      </c>
      <c r="F12" s="28" t="s">
        <v>1318</v>
      </c>
      <c r="G12" s="28" t="s">
        <v>1288</v>
      </c>
      <c r="H12" s="28" t="s">
        <v>1274</v>
      </c>
      <c r="I12" s="28" t="s">
        <v>1297</v>
      </c>
      <c r="J12" s="30" t="s">
        <v>1297</v>
      </c>
      <c r="K12" s="29" t="s">
        <v>773</v>
      </c>
      <c r="L12" s="28" t="s">
        <v>1312</v>
      </c>
      <c r="M12" s="28" t="s">
        <v>400</v>
      </c>
      <c r="N12" s="28" t="s">
        <v>1274</v>
      </c>
      <c r="O12" s="28" t="s">
        <v>1274</v>
      </c>
      <c r="P12" s="30" t="s">
        <v>1297</v>
      </c>
      <c r="Q12" s="29" t="s">
        <v>774</v>
      </c>
      <c r="R12" s="28" t="s">
        <v>1308</v>
      </c>
      <c r="S12" s="28" t="s">
        <v>1300</v>
      </c>
      <c r="T12" s="28" t="s">
        <v>1274</v>
      </c>
      <c r="U12" s="28" t="s">
        <v>1274</v>
      </c>
      <c r="V12" s="36" t="s">
        <v>1274</v>
      </c>
      <c r="W12" s="29" t="s">
        <v>775</v>
      </c>
      <c r="X12" s="28" t="s">
        <v>1221</v>
      </c>
      <c r="Y12" s="28" t="s">
        <v>1298</v>
      </c>
      <c r="Z12" s="28" t="s">
        <v>1274</v>
      </c>
      <c r="AA12" s="28" t="s">
        <v>1274</v>
      </c>
      <c r="AB12" s="30" t="s">
        <v>1274</v>
      </c>
      <c r="AC12" s="29" t="s">
        <v>817</v>
      </c>
      <c r="AD12" s="28" t="s">
        <v>1221</v>
      </c>
      <c r="AE12" s="28" t="s">
        <v>1295</v>
      </c>
      <c r="AF12" s="28" t="s">
        <v>1274</v>
      </c>
      <c r="AG12" s="28" t="s">
        <v>1274</v>
      </c>
      <c r="AH12" s="36" t="s">
        <v>1274</v>
      </c>
      <c r="AI12" s="29" t="s">
        <v>818</v>
      </c>
      <c r="AJ12" s="28" t="s">
        <v>1221</v>
      </c>
      <c r="AK12" s="28" t="s">
        <v>1298</v>
      </c>
      <c r="AL12" s="28" t="s">
        <v>1274</v>
      </c>
      <c r="AM12" s="28" t="s">
        <v>1274</v>
      </c>
      <c r="AN12" s="30" t="s">
        <v>1274</v>
      </c>
      <c r="AO12" s="29" t="s">
        <v>819</v>
      </c>
      <c r="AP12" s="28" t="s">
        <v>1312</v>
      </c>
      <c r="AQ12" s="28" t="s">
        <v>400</v>
      </c>
      <c r="AR12" s="28" t="s">
        <v>1274</v>
      </c>
      <c r="AS12" s="28" t="s">
        <v>1274</v>
      </c>
      <c r="AT12" s="30" t="s">
        <v>1297</v>
      </c>
    </row>
    <row r="13" spans="2:58" x14ac:dyDescent="0.25">
      <c r="D13" s="34">
        <v>10</v>
      </c>
      <c r="E13" s="29" t="s">
        <v>776</v>
      </c>
      <c r="F13" s="28" t="s">
        <v>1221</v>
      </c>
      <c r="G13" s="28" t="s">
        <v>1319</v>
      </c>
      <c r="H13" s="28" t="s">
        <v>1274</v>
      </c>
      <c r="I13" s="28" t="s">
        <v>1274</v>
      </c>
      <c r="J13" s="30" t="s">
        <v>1274</v>
      </c>
      <c r="K13" s="29" t="s">
        <v>696</v>
      </c>
      <c r="L13" s="28">
        <v>0</v>
      </c>
      <c r="M13" s="28" t="s">
        <v>1286</v>
      </c>
      <c r="N13" s="28" t="s">
        <v>1274</v>
      </c>
      <c r="O13" s="28" t="s">
        <v>1274</v>
      </c>
      <c r="P13" s="30" t="s">
        <v>1297</v>
      </c>
      <c r="Q13" s="29" t="s">
        <v>777</v>
      </c>
      <c r="R13" s="28" t="s">
        <v>1321</v>
      </c>
      <c r="S13" s="28" t="s">
        <v>1275</v>
      </c>
      <c r="T13" s="28" t="s">
        <v>1274</v>
      </c>
      <c r="U13" s="28" t="s">
        <v>1274</v>
      </c>
      <c r="V13" s="36" t="s">
        <v>1297</v>
      </c>
      <c r="W13" s="29" t="s">
        <v>778</v>
      </c>
      <c r="X13" s="28" t="s">
        <v>1323</v>
      </c>
      <c r="Y13" s="28" t="s">
        <v>1286</v>
      </c>
      <c r="Z13" s="28" t="s">
        <v>1274</v>
      </c>
      <c r="AA13" s="28" t="s">
        <v>1274</v>
      </c>
      <c r="AB13" s="30" t="s">
        <v>1274</v>
      </c>
      <c r="AC13" s="29" t="s">
        <v>820</v>
      </c>
      <c r="AD13" s="28" t="s">
        <v>1318</v>
      </c>
      <c r="AE13" s="28" t="s">
        <v>1275</v>
      </c>
      <c r="AF13" s="28" t="s">
        <v>1274</v>
      </c>
      <c r="AG13" s="28" t="s">
        <v>1274</v>
      </c>
      <c r="AH13" s="36" t="s">
        <v>1274</v>
      </c>
      <c r="AI13" s="29" t="s">
        <v>821</v>
      </c>
      <c r="AJ13" s="28">
        <v>0</v>
      </c>
      <c r="AK13" s="28" t="s">
        <v>400</v>
      </c>
      <c r="AL13" s="28" t="s">
        <v>1274</v>
      </c>
      <c r="AM13" s="30" t="s">
        <v>1297</v>
      </c>
      <c r="AN13" s="30" t="s">
        <v>1297</v>
      </c>
      <c r="AO13" s="29" t="s">
        <v>822</v>
      </c>
      <c r="AP13" s="28" t="s">
        <v>1221</v>
      </c>
      <c r="AQ13" s="28" t="s">
        <v>400</v>
      </c>
      <c r="AR13" s="28" t="s">
        <v>1274</v>
      </c>
      <c r="AS13" s="28" t="s">
        <v>1274</v>
      </c>
      <c r="AT13" s="30" t="s">
        <v>1297</v>
      </c>
    </row>
    <row r="14" spans="2:58" x14ac:dyDescent="0.25">
      <c r="D14" s="34">
        <v>11</v>
      </c>
      <c r="E14" s="29" t="s">
        <v>650</v>
      </c>
      <c r="F14" s="28" t="s">
        <v>1321</v>
      </c>
      <c r="G14" s="28" t="s">
        <v>1295</v>
      </c>
      <c r="H14" s="28" t="s">
        <v>1274</v>
      </c>
      <c r="I14" s="28" t="s">
        <v>1274</v>
      </c>
      <c r="J14" s="30" t="s">
        <v>1297</v>
      </c>
      <c r="K14" s="29" t="s">
        <v>779</v>
      </c>
      <c r="L14" s="28" t="s">
        <v>1312</v>
      </c>
      <c r="M14" s="28" t="s">
        <v>1300</v>
      </c>
      <c r="N14" s="28" t="s">
        <v>1274</v>
      </c>
      <c r="O14" s="28" t="s">
        <v>1274</v>
      </c>
      <c r="P14" s="30" t="s">
        <v>1274</v>
      </c>
      <c r="Q14" s="29" t="s">
        <v>651</v>
      </c>
      <c r="R14" s="28" t="s">
        <v>1318</v>
      </c>
      <c r="S14" s="28" t="s">
        <v>1275</v>
      </c>
      <c r="T14" s="28" t="s">
        <v>1274</v>
      </c>
      <c r="U14" s="28" t="s">
        <v>1274</v>
      </c>
      <c r="V14" s="36" t="s">
        <v>1297</v>
      </c>
      <c r="W14" s="29" t="s">
        <v>691</v>
      </c>
      <c r="X14" s="28">
        <v>0</v>
      </c>
      <c r="Y14" s="28" t="s">
        <v>1300</v>
      </c>
      <c r="Z14" s="28" t="s">
        <v>1274</v>
      </c>
      <c r="AA14" s="28" t="s">
        <v>1274</v>
      </c>
      <c r="AB14" s="30" t="s">
        <v>1274</v>
      </c>
      <c r="AC14" s="29" t="s">
        <v>752</v>
      </c>
      <c r="AD14" s="28" t="s">
        <v>1312</v>
      </c>
      <c r="AE14" s="28" t="s">
        <v>1346</v>
      </c>
      <c r="AF14" s="28" t="s">
        <v>1274</v>
      </c>
      <c r="AG14" s="28" t="s">
        <v>1274</v>
      </c>
      <c r="AH14" s="36" t="s">
        <v>1274</v>
      </c>
      <c r="AI14" s="29" t="s">
        <v>823</v>
      </c>
      <c r="AJ14" s="28" t="s">
        <v>1333</v>
      </c>
      <c r="AK14" s="28" t="s">
        <v>1298</v>
      </c>
      <c r="AL14" s="28" t="s">
        <v>1274</v>
      </c>
      <c r="AM14" s="28" t="s">
        <v>1274</v>
      </c>
      <c r="AN14" s="30" t="s">
        <v>1274</v>
      </c>
      <c r="AO14" s="29" t="s">
        <v>662</v>
      </c>
      <c r="AP14" s="28" t="s">
        <v>1221</v>
      </c>
      <c r="AQ14" s="28" t="s">
        <v>1298</v>
      </c>
      <c r="AR14" s="28" t="s">
        <v>1274</v>
      </c>
      <c r="AS14" s="28" t="s">
        <v>1274</v>
      </c>
      <c r="AT14" s="30" t="s">
        <v>1274</v>
      </c>
    </row>
    <row r="15" spans="2:58" ht="15.75" thickBot="1" x14ac:dyDescent="0.3">
      <c r="D15" s="34">
        <v>12</v>
      </c>
      <c r="E15" s="29" t="s">
        <v>780</v>
      </c>
      <c r="F15" s="28" t="s">
        <v>1323</v>
      </c>
      <c r="G15" s="28" t="s">
        <v>1324</v>
      </c>
      <c r="H15" s="28" t="s">
        <v>1274</v>
      </c>
      <c r="I15" s="28" t="s">
        <v>1274</v>
      </c>
      <c r="J15" s="30" t="s">
        <v>1297</v>
      </c>
      <c r="K15" s="29" t="s">
        <v>652</v>
      </c>
      <c r="L15" s="28">
        <v>0</v>
      </c>
      <c r="M15" s="28" t="s">
        <v>400</v>
      </c>
      <c r="N15" s="28" t="s">
        <v>1274</v>
      </c>
      <c r="O15" s="28" t="s">
        <v>1274</v>
      </c>
      <c r="P15" s="30" t="s">
        <v>1274</v>
      </c>
      <c r="Q15" s="29" t="s">
        <v>781</v>
      </c>
      <c r="R15" s="28" t="s">
        <v>1221</v>
      </c>
      <c r="S15" s="28" t="s">
        <v>1341</v>
      </c>
      <c r="T15" s="28" t="s">
        <v>1274</v>
      </c>
      <c r="U15" s="28" t="s">
        <v>1274</v>
      </c>
      <c r="V15" s="36" t="s">
        <v>1274</v>
      </c>
      <c r="W15" s="29" t="s">
        <v>653</v>
      </c>
      <c r="X15" s="28">
        <v>0</v>
      </c>
      <c r="Y15" s="28" t="s">
        <v>1320</v>
      </c>
      <c r="Z15" s="28" t="s">
        <v>1274</v>
      </c>
      <c r="AA15" s="28" t="s">
        <v>1274</v>
      </c>
      <c r="AB15" s="30" t="s">
        <v>1297</v>
      </c>
      <c r="AC15" s="29" t="s">
        <v>824</v>
      </c>
      <c r="AD15" s="28" t="s">
        <v>1313</v>
      </c>
      <c r="AE15" s="28" t="s">
        <v>1347</v>
      </c>
      <c r="AF15" s="28" t="s">
        <v>1274</v>
      </c>
      <c r="AG15" s="28" t="s">
        <v>1274</v>
      </c>
      <c r="AH15" s="36" t="s">
        <v>1274</v>
      </c>
      <c r="AI15" s="31" t="s">
        <v>825</v>
      </c>
      <c r="AJ15" s="32" t="s">
        <v>1318</v>
      </c>
      <c r="AK15" s="32" t="s">
        <v>1301</v>
      </c>
      <c r="AL15" s="32" t="s">
        <v>1274</v>
      </c>
      <c r="AM15" s="32" t="s">
        <v>1274</v>
      </c>
      <c r="AN15" s="33" t="s">
        <v>1297</v>
      </c>
      <c r="AO15" s="31" t="s">
        <v>826</v>
      </c>
      <c r="AP15" s="32" t="s">
        <v>1321</v>
      </c>
      <c r="AQ15" s="32" t="s">
        <v>1288</v>
      </c>
      <c r="AR15" s="32" t="s">
        <v>1274</v>
      </c>
      <c r="AS15" s="32" t="s">
        <v>1274</v>
      </c>
      <c r="AT15" s="33" t="s">
        <v>1274</v>
      </c>
    </row>
    <row r="16" spans="2:58" x14ac:dyDescent="0.25">
      <c r="D16" s="34">
        <v>13</v>
      </c>
      <c r="E16" s="29" t="s">
        <v>654</v>
      </c>
      <c r="F16" s="28" t="s">
        <v>1310</v>
      </c>
      <c r="G16" s="28" t="s">
        <v>1284</v>
      </c>
      <c r="H16" s="28" t="s">
        <v>1274</v>
      </c>
      <c r="I16" s="28" t="s">
        <v>1274</v>
      </c>
      <c r="J16" s="30" t="s">
        <v>1274</v>
      </c>
      <c r="K16" s="29" t="s">
        <v>655</v>
      </c>
      <c r="L16" s="28" t="s">
        <v>1333</v>
      </c>
      <c r="M16" s="28" t="s">
        <v>1289</v>
      </c>
      <c r="N16" s="28" t="s">
        <v>1274</v>
      </c>
      <c r="O16" s="28" t="s">
        <v>1274</v>
      </c>
      <c r="P16" s="30" t="s">
        <v>1274</v>
      </c>
      <c r="Q16" s="29" t="s">
        <v>656</v>
      </c>
      <c r="R16" s="28" t="s">
        <v>1318</v>
      </c>
      <c r="S16" s="28" t="s">
        <v>1275</v>
      </c>
      <c r="T16" s="28" t="s">
        <v>1274</v>
      </c>
      <c r="U16" s="28" t="s">
        <v>1274</v>
      </c>
      <c r="V16" s="36" t="s">
        <v>1274</v>
      </c>
      <c r="W16" s="29" t="s">
        <v>782</v>
      </c>
      <c r="X16" s="28">
        <v>0</v>
      </c>
      <c r="Y16" s="28" t="s">
        <v>1298</v>
      </c>
      <c r="Z16" s="28" t="s">
        <v>1274</v>
      </c>
      <c r="AA16" s="28" t="s">
        <v>1274</v>
      </c>
      <c r="AB16" s="30" t="s">
        <v>1274</v>
      </c>
      <c r="AC16" s="29" t="s">
        <v>827</v>
      </c>
      <c r="AD16" s="28" t="s">
        <v>1313</v>
      </c>
      <c r="AE16" s="28" t="s">
        <v>400</v>
      </c>
      <c r="AF16" s="28" t="s">
        <v>1274</v>
      </c>
      <c r="AG16" s="28" t="s">
        <v>1274</v>
      </c>
      <c r="AH16" s="30" t="s">
        <v>1274</v>
      </c>
    </row>
    <row r="17" spans="4:58" x14ac:dyDescent="0.25">
      <c r="D17" s="34">
        <v>14</v>
      </c>
      <c r="E17" s="29" t="s">
        <v>658</v>
      </c>
      <c r="F17" s="28" t="s">
        <v>1221</v>
      </c>
      <c r="G17" s="28" t="s">
        <v>400</v>
      </c>
      <c r="H17" s="28" t="s">
        <v>1274</v>
      </c>
      <c r="I17" s="28" t="s">
        <v>1274</v>
      </c>
      <c r="J17" s="30" t="s">
        <v>1274</v>
      </c>
      <c r="K17" s="29" t="s">
        <v>635</v>
      </c>
      <c r="L17" s="28" t="s">
        <v>1313</v>
      </c>
      <c r="M17" s="28" t="s">
        <v>1337</v>
      </c>
      <c r="N17" s="28" t="s">
        <v>1274</v>
      </c>
      <c r="O17" s="28" t="s">
        <v>1274</v>
      </c>
      <c r="P17" s="30" t="s">
        <v>1274</v>
      </c>
      <c r="Q17" s="29" t="s">
        <v>659</v>
      </c>
      <c r="R17" s="28" t="s">
        <v>1318</v>
      </c>
      <c r="S17" s="28" t="s">
        <v>400</v>
      </c>
      <c r="T17" s="28" t="s">
        <v>1274</v>
      </c>
      <c r="U17" s="28" t="s">
        <v>1274</v>
      </c>
      <c r="V17" s="36" t="s">
        <v>1274</v>
      </c>
      <c r="W17" s="29" t="s">
        <v>783</v>
      </c>
      <c r="X17" s="28" t="s">
        <v>1221</v>
      </c>
      <c r="Y17" s="28" t="s">
        <v>400</v>
      </c>
      <c r="Z17" s="28" t="s">
        <v>1274</v>
      </c>
      <c r="AA17" s="28" t="s">
        <v>1274</v>
      </c>
      <c r="AB17" s="30" t="s">
        <v>1274</v>
      </c>
      <c r="AC17" s="29" t="s">
        <v>828</v>
      </c>
      <c r="AD17" s="28" t="s">
        <v>1312</v>
      </c>
      <c r="AE17" s="28" t="s">
        <v>1275</v>
      </c>
      <c r="AF17" s="28" t="s">
        <v>1274</v>
      </c>
      <c r="AG17" s="28" t="s">
        <v>1274</v>
      </c>
      <c r="AH17" s="30" t="s">
        <v>1297</v>
      </c>
    </row>
    <row r="18" spans="4:58" x14ac:dyDescent="0.25">
      <c r="D18" s="34">
        <v>15</v>
      </c>
      <c r="E18" s="29" t="s">
        <v>784</v>
      </c>
      <c r="F18" s="28" t="s">
        <v>1221</v>
      </c>
      <c r="G18" s="28" t="s">
        <v>1291</v>
      </c>
      <c r="H18" s="28" t="s">
        <v>1274</v>
      </c>
      <c r="I18" s="28" t="s">
        <v>1274</v>
      </c>
      <c r="J18" s="30" t="s">
        <v>1274</v>
      </c>
      <c r="K18" s="29" t="s">
        <v>702</v>
      </c>
      <c r="L18" s="28" t="s">
        <v>1318</v>
      </c>
      <c r="M18" s="28" t="s">
        <v>1320</v>
      </c>
      <c r="N18" s="28" t="s">
        <v>1274</v>
      </c>
      <c r="O18" s="28" t="s">
        <v>1274</v>
      </c>
      <c r="P18" s="30" t="s">
        <v>1297</v>
      </c>
      <c r="Q18" s="29" t="s">
        <v>785</v>
      </c>
      <c r="R18" s="28" t="s">
        <v>1221</v>
      </c>
      <c r="S18" s="28" t="s">
        <v>1289</v>
      </c>
      <c r="T18" s="28" t="s">
        <v>1274</v>
      </c>
      <c r="U18" s="28" t="s">
        <v>1274</v>
      </c>
      <c r="V18" s="36" t="s">
        <v>1274</v>
      </c>
      <c r="W18" s="29" t="s">
        <v>786</v>
      </c>
      <c r="X18" s="28" t="s">
        <v>1221</v>
      </c>
      <c r="Y18" s="28" t="s">
        <v>1298</v>
      </c>
      <c r="Z18" s="28" t="s">
        <v>1274</v>
      </c>
      <c r="AA18" s="28" t="s">
        <v>1274</v>
      </c>
      <c r="AB18" s="30" t="s">
        <v>1274</v>
      </c>
      <c r="AC18" s="29" t="s">
        <v>753</v>
      </c>
      <c r="AD18" s="28" t="s">
        <v>1221</v>
      </c>
      <c r="AE18" s="28" t="s">
        <v>1275</v>
      </c>
      <c r="AF18" s="28" t="s">
        <v>1274</v>
      </c>
      <c r="AG18" s="28" t="s">
        <v>1274</v>
      </c>
      <c r="AH18" s="30" t="s">
        <v>1297</v>
      </c>
    </row>
    <row r="19" spans="4:58" ht="15.75" thickBot="1" x14ac:dyDescent="0.3">
      <c r="D19" s="34">
        <v>16</v>
      </c>
      <c r="E19" s="29" t="s">
        <v>787</v>
      </c>
      <c r="F19" s="28" t="s">
        <v>1312</v>
      </c>
      <c r="G19" s="28" t="s">
        <v>1275</v>
      </c>
      <c r="H19" s="28" t="s">
        <v>1274</v>
      </c>
      <c r="I19" s="28" t="s">
        <v>1274</v>
      </c>
      <c r="J19" s="30" t="s">
        <v>1297</v>
      </c>
      <c r="K19" s="29" t="s">
        <v>788</v>
      </c>
      <c r="L19" s="28" t="s">
        <v>1221</v>
      </c>
      <c r="M19" s="28" t="s">
        <v>1298</v>
      </c>
      <c r="N19" s="28" t="s">
        <v>1274</v>
      </c>
      <c r="O19" s="28" t="s">
        <v>1274</v>
      </c>
      <c r="P19" s="30" t="s">
        <v>1274</v>
      </c>
      <c r="Q19" s="29" t="s">
        <v>660</v>
      </c>
      <c r="R19" s="28">
        <v>0</v>
      </c>
      <c r="S19" s="28" t="s">
        <v>1300</v>
      </c>
      <c r="T19" s="28" t="s">
        <v>1274</v>
      </c>
      <c r="U19" s="28" t="s">
        <v>1274</v>
      </c>
      <c r="V19" s="36" t="s">
        <v>1297</v>
      </c>
      <c r="W19" s="31" t="s">
        <v>711</v>
      </c>
      <c r="X19" s="32" t="s">
        <v>1221</v>
      </c>
      <c r="Y19" s="32" t="s">
        <v>1275</v>
      </c>
      <c r="Z19" s="32" t="s">
        <v>1274</v>
      </c>
      <c r="AA19" s="32" t="s">
        <v>1274</v>
      </c>
      <c r="AB19" s="33" t="s">
        <v>1297</v>
      </c>
      <c r="AC19" s="31" t="s">
        <v>829</v>
      </c>
      <c r="AD19" s="32" t="s">
        <v>1221</v>
      </c>
      <c r="AE19" s="32" t="s">
        <v>1300</v>
      </c>
      <c r="AF19" s="32" t="s">
        <v>1274</v>
      </c>
      <c r="AG19" s="32" t="s">
        <v>1274</v>
      </c>
      <c r="AH19" s="33" t="s">
        <v>1274</v>
      </c>
    </row>
    <row r="20" spans="4:58" x14ac:dyDescent="0.25">
      <c r="D20" s="34">
        <v>17</v>
      </c>
      <c r="E20" s="29" t="s">
        <v>789</v>
      </c>
      <c r="F20" s="28" t="s">
        <v>1221</v>
      </c>
      <c r="G20" s="28" t="s">
        <v>1298</v>
      </c>
      <c r="H20" s="28" t="s">
        <v>1274</v>
      </c>
      <c r="I20" s="28" t="s">
        <v>1274</v>
      </c>
      <c r="J20" s="30" t="s">
        <v>1274</v>
      </c>
      <c r="K20" s="29" t="s">
        <v>718</v>
      </c>
      <c r="L20" s="28" t="s">
        <v>1221</v>
      </c>
      <c r="M20" s="28" t="s">
        <v>1289</v>
      </c>
      <c r="N20" s="28" t="s">
        <v>1274</v>
      </c>
      <c r="O20" s="28" t="s">
        <v>1274</v>
      </c>
      <c r="P20" s="30" t="s">
        <v>1274</v>
      </c>
      <c r="Q20" s="29" t="s">
        <v>790</v>
      </c>
      <c r="R20" s="28" t="s">
        <v>1221</v>
      </c>
      <c r="S20" s="28" t="s">
        <v>1298</v>
      </c>
      <c r="T20" s="28" t="s">
        <v>1274</v>
      </c>
      <c r="U20" s="28" t="s">
        <v>1274</v>
      </c>
      <c r="V20" s="30" t="s">
        <v>1274</v>
      </c>
    </row>
    <row r="21" spans="4:58" x14ac:dyDescent="0.25">
      <c r="D21" s="34">
        <v>18</v>
      </c>
      <c r="E21" s="29" t="s">
        <v>661</v>
      </c>
      <c r="F21" s="28" t="s">
        <v>400</v>
      </c>
      <c r="G21" s="28" t="s">
        <v>1296</v>
      </c>
      <c r="H21" s="28" t="s">
        <v>1274</v>
      </c>
      <c r="I21" s="28" t="s">
        <v>1274</v>
      </c>
      <c r="J21" s="30" t="s">
        <v>1274</v>
      </c>
      <c r="K21" s="29" t="s">
        <v>791</v>
      </c>
      <c r="L21" s="28" t="s">
        <v>1321</v>
      </c>
      <c r="M21" s="28" t="s">
        <v>1286</v>
      </c>
      <c r="N21" s="28" t="s">
        <v>1274</v>
      </c>
      <c r="O21" s="28" t="s">
        <v>1274</v>
      </c>
      <c r="P21" s="30" t="s">
        <v>1297</v>
      </c>
      <c r="Q21" s="29" t="s">
        <v>792</v>
      </c>
      <c r="R21" s="28" t="s">
        <v>1221</v>
      </c>
      <c r="S21" s="28" t="s">
        <v>1341</v>
      </c>
      <c r="T21" s="28" t="s">
        <v>1274</v>
      </c>
      <c r="U21" s="28" t="s">
        <v>1274</v>
      </c>
      <c r="V21" s="30" t="s">
        <v>1274</v>
      </c>
    </row>
    <row r="22" spans="4:58" x14ac:dyDescent="0.25">
      <c r="D22" s="34">
        <v>19</v>
      </c>
      <c r="E22" s="29" t="s">
        <v>721</v>
      </c>
      <c r="F22" s="28" t="s">
        <v>1221</v>
      </c>
      <c r="G22" s="28" t="s">
        <v>1275</v>
      </c>
      <c r="H22" s="28" t="s">
        <v>1274</v>
      </c>
      <c r="I22" s="28" t="s">
        <v>1274</v>
      </c>
      <c r="J22" s="30" t="s">
        <v>1297</v>
      </c>
      <c r="K22" s="29" t="s">
        <v>793</v>
      </c>
      <c r="L22" s="28" t="s">
        <v>1221</v>
      </c>
      <c r="M22" s="28" t="s">
        <v>1275</v>
      </c>
      <c r="N22" s="28" t="s">
        <v>1274</v>
      </c>
      <c r="O22" s="28" t="s">
        <v>1274</v>
      </c>
      <c r="P22" s="30" t="s">
        <v>1274</v>
      </c>
      <c r="Q22" s="29" t="s">
        <v>722</v>
      </c>
      <c r="R22" s="28" t="s">
        <v>1310</v>
      </c>
      <c r="S22" s="28" t="s">
        <v>1288</v>
      </c>
      <c r="T22" s="28" t="s">
        <v>1274</v>
      </c>
      <c r="U22" s="28" t="s">
        <v>1274</v>
      </c>
      <c r="V22" s="30" t="s">
        <v>1274</v>
      </c>
    </row>
    <row r="23" spans="4:58" ht="15.75" thickBot="1" x14ac:dyDescent="0.3">
      <c r="D23" s="35">
        <v>20</v>
      </c>
      <c r="E23" s="31" t="s">
        <v>663</v>
      </c>
      <c r="F23" s="32" t="s">
        <v>1221</v>
      </c>
      <c r="G23" s="32" t="s">
        <v>400</v>
      </c>
      <c r="H23" s="32" t="s">
        <v>1274</v>
      </c>
      <c r="I23" s="32" t="s">
        <v>1274</v>
      </c>
      <c r="J23" s="33" t="s">
        <v>1297</v>
      </c>
      <c r="K23" s="31" t="s">
        <v>794</v>
      </c>
      <c r="L23" s="32" t="s">
        <v>1312</v>
      </c>
      <c r="M23" s="32" t="s">
        <v>1338</v>
      </c>
      <c r="N23" s="32" t="s">
        <v>1274</v>
      </c>
      <c r="O23" s="32" t="s">
        <v>1274</v>
      </c>
      <c r="P23" s="33" t="s">
        <v>1274</v>
      </c>
      <c r="Q23" s="31" t="s">
        <v>795</v>
      </c>
      <c r="R23" s="32" t="s">
        <v>1221</v>
      </c>
      <c r="S23" s="32" t="s">
        <v>1342</v>
      </c>
      <c r="T23" s="32" t="s">
        <v>1274</v>
      </c>
      <c r="U23" s="32" t="s">
        <v>1274</v>
      </c>
      <c r="V23" s="33" t="s">
        <v>1274</v>
      </c>
    </row>
    <row r="26" spans="4:58" s="26" customFormat="1" ht="15.75" thickBot="1" x14ac:dyDescent="0.3">
      <c r="E26" s="26" t="s">
        <v>61</v>
      </c>
      <c r="F26" s="42"/>
      <c r="G26" s="42"/>
      <c r="H26" s="42"/>
      <c r="I26" s="42"/>
      <c r="J26" s="42"/>
      <c r="L26" s="42"/>
      <c r="M26" s="42"/>
      <c r="N26" s="42"/>
      <c r="O26" s="42"/>
      <c r="P26" s="42"/>
      <c r="R26" s="42"/>
      <c r="S26" s="42"/>
      <c r="T26" s="42"/>
      <c r="U26" s="42"/>
      <c r="V26" s="42"/>
      <c r="X26" s="42"/>
      <c r="Y26" s="42"/>
      <c r="Z26" s="42"/>
      <c r="AA26" s="42"/>
      <c r="AB26" s="42"/>
      <c r="AD26" s="42"/>
      <c r="AE26" s="42"/>
      <c r="AF26" s="42"/>
      <c r="AG26" s="42"/>
      <c r="AH26" s="42"/>
      <c r="AJ26" s="42"/>
      <c r="AK26" s="42"/>
      <c r="AL26" s="42"/>
      <c r="AM26" s="42"/>
      <c r="AN26" s="42"/>
      <c r="AP26" s="42"/>
      <c r="AQ26" s="42"/>
      <c r="AR26" s="42"/>
      <c r="AS26" s="42"/>
      <c r="AT26" s="42"/>
      <c r="AV26" s="42"/>
      <c r="AW26" s="42"/>
      <c r="AX26" s="42"/>
      <c r="AY26" s="42"/>
      <c r="AZ26" s="42"/>
      <c r="BB26" s="42"/>
      <c r="BC26" s="42"/>
      <c r="BD26" s="42"/>
      <c r="BE26" s="42"/>
      <c r="BF26" s="42"/>
    </row>
    <row r="27" spans="4:58" s="26" customFormat="1" x14ac:dyDescent="0.25">
      <c r="E27" s="38" t="s">
        <v>664</v>
      </c>
      <c r="F27" s="39" t="s">
        <v>1275</v>
      </c>
      <c r="G27" s="39" t="s">
        <v>1218</v>
      </c>
      <c r="H27" s="39" t="s">
        <v>1201</v>
      </c>
      <c r="I27" s="39" t="s">
        <v>400</v>
      </c>
      <c r="J27" s="40" t="s">
        <v>388</v>
      </c>
      <c r="K27" s="38" t="s">
        <v>665</v>
      </c>
      <c r="L27" s="39" t="s">
        <v>1275</v>
      </c>
      <c r="M27" s="39" t="s">
        <v>1218</v>
      </c>
      <c r="N27" s="39" t="s">
        <v>1201</v>
      </c>
      <c r="O27" s="39" t="s">
        <v>400</v>
      </c>
      <c r="P27" s="40" t="s">
        <v>388</v>
      </c>
      <c r="Q27" s="38" t="s">
        <v>666</v>
      </c>
      <c r="R27" s="39" t="s">
        <v>1275</v>
      </c>
      <c r="S27" s="39" t="s">
        <v>1218</v>
      </c>
      <c r="T27" s="39" t="s">
        <v>1201</v>
      </c>
      <c r="U27" s="39" t="s">
        <v>400</v>
      </c>
      <c r="V27" s="41" t="s">
        <v>388</v>
      </c>
      <c r="W27" s="38" t="s">
        <v>667</v>
      </c>
      <c r="X27" s="39" t="s">
        <v>1275</v>
      </c>
      <c r="Y27" s="39" t="s">
        <v>1218</v>
      </c>
      <c r="Z27" s="39" t="s">
        <v>1201</v>
      </c>
      <c r="AA27" s="39" t="s">
        <v>400</v>
      </c>
      <c r="AB27" s="41" t="s">
        <v>388</v>
      </c>
      <c r="AC27" s="38" t="s">
        <v>723</v>
      </c>
      <c r="AD27" s="39" t="s">
        <v>1275</v>
      </c>
      <c r="AE27" s="39" t="s">
        <v>1218</v>
      </c>
      <c r="AF27" s="39" t="s">
        <v>1201</v>
      </c>
      <c r="AG27" s="39" t="s">
        <v>400</v>
      </c>
      <c r="AH27" s="41" t="s">
        <v>388</v>
      </c>
      <c r="AI27" s="38" t="s">
        <v>724</v>
      </c>
      <c r="AJ27" s="39" t="s">
        <v>1275</v>
      </c>
      <c r="AK27" s="39" t="s">
        <v>1218</v>
      </c>
      <c r="AL27" s="39" t="s">
        <v>1201</v>
      </c>
      <c r="AM27" s="39" t="s">
        <v>400</v>
      </c>
      <c r="AN27" s="41" t="s">
        <v>388</v>
      </c>
      <c r="AO27" s="38" t="s">
        <v>725</v>
      </c>
      <c r="AP27" s="39" t="s">
        <v>1275</v>
      </c>
      <c r="AQ27" s="39" t="s">
        <v>1218</v>
      </c>
      <c r="AR27" s="39" t="s">
        <v>1201</v>
      </c>
      <c r="AS27" s="39" t="s">
        <v>400</v>
      </c>
      <c r="AT27" s="40" t="s">
        <v>388</v>
      </c>
      <c r="AV27" s="42"/>
      <c r="AW27" s="42"/>
      <c r="AX27" s="42"/>
      <c r="AY27" s="42"/>
      <c r="AZ27" s="42"/>
      <c r="BB27" s="42"/>
      <c r="BC27" s="42"/>
      <c r="BD27" s="42"/>
      <c r="BE27" s="42"/>
      <c r="BF27" s="42"/>
    </row>
    <row r="28" spans="4:58" x14ac:dyDescent="0.25">
      <c r="D28">
        <v>1</v>
      </c>
      <c r="E28" s="29" t="s">
        <v>668</v>
      </c>
      <c r="F28" s="28" t="s">
        <v>1318</v>
      </c>
      <c r="G28" s="28" t="s">
        <v>1275</v>
      </c>
      <c r="H28" s="28" t="s">
        <v>1274</v>
      </c>
      <c r="I28" s="28" t="s">
        <v>1274</v>
      </c>
      <c r="J28" s="30" t="s">
        <v>1274</v>
      </c>
      <c r="K28" s="29" t="s">
        <v>633</v>
      </c>
      <c r="L28" s="28" t="s">
        <v>1318</v>
      </c>
      <c r="M28" s="28" t="s">
        <v>1275</v>
      </c>
      <c r="N28" s="28" t="s">
        <v>1274</v>
      </c>
      <c r="O28" s="28" t="s">
        <v>1274</v>
      </c>
      <c r="P28" s="30" t="s">
        <v>1297</v>
      </c>
      <c r="Q28" s="29" t="s">
        <v>669</v>
      </c>
      <c r="R28" s="28">
        <v>0</v>
      </c>
      <c r="S28" s="28" t="s">
        <v>1354</v>
      </c>
      <c r="T28" s="28" t="s">
        <v>1274</v>
      </c>
      <c r="U28" s="28" t="s">
        <v>1274</v>
      </c>
      <c r="V28" s="36" t="s">
        <v>1274</v>
      </c>
      <c r="W28" s="29" t="s">
        <v>670</v>
      </c>
      <c r="X28" s="28">
        <v>0</v>
      </c>
      <c r="Y28" s="28" t="s">
        <v>1357</v>
      </c>
      <c r="Z28" s="28" t="s">
        <v>1274</v>
      </c>
      <c r="AA28" s="28" t="s">
        <v>1274</v>
      </c>
      <c r="AB28" s="36" t="s">
        <v>1297</v>
      </c>
      <c r="AC28" s="29" t="s">
        <v>726</v>
      </c>
      <c r="AD28" s="28" t="s">
        <v>1329</v>
      </c>
      <c r="AE28" s="28" t="s">
        <v>1286</v>
      </c>
      <c r="AF28" s="28" t="s">
        <v>1274</v>
      </c>
      <c r="AG28" s="28" t="s">
        <v>1274</v>
      </c>
      <c r="AH28" s="36" t="s">
        <v>1274</v>
      </c>
      <c r="AI28" s="29" t="s">
        <v>727</v>
      </c>
      <c r="AJ28" s="28">
        <v>0</v>
      </c>
      <c r="AK28" s="28" t="s">
        <v>1298</v>
      </c>
      <c r="AL28" s="28" t="s">
        <v>1274</v>
      </c>
      <c r="AM28" s="28" t="s">
        <v>1274</v>
      </c>
      <c r="AN28" s="36" t="s">
        <v>1274</v>
      </c>
      <c r="AO28" s="29" t="s">
        <v>728</v>
      </c>
      <c r="AP28" s="28" t="s">
        <v>1329</v>
      </c>
      <c r="AQ28" s="28" t="s">
        <v>1300</v>
      </c>
      <c r="AR28" s="28" t="s">
        <v>1274</v>
      </c>
      <c r="AS28" s="28" t="s">
        <v>1274</v>
      </c>
      <c r="AT28" s="30" t="s">
        <v>1274</v>
      </c>
    </row>
    <row r="29" spans="4:58" x14ac:dyDescent="0.25">
      <c r="D29">
        <v>2</v>
      </c>
      <c r="E29" s="29" t="s">
        <v>671</v>
      </c>
      <c r="F29" s="28" t="s">
        <v>1325</v>
      </c>
      <c r="G29" s="28" t="s">
        <v>1326</v>
      </c>
      <c r="H29" s="28" t="s">
        <v>1274</v>
      </c>
      <c r="I29" s="28" t="s">
        <v>1297</v>
      </c>
      <c r="J29" s="30" t="s">
        <v>1297</v>
      </c>
      <c r="K29" s="29" t="s">
        <v>672</v>
      </c>
      <c r="L29" s="28" t="s">
        <v>1221</v>
      </c>
      <c r="M29" s="28" t="s">
        <v>1301</v>
      </c>
      <c r="N29" s="28" t="s">
        <v>1274</v>
      </c>
      <c r="O29" s="28" t="s">
        <v>1274</v>
      </c>
      <c r="P29" s="30" t="s">
        <v>1274</v>
      </c>
      <c r="Q29" s="29" t="s">
        <v>642</v>
      </c>
      <c r="R29" s="28" t="s">
        <v>1221</v>
      </c>
      <c r="S29" s="28" t="s">
        <v>1275</v>
      </c>
      <c r="T29" s="28" t="s">
        <v>1274</v>
      </c>
      <c r="U29" s="28" t="s">
        <v>1274</v>
      </c>
      <c r="V29" s="36" t="s">
        <v>1297</v>
      </c>
      <c r="W29" s="29" t="s">
        <v>673</v>
      </c>
      <c r="X29" s="28" t="s">
        <v>1325</v>
      </c>
      <c r="Y29" s="28" t="s">
        <v>1275</v>
      </c>
      <c r="Z29" s="28" t="s">
        <v>1274</v>
      </c>
      <c r="AA29" s="28" t="s">
        <v>1274</v>
      </c>
      <c r="AB29" s="36" t="s">
        <v>1274</v>
      </c>
      <c r="AC29" s="29" t="s">
        <v>729</v>
      </c>
      <c r="AD29" s="28">
        <v>0</v>
      </c>
      <c r="AE29" s="28" t="s">
        <v>1298</v>
      </c>
      <c r="AF29" s="28" t="s">
        <v>1274</v>
      </c>
      <c r="AG29" s="28" t="s">
        <v>1274</v>
      </c>
      <c r="AH29" s="36" t="s">
        <v>1274</v>
      </c>
      <c r="AI29" s="29" t="s">
        <v>730</v>
      </c>
      <c r="AJ29" s="28" t="s">
        <v>1221</v>
      </c>
      <c r="AK29" s="28" t="s">
        <v>1301</v>
      </c>
      <c r="AL29" s="28" t="s">
        <v>1274</v>
      </c>
      <c r="AM29" s="28" t="s">
        <v>1274</v>
      </c>
      <c r="AN29" s="36" t="s">
        <v>1274</v>
      </c>
      <c r="AO29" s="29" t="s">
        <v>731</v>
      </c>
      <c r="AP29" s="28" t="s">
        <v>1221</v>
      </c>
      <c r="AQ29" s="28" t="s">
        <v>400</v>
      </c>
      <c r="AR29" s="28" t="s">
        <v>1274</v>
      </c>
      <c r="AS29" s="28" t="s">
        <v>1274</v>
      </c>
      <c r="AT29" s="30" t="s">
        <v>1274</v>
      </c>
    </row>
    <row r="30" spans="4:58" x14ac:dyDescent="0.25">
      <c r="D30">
        <v>3</v>
      </c>
      <c r="E30" s="29" t="s">
        <v>640</v>
      </c>
      <c r="F30" s="28" t="s">
        <v>1221</v>
      </c>
      <c r="G30" s="28" t="s">
        <v>1275</v>
      </c>
      <c r="H30" s="28" t="s">
        <v>1274</v>
      </c>
      <c r="I30" s="28" t="s">
        <v>1274</v>
      </c>
      <c r="J30" s="30" t="s">
        <v>1274</v>
      </c>
      <c r="K30" s="29" t="s">
        <v>632</v>
      </c>
      <c r="L30" s="28" t="s">
        <v>1318</v>
      </c>
      <c r="M30" s="28" t="s">
        <v>1352</v>
      </c>
      <c r="N30" s="28" t="s">
        <v>1274</v>
      </c>
      <c r="O30" s="28" t="s">
        <v>1274</v>
      </c>
      <c r="P30" s="30" t="s">
        <v>1274</v>
      </c>
      <c r="Q30" s="29" t="s">
        <v>674</v>
      </c>
      <c r="R30" s="28" t="s">
        <v>1313</v>
      </c>
      <c r="S30" s="28" t="s">
        <v>1346</v>
      </c>
      <c r="T30" s="28" t="s">
        <v>1274</v>
      </c>
      <c r="U30" s="28" t="s">
        <v>1274</v>
      </c>
      <c r="V30" s="36" t="s">
        <v>1274</v>
      </c>
      <c r="W30" s="29" t="s">
        <v>675</v>
      </c>
      <c r="X30" s="28" t="s">
        <v>1329</v>
      </c>
      <c r="Y30" s="28" t="s">
        <v>1288</v>
      </c>
      <c r="Z30" s="28" t="s">
        <v>1274</v>
      </c>
      <c r="AA30" s="28" t="s">
        <v>1274</v>
      </c>
      <c r="AB30" s="36" t="s">
        <v>1274</v>
      </c>
      <c r="AC30" s="29" t="s">
        <v>732</v>
      </c>
      <c r="AD30" s="28">
        <v>0</v>
      </c>
      <c r="AE30" s="28" t="s">
        <v>400</v>
      </c>
      <c r="AF30" s="28" t="s">
        <v>1274</v>
      </c>
      <c r="AG30" s="28" t="s">
        <v>1274</v>
      </c>
      <c r="AH30" s="36" t="s">
        <v>1274</v>
      </c>
      <c r="AI30" s="29" t="s">
        <v>733</v>
      </c>
      <c r="AJ30" s="28" t="s">
        <v>1344</v>
      </c>
      <c r="AK30" s="28" t="s">
        <v>1275</v>
      </c>
      <c r="AL30" s="28" t="s">
        <v>1274</v>
      </c>
      <c r="AM30" s="28" t="s">
        <v>1274</v>
      </c>
      <c r="AN30" s="36" t="s">
        <v>1297</v>
      </c>
      <c r="AO30" s="29" t="s">
        <v>734</v>
      </c>
      <c r="AP30" s="28" t="s">
        <v>1318</v>
      </c>
      <c r="AQ30" s="28" t="s">
        <v>1354</v>
      </c>
      <c r="AR30" s="28" t="s">
        <v>1274</v>
      </c>
      <c r="AS30" s="28" t="s">
        <v>1274</v>
      </c>
      <c r="AT30" s="30" t="s">
        <v>1274</v>
      </c>
    </row>
    <row r="31" spans="4:58" x14ac:dyDescent="0.25">
      <c r="D31">
        <v>4</v>
      </c>
      <c r="E31" s="29" t="s">
        <v>676</v>
      </c>
      <c r="F31" s="28">
        <v>0</v>
      </c>
      <c r="G31" s="28" t="s">
        <v>1327</v>
      </c>
      <c r="H31" s="28" t="s">
        <v>1274</v>
      </c>
      <c r="I31" s="28" t="s">
        <v>1274</v>
      </c>
      <c r="J31" s="30" t="s">
        <v>1274</v>
      </c>
      <c r="K31" s="29" t="s">
        <v>677</v>
      </c>
      <c r="L31" s="28" t="s">
        <v>1325</v>
      </c>
      <c r="M31" s="28" t="s">
        <v>400</v>
      </c>
      <c r="N31" s="28" t="s">
        <v>1274</v>
      </c>
      <c r="O31" s="28" t="s">
        <v>1274</v>
      </c>
      <c r="P31" s="30" t="s">
        <v>1297</v>
      </c>
      <c r="Q31" s="29" t="s">
        <v>678</v>
      </c>
      <c r="R31" s="28" t="s">
        <v>1344</v>
      </c>
      <c r="S31" s="28" t="s">
        <v>1275</v>
      </c>
      <c r="T31" s="28" t="s">
        <v>1274</v>
      </c>
      <c r="U31" s="28" t="s">
        <v>1274</v>
      </c>
      <c r="V31" s="36" t="s">
        <v>1274</v>
      </c>
      <c r="W31" s="29" t="s">
        <v>679</v>
      </c>
      <c r="X31" s="28" t="s">
        <v>1325</v>
      </c>
      <c r="Y31" s="28" t="s">
        <v>1275</v>
      </c>
      <c r="Z31" s="28" t="s">
        <v>1274</v>
      </c>
      <c r="AA31" s="28" t="s">
        <v>1274</v>
      </c>
      <c r="AB31" s="36" t="s">
        <v>1274</v>
      </c>
      <c r="AC31" s="29" t="s">
        <v>735</v>
      </c>
      <c r="AD31" s="28">
        <v>0</v>
      </c>
      <c r="AE31" s="28" t="s">
        <v>1298</v>
      </c>
      <c r="AF31" s="28" t="s">
        <v>1274</v>
      </c>
      <c r="AG31" s="28" t="s">
        <v>1274</v>
      </c>
      <c r="AH31" s="36" t="s">
        <v>1274</v>
      </c>
      <c r="AI31" s="29" t="s">
        <v>736</v>
      </c>
      <c r="AJ31" s="28" t="s">
        <v>1329</v>
      </c>
      <c r="AK31" s="28" t="s">
        <v>400</v>
      </c>
      <c r="AL31" s="28" t="s">
        <v>1274</v>
      </c>
      <c r="AM31" s="28" t="s">
        <v>1274</v>
      </c>
      <c r="AN31" s="36" t="s">
        <v>1274</v>
      </c>
      <c r="AO31" s="29" t="s">
        <v>737</v>
      </c>
      <c r="AP31" s="28" t="s">
        <v>1325</v>
      </c>
      <c r="AQ31" s="28" t="s">
        <v>1300</v>
      </c>
      <c r="AR31" s="28" t="s">
        <v>1274</v>
      </c>
      <c r="AS31" s="28" t="s">
        <v>1274</v>
      </c>
      <c r="AT31" s="30" t="s">
        <v>1274</v>
      </c>
    </row>
    <row r="32" spans="4:58" x14ac:dyDescent="0.25">
      <c r="D32">
        <v>5</v>
      </c>
      <c r="E32" s="29" t="s">
        <v>680</v>
      </c>
      <c r="F32" s="28">
        <v>0</v>
      </c>
      <c r="G32" s="28" t="s">
        <v>1326</v>
      </c>
      <c r="H32" s="28" t="s">
        <v>1274</v>
      </c>
      <c r="I32" s="28" t="s">
        <v>1274</v>
      </c>
      <c r="J32" s="30" t="s">
        <v>1274</v>
      </c>
      <c r="K32" s="29" t="s">
        <v>681</v>
      </c>
      <c r="L32" s="28" t="s">
        <v>1221</v>
      </c>
      <c r="M32" s="28" t="s">
        <v>1298</v>
      </c>
      <c r="N32" s="28" t="s">
        <v>1274</v>
      </c>
      <c r="O32" s="28" t="s">
        <v>1274</v>
      </c>
      <c r="P32" s="30" t="s">
        <v>1274</v>
      </c>
      <c r="Q32" s="29" t="s">
        <v>682</v>
      </c>
      <c r="R32" s="28" t="s">
        <v>1221</v>
      </c>
      <c r="S32" s="28" t="s">
        <v>1275</v>
      </c>
      <c r="T32" s="28" t="s">
        <v>1274</v>
      </c>
      <c r="U32" s="28" t="s">
        <v>1274</v>
      </c>
      <c r="V32" s="36" t="s">
        <v>1274</v>
      </c>
      <c r="W32" s="29" t="s">
        <v>683</v>
      </c>
      <c r="X32" s="28" t="s">
        <v>1355</v>
      </c>
      <c r="Y32" s="28" t="s">
        <v>400</v>
      </c>
      <c r="Z32" s="28" t="s">
        <v>1274</v>
      </c>
      <c r="AA32" s="28" t="s">
        <v>1274</v>
      </c>
      <c r="AB32" s="36" t="s">
        <v>1274</v>
      </c>
      <c r="AC32" s="29" t="s">
        <v>1359</v>
      </c>
      <c r="AD32" s="28" t="s">
        <v>1325</v>
      </c>
      <c r="AE32" s="28" t="s">
        <v>1286</v>
      </c>
      <c r="AF32" s="28" t="s">
        <v>1274</v>
      </c>
      <c r="AG32" s="28" t="s">
        <v>1274</v>
      </c>
      <c r="AH32" s="36" t="s">
        <v>1274</v>
      </c>
      <c r="AI32" s="29" t="s">
        <v>738</v>
      </c>
      <c r="AJ32" s="28" t="s">
        <v>1361</v>
      </c>
      <c r="AK32" s="28" t="s">
        <v>400</v>
      </c>
      <c r="AL32" s="28" t="s">
        <v>1274</v>
      </c>
      <c r="AM32" s="28" t="s">
        <v>1274</v>
      </c>
      <c r="AN32" s="36" t="s">
        <v>1274</v>
      </c>
      <c r="AO32" s="29" t="s">
        <v>739</v>
      </c>
      <c r="AP32" s="28">
        <v>0</v>
      </c>
      <c r="AQ32" s="28" t="s">
        <v>1362</v>
      </c>
      <c r="AR32" s="28" t="s">
        <v>1274</v>
      </c>
      <c r="AS32" s="28" t="s">
        <v>1274</v>
      </c>
      <c r="AT32" s="30" t="s">
        <v>1274</v>
      </c>
    </row>
    <row r="33" spans="4:46" x14ac:dyDescent="0.25">
      <c r="D33">
        <v>6</v>
      </c>
      <c r="E33" s="29" t="s">
        <v>684</v>
      </c>
      <c r="F33" s="28">
        <v>0</v>
      </c>
      <c r="G33" s="28" t="s">
        <v>1300</v>
      </c>
      <c r="H33" s="28" t="s">
        <v>1274</v>
      </c>
      <c r="I33" s="28" t="s">
        <v>1274</v>
      </c>
      <c r="J33" s="30" t="s">
        <v>1274</v>
      </c>
      <c r="K33" s="29" t="s">
        <v>685</v>
      </c>
      <c r="L33" s="28" t="s">
        <v>1310</v>
      </c>
      <c r="M33" s="28" t="s">
        <v>1275</v>
      </c>
      <c r="N33" s="28" t="s">
        <v>1274</v>
      </c>
      <c r="O33" s="28" t="s">
        <v>1274</v>
      </c>
      <c r="P33" s="30" t="s">
        <v>1274</v>
      </c>
      <c r="Q33" s="29" t="s">
        <v>686</v>
      </c>
      <c r="R33" s="28" t="s">
        <v>1312</v>
      </c>
      <c r="S33" s="28" t="s">
        <v>1300</v>
      </c>
      <c r="T33" s="28" t="s">
        <v>1274</v>
      </c>
      <c r="U33" s="28" t="s">
        <v>1274</v>
      </c>
      <c r="V33" s="36" t="s">
        <v>1274</v>
      </c>
      <c r="W33" s="29" t="s">
        <v>687</v>
      </c>
      <c r="X33" s="28" t="s">
        <v>1356</v>
      </c>
      <c r="Y33" s="28" t="s">
        <v>400</v>
      </c>
      <c r="Z33" s="28" t="s">
        <v>1274</v>
      </c>
      <c r="AA33" s="28" t="s">
        <v>1274</v>
      </c>
      <c r="AB33" s="36" t="s">
        <v>1274</v>
      </c>
      <c r="AC33" s="29" t="s">
        <v>740</v>
      </c>
      <c r="AD33" s="28" t="s">
        <v>1343</v>
      </c>
      <c r="AE33" s="28" t="s">
        <v>1298</v>
      </c>
      <c r="AF33" s="28" t="s">
        <v>1274</v>
      </c>
      <c r="AG33" s="28" t="s">
        <v>1274</v>
      </c>
      <c r="AH33" s="36" t="s">
        <v>1274</v>
      </c>
      <c r="AI33" s="29" t="s">
        <v>741</v>
      </c>
      <c r="AJ33" s="28" t="s">
        <v>1325</v>
      </c>
      <c r="AK33" s="28" t="s">
        <v>1298</v>
      </c>
      <c r="AL33" s="28" t="s">
        <v>1274</v>
      </c>
      <c r="AM33" s="28" t="s">
        <v>1274</v>
      </c>
      <c r="AN33" s="36" t="s">
        <v>1274</v>
      </c>
      <c r="AO33" s="29" t="s">
        <v>742</v>
      </c>
      <c r="AP33" s="28" t="s">
        <v>1313</v>
      </c>
      <c r="AQ33" s="28" t="s">
        <v>1275</v>
      </c>
      <c r="AR33" s="28" t="s">
        <v>1274</v>
      </c>
      <c r="AS33" s="28" t="s">
        <v>1274</v>
      </c>
      <c r="AT33" s="30" t="s">
        <v>1274</v>
      </c>
    </row>
    <row r="34" spans="4:46" x14ac:dyDescent="0.25">
      <c r="D34">
        <v>7</v>
      </c>
      <c r="E34" s="29" t="s">
        <v>688</v>
      </c>
      <c r="F34" s="28" t="s">
        <v>1325</v>
      </c>
      <c r="G34" s="28" t="s">
        <v>1320</v>
      </c>
      <c r="H34" s="28" t="s">
        <v>1274</v>
      </c>
      <c r="I34" s="28" t="s">
        <v>1274</v>
      </c>
      <c r="J34" s="30" t="s">
        <v>1274</v>
      </c>
      <c r="K34" s="29" t="s">
        <v>689</v>
      </c>
      <c r="L34" s="28" t="s">
        <v>1318</v>
      </c>
      <c r="M34" s="28" t="s">
        <v>1300</v>
      </c>
      <c r="N34" s="28" t="s">
        <v>1274</v>
      </c>
      <c r="O34" s="28" t="s">
        <v>1274</v>
      </c>
      <c r="P34" s="30" t="s">
        <v>1274</v>
      </c>
      <c r="Q34" s="29" t="s">
        <v>690</v>
      </c>
      <c r="R34" s="28">
        <v>0</v>
      </c>
      <c r="S34" s="28" t="s">
        <v>1298</v>
      </c>
      <c r="T34" s="28" t="s">
        <v>1274</v>
      </c>
      <c r="U34" s="28" t="s">
        <v>1274</v>
      </c>
      <c r="V34" s="36" t="s">
        <v>1274</v>
      </c>
      <c r="W34" s="29" t="s">
        <v>691</v>
      </c>
      <c r="X34" s="28">
        <v>0</v>
      </c>
      <c r="Y34" s="28" t="s">
        <v>1286</v>
      </c>
      <c r="Z34" s="28" t="s">
        <v>1274</v>
      </c>
      <c r="AA34" s="28" t="s">
        <v>1274</v>
      </c>
      <c r="AB34" s="36" t="s">
        <v>1274</v>
      </c>
      <c r="AC34" s="29" t="s">
        <v>743</v>
      </c>
      <c r="AD34" s="28" t="s">
        <v>1358</v>
      </c>
      <c r="AE34" s="28" t="s">
        <v>400</v>
      </c>
      <c r="AF34" s="28" t="s">
        <v>1274</v>
      </c>
      <c r="AG34" s="28" t="s">
        <v>1274</v>
      </c>
      <c r="AH34" s="36" t="s">
        <v>1274</v>
      </c>
      <c r="AI34" s="29" t="s">
        <v>744</v>
      </c>
      <c r="AJ34" s="28">
        <v>0</v>
      </c>
      <c r="AK34" s="28" t="s">
        <v>400</v>
      </c>
      <c r="AL34" s="28" t="s">
        <v>1274</v>
      </c>
      <c r="AM34" s="28" t="s">
        <v>1274</v>
      </c>
      <c r="AN34" s="36" t="s">
        <v>1274</v>
      </c>
      <c r="AO34" s="29" t="s">
        <v>745</v>
      </c>
      <c r="AP34" s="28" t="s">
        <v>1329</v>
      </c>
      <c r="AQ34" s="28" t="s">
        <v>1298</v>
      </c>
      <c r="AR34" s="28" t="s">
        <v>1274</v>
      </c>
      <c r="AS34" s="28" t="s">
        <v>1274</v>
      </c>
      <c r="AT34" s="30" t="s">
        <v>1274</v>
      </c>
    </row>
    <row r="35" spans="4:46" x14ac:dyDescent="0.25">
      <c r="D35">
        <v>8</v>
      </c>
      <c r="E35" s="29" t="s">
        <v>692</v>
      </c>
      <c r="F35" s="28" t="s">
        <v>1221</v>
      </c>
      <c r="G35" s="28" t="s">
        <v>1330</v>
      </c>
      <c r="H35" s="28" t="s">
        <v>1297</v>
      </c>
      <c r="I35" s="28" t="s">
        <v>1274</v>
      </c>
      <c r="J35" s="30" t="s">
        <v>1274</v>
      </c>
      <c r="K35" s="29" t="s">
        <v>693</v>
      </c>
      <c r="L35" s="28">
        <v>0</v>
      </c>
      <c r="M35" s="28" t="s">
        <v>1286</v>
      </c>
      <c r="N35" s="28" t="s">
        <v>1274</v>
      </c>
      <c r="O35" s="28" t="s">
        <v>1274</v>
      </c>
      <c r="P35" s="30" t="s">
        <v>1274</v>
      </c>
      <c r="Q35" s="29" t="s">
        <v>694</v>
      </c>
      <c r="R35" s="28" t="s">
        <v>1221</v>
      </c>
      <c r="S35" s="28" t="s">
        <v>1275</v>
      </c>
      <c r="T35" s="28" t="s">
        <v>1274</v>
      </c>
      <c r="U35" s="28" t="s">
        <v>1274</v>
      </c>
      <c r="V35" s="36" t="s">
        <v>1274</v>
      </c>
      <c r="W35" s="29" t="s">
        <v>695</v>
      </c>
      <c r="X35" s="28" t="s">
        <v>1325</v>
      </c>
      <c r="Y35" s="28" t="s">
        <v>1300</v>
      </c>
      <c r="Z35" s="28" t="s">
        <v>1274</v>
      </c>
      <c r="AA35" s="28" t="s">
        <v>1274</v>
      </c>
      <c r="AB35" s="36" t="s">
        <v>1274</v>
      </c>
      <c r="AC35" s="29" t="s">
        <v>746</v>
      </c>
      <c r="AD35" s="28" t="s">
        <v>1325</v>
      </c>
      <c r="AE35" s="28" t="s">
        <v>400</v>
      </c>
      <c r="AF35" s="28" t="s">
        <v>1274</v>
      </c>
      <c r="AG35" s="28" t="s">
        <v>1274</v>
      </c>
      <c r="AH35" s="36" t="s">
        <v>1274</v>
      </c>
      <c r="AI35" s="29" t="s">
        <v>747</v>
      </c>
      <c r="AJ35" s="28" t="s">
        <v>1325</v>
      </c>
      <c r="AK35" s="28" t="s">
        <v>1275</v>
      </c>
      <c r="AL35" s="28" t="s">
        <v>1274</v>
      </c>
      <c r="AM35" s="28" t="s">
        <v>1274</v>
      </c>
      <c r="AN35" s="36" t="s">
        <v>1274</v>
      </c>
      <c r="AO35" s="29" t="s">
        <v>748</v>
      </c>
      <c r="AP35" s="28">
        <v>0</v>
      </c>
      <c r="AQ35" s="28" t="s">
        <v>1326</v>
      </c>
      <c r="AR35" s="28" t="s">
        <v>1274</v>
      </c>
      <c r="AS35" s="28" t="s">
        <v>1274</v>
      </c>
      <c r="AT35" s="30" t="s">
        <v>1274</v>
      </c>
    </row>
    <row r="36" spans="4:46" x14ac:dyDescent="0.25">
      <c r="D36">
        <v>9</v>
      </c>
      <c r="E36" s="29" t="s">
        <v>696</v>
      </c>
      <c r="F36" s="28">
        <v>0</v>
      </c>
      <c r="G36" s="28" t="s">
        <v>1286</v>
      </c>
      <c r="H36" s="28" t="s">
        <v>1274</v>
      </c>
      <c r="I36" s="28" t="s">
        <v>1274</v>
      </c>
      <c r="J36" s="30" t="s">
        <v>1297</v>
      </c>
      <c r="K36" s="29" t="s">
        <v>697</v>
      </c>
      <c r="L36" s="28">
        <v>0</v>
      </c>
      <c r="M36" s="28" t="s">
        <v>1300</v>
      </c>
      <c r="N36" s="28" t="s">
        <v>1274</v>
      </c>
      <c r="O36" s="28" t="s">
        <v>1274</v>
      </c>
      <c r="P36" s="30" t="s">
        <v>1274</v>
      </c>
      <c r="Q36" s="29" t="s">
        <v>698</v>
      </c>
      <c r="R36" s="28" t="s">
        <v>1325</v>
      </c>
      <c r="S36" s="28" t="s">
        <v>1286</v>
      </c>
      <c r="T36" s="28" t="s">
        <v>1274</v>
      </c>
      <c r="U36" s="28" t="s">
        <v>1274</v>
      </c>
      <c r="V36" s="36" t="s">
        <v>1274</v>
      </c>
      <c r="W36" s="29" t="s">
        <v>699</v>
      </c>
      <c r="X36" s="28" t="s">
        <v>1221</v>
      </c>
      <c r="Y36" s="28" t="s">
        <v>1298</v>
      </c>
      <c r="Z36" s="28" t="s">
        <v>1274</v>
      </c>
      <c r="AA36" s="28" t="s">
        <v>1274</v>
      </c>
      <c r="AB36" s="36" t="s">
        <v>1274</v>
      </c>
      <c r="AC36" s="29" t="s">
        <v>749</v>
      </c>
      <c r="AD36" s="28" t="s">
        <v>1221</v>
      </c>
      <c r="AE36" s="28" t="s">
        <v>400</v>
      </c>
      <c r="AF36" s="28" t="s">
        <v>1274</v>
      </c>
      <c r="AG36" s="28" t="s">
        <v>1274</v>
      </c>
      <c r="AH36" s="36" t="s">
        <v>1274</v>
      </c>
      <c r="AI36" s="29" t="s">
        <v>750</v>
      </c>
      <c r="AJ36" s="28">
        <v>0</v>
      </c>
      <c r="AK36" s="28" t="s">
        <v>1326</v>
      </c>
      <c r="AL36" s="28" t="s">
        <v>1274</v>
      </c>
      <c r="AM36" s="28" t="s">
        <v>1274</v>
      </c>
      <c r="AN36" s="36" t="s">
        <v>1274</v>
      </c>
      <c r="AO36" s="29" t="s">
        <v>751</v>
      </c>
      <c r="AP36" s="28" t="s">
        <v>1310</v>
      </c>
      <c r="AQ36" s="28" t="s">
        <v>1288</v>
      </c>
      <c r="AR36" s="28" t="s">
        <v>1274</v>
      </c>
      <c r="AS36" s="28" t="s">
        <v>1274</v>
      </c>
      <c r="AT36" s="30" t="s">
        <v>1274</v>
      </c>
    </row>
    <row r="37" spans="4:46" x14ac:dyDescent="0.25">
      <c r="D37">
        <v>10</v>
      </c>
      <c r="E37" s="29" t="s">
        <v>700</v>
      </c>
      <c r="F37" s="28">
        <v>0</v>
      </c>
      <c r="G37" s="28" t="s">
        <v>1300</v>
      </c>
      <c r="H37" s="28" t="s">
        <v>1274</v>
      </c>
      <c r="I37" s="28" t="s">
        <v>1274</v>
      </c>
      <c r="J37" s="30" t="s">
        <v>1274</v>
      </c>
      <c r="K37" s="29" t="s">
        <v>701</v>
      </c>
      <c r="L37" s="28">
        <v>0</v>
      </c>
      <c r="M37" s="28" t="s">
        <v>1298</v>
      </c>
      <c r="N37" s="28" t="s">
        <v>1274</v>
      </c>
      <c r="O37" s="28" t="s">
        <v>1274</v>
      </c>
      <c r="P37" s="30" t="s">
        <v>1274</v>
      </c>
      <c r="Q37" s="29" t="s">
        <v>702</v>
      </c>
      <c r="R37" s="28" t="s">
        <v>1318</v>
      </c>
      <c r="S37" s="28" t="s">
        <v>1335</v>
      </c>
      <c r="T37" s="28" t="s">
        <v>1274</v>
      </c>
      <c r="U37" s="28" t="s">
        <v>1274</v>
      </c>
      <c r="V37" s="36" t="s">
        <v>1297</v>
      </c>
      <c r="W37" s="29" t="s">
        <v>703</v>
      </c>
      <c r="X37" s="28" t="s">
        <v>1221</v>
      </c>
      <c r="Y37" s="28" t="s">
        <v>400</v>
      </c>
      <c r="Z37" s="28" t="s">
        <v>1274</v>
      </c>
      <c r="AA37" s="28" t="s">
        <v>1274</v>
      </c>
      <c r="AB37" s="36" t="s">
        <v>1274</v>
      </c>
      <c r="AC37" s="29" t="s">
        <v>752</v>
      </c>
      <c r="AD37" s="28" t="s">
        <v>1312</v>
      </c>
      <c r="AE37" s="28" t="s">
        <v>1346</v>
      </c>
      <c r="AF37" s="28" t="s">
        <v>1274</v>
      </c>
      <c r="AG37" s="28" t="s">
        <v>1274</v>
      </c>
      <c r="AH37" s="36" t="s">
        <v>1274</v>
      </c>
      <c r="AI37" s="29" t="s">
        <v>753</v>
      </c>
      <c r="AJ37" s="28" t="s">
        <v>1221</v>
      </c>
      <c r="AK37" s="28" t="s">
        <v>1275</v>
      </c>
      <c r="AL37" s="28" t="s">
        <v>1274</v>
      </c>
      <c r="AM37" s="28" t="s">
        <v>1274</v>
      </c>
      <c r="AN37" s="36" t="s">
        <v>1274</v>
      </c>
      <c r="AO37" s="29" t="s">
        <v>754</v>
      </c>
      <c r="AP37" s="28" t="s">
        <v>1221</v>
      </c>
      <c r="AQ37" s="28" t="s">
        <v>1275</v>
      </c>
      <c r="AR37" s="28" t="s">
        <v>1274</v>
      </c>
      <c r="AS37" s="28" t="s">
        <v>1274</v>
      </c>
      <c r="AT37" s="30" t="s">
        <v>1274</v>
      </c>
    </row>
    <row r="38" spans="4:46" x14ac:dyDescent="0.25">
      <c r="D38">
        <v>11</v>
      </c>
      <c r="E38" s="29" t="s">
        <v>704</v>
      </c>
      <c r="F38" s="28" t="s">
        <v>1221</v>
      </c>
      <c r="G38" s="28" t="s">
        <v>1298</v>
      </c>
      <c r="H38" s="28" t="s">
        <v>1274</v>
      </c>
      <c r="I38" s="28" t="s">
        <v>1274</v>
      </c>
      <c r="J38" s="30" t="s">
        <v>1274</v>
      </c>
      <c r="K38" s="29" t="s">
        <v>705</v>
      </c>
      <c r="L38" s="28" t="s">
        <v>1329</v>
      </c>
      <c r="M38" s="28" t="s">
        <v>1353</v>
      </c>
      <c r="N38" s="28" t="s">
        <v>1274</v>
      </c>
      <c r="O38" s="28" t="s">
        <v>1274</v>
      </c>
      <c r="P38" s="30" t="s">
        <v>1274</v>
      </c>
      <c r="Q38" s="29" t="s">
        <v>706</v>
      </c>
      <c r="R38" s="28" t="s">
        <v>1221</v>
      </c>
      <c r="S38" s="28" t="s">
        <v>1275</v>
      </c>
      <c r="T38" s="28" t="s">
        <v>1274</v>
      </c>
      <c r="U38" s="28" t="s">
        <v>1274</v>
      </c>
      <c r="V38" s="36" t="s">
        <v>1274</v>
      </c>
      <c r="W38" s="29" t="s">
        <v>707</v>
      </c>
      <c r="X38" s="28">
        <v>0</v>
      </c>
      <c r="Y38" s="28" t="s">
        <v>1298</v>
      </c>
      <c r="Z38" s="28" t="s">
        <v>1274</v>
      </c>
      <c r="AA38" s="28" t="s">
        <v>1274</v>
      </c>
      <c r="AB38" s="36" t="s">
        <v>1274</v>
      </c>
      <c r="AC38" s="29" t="s">
        <v>755</v>
      </c>
      <c r="AD38" s="28" t="s">
        <v>1310</v>
      </c>
      <c r="AE38" s="28" t="s">
        <v>1300</v>
      </c>
      <c r="AF38" s="28" t="s">
        <v>1274</v>
      </c>
      <c r="AG38" s="28" t="s">
        <v>1274</v>
      </c>
      <c r="AH38" s="36" t="s">
        <v>1274</v>
      </c>
      <c r="AI38" s="29" t="s">
        <v>756</v>
      </c>
      <c r="AJ38" s="28" t="s">
        <v>1221</v>
      </c>
      <c r="AK38" s="28" t="s">
        <v>400</v>
      </c>
      <c r="AL38" s="28" t="s">
        <v>1274</v>
      </c>
      <c r="AM38" s="28" t="s">
        <v>1274</v>
      </c>
      <c r="AN38" s="36" t="s">
        <v>1297</v>
      </c>
      <c r="AO38" s="29" t="s">
        <v>757</v>
      </c>
      <c r="AP38" s="28" t="s">
        <v>1344</v>
      </c>
      <c r="AQ38" s="28" t="s">
        <v>1288</v>
      </c>
      <c r="AR38" s="28" t="s">
        <v>1274</v>
      </c>
      <c r="AS38" s="28" t="s">
        <v>1274</v>
      </c>
      <c r="AT38" s="30" t="s">
        <v>1274</v>
      </c>
    </row>
    <row r="39" spans="4:46" ht="15.75" thickBot="1" x14ac:dyDescent="0.3">
      <c r="D39">
        <v>12</v>
      </c>
      <c r="E39" s="29" t="s">
        <v>708</v>
      </c>
      <c r="F39" s="28" t="s">
        <v>1313</v>
      </c>
      <c r="G39" s="28" t="s">
        <v>1300</v>
      </c>
      <c r="H39" s="28" t="s">
        <v>1274</v>
      </c>
      <c r="I39" s="28" t="s">
        <v>1274</v>
      </c>
      <c r="J39" s="30" t="s">
        <v>1274</v>
      </c>
      <c r="K39" s="29" t="s">
        <v>709</v>
      </c>
      <c r="L39" s="28">
        <v>0</v>
      </c>
      <c r="M39" s="28" t="s">
        <v>1326</v>
      </c>
      <c r="N39" s="28" t="s">
        <v>1274</v>
      </c>
      <c r="O39" s="28" t="s">
        <v>1274</v>
      </c>
      <c r="P39" s="30" t="s">
        <v>1297</v>
      </c>
      <c r="Q39" s="29" t="s">
        <v>710</v>
      </c>
      <c r="R39" s="28" t="s">
        <v>1221</v>
      </c>
      <c r="S39" s="28" t="s">
        <v>400</v>
      </c>
      <c r="T39" s="28" t="s">
        <v>1274</v>
      </c>
      <c r="U39" s="28" t="s">
        <v>1274</v>
      </c>
      <c r="V39" s="36" t="s">
        <v>1274</v>
      </c>
      <c r="W39" s="31" t="s">
        <v>711</v>
      </c>
      <c r="X39" s="32" t="s">
        <v>1221</v>
      </c>
      <c r="Y39" s="32" t="s">
        <v>1275</v>
      </c>
      <c r="Z39" s="32" t="s">
        <v>1274</v>
      </c>
      <c r="AA39" s="32" t="s">
        <v>1274</v>
      </c>
      <c r="AB39" s="43" t="s">
        <v>1274</v>
      </c>
      <c r="AC39" s="31" t="s">
        <v>1360</v>
      </c>
      <c r="AD39" s="32" t="s">
        <v>1344</v>
      </c>
      <c r="AE39" s="32" t="s">
        <v>400</v>
      </c>
      <c r="AF39" s="32" t="s">
        <v>1274</v>
      </c>
      <c r="AG39" s="32" t="s">
        <v>1274</v>
      </c>
      <c r="AH39" s="43" t="s">
        <v>1274</v>
      </c>
      <c r="AI39" s="31" t="s">
        <v>758</v>
      </c>
      <c r="AJ39" s="32" t="s">
        <v>1313</v>
      </c>
      <c r="AK39" s="32" t="s">
        <v>1275</v>
      </c>
      <c r="AL39" s="32" t="s">
        <v>1274</v>
      </c>
      <c r="AM39" s="32" t="s">
        <v>1274</v>
      </c>
      <c r="AN39" s="43" t="s">
        <v>1274</v>
      </c>
      <c r="AO39" s="31" t="s">
        <v>759</v>
      </c>
      <c r="AP39" s="32" t="s">
        <v>1325</v>
      </c>
      <c r="AQ39" s="32" t="s">
        <v>1275</v>
      </c>
      <c r="AR39" s="32" t="s">
        <v>1274</v>
      </c>
      <c r="AS39" s="32" t="s">
        <v>1274</v>
      </c>
      <c r="AT39" s="33" t="s">
        <v>1274</v>
      </c>
    </row>
    <row r="40" spans="4:46" x14ac:dyDescent="0.25">
      <c r="D40">
        <v>13</v>
      </c>
      <c r="E40" s="29" t="s">
        <v>654</v>
      </c>
      <c r="F40" s="28" t="s">
        <v>1328</v>
      </c>
      <c r="G40" s="28" t="s">
        <v>1284</v>
      </c>
      <c r="H40" s="28" t="s">
        <v>1274</v>
      </c>
      <c r="I40" s="28" t="s">
        <v>1274</v>
      </c>
      <c r="J40" s="30" t="s">
        <v>1274</v>
      </c>
      <c r="K40" s="29" t="s">
        <v>712</v>
      </c>
      <c r="L40" s="28" t="s">
        <v>1221</v>
      </c>
      <c r="M40" s="28" t="s">
        <v>1337</v>
      </c>
      <c r="N40" s="28" t="s">
        <v>1274</v>
      </c>
      <c r="O40" s="28" t="s">
        <v>1274</v>
      </c>
      <c r="P40" s="30" t="s">
        <v>1274</v>
      </c>
      <c r="Q40" s="29" t="s">
        <v>713</v>
      </c>
      <c r="R40" s="28" t="s">
        <v>1344</v>
      </c>
      <c r="S40" s="28" t="s">
        <v>400</v>
      </c>
      <c r="T40" s="28" t="s">
        <v>1274</v>
      </c>
      <c r="U40" s="28" t="s">
        <v>1274</v>
      </c>
      <c r="V40" s="30" t="s">
        <v>1274</v>
      </c>
    </row>
    <row r="41" spans="4:46" x14ac:dyDescent="0.25">
      <c r="D41">
        <v>14</v>
      </c>
      <c r="E41" s="29" t="s">
        <v>714</v>
      </c>
      <c r="F41" s="28">
        <v>0</v>
      </c>
      <c r="G41" s="28" t="s">
        <v>1331</v>
      </c>
      <c r="H41" s="28" t="s">
        <v>1274</v>
      </c>
      <c r="I41" s="28" t="s">
        <v>1274</v>
      </c>
      <c r="J41" s="30" t="s">
        <v>1274</v>
      </c>
      <c r="K41" s="29" t="s">
        <v>715</v>
      </c>
      <c r="L41" s="28" t="s">
        <v>1221</v>
      </c>
      <c r="M41" s="28" t="s">
        <v>1351</v>
      </c>
      <c r="N41" s="28" t="s">
        <v>1274</v>
      </c>
      <c r="O41" s="28" t="s">
        <v>1274</v>
      </c>
      <c r="P41" s="30" t="s">
        <v>1274</v>
      </c>
      <c r="Q41" s="29" t="s">
        <v>716</v>
      </c>
      <c r="R41" s="28" t="s">
        <v>1328</v>
      </c>
      <c r="S41" s="28" t="s">
        <v>1298</v>
      </c>
      <c r="T41" s="28" t="s">
        <v>1274</v>
      </c>
      <c r="U41" s="28" t="s">
        <v>1274</v>
      </c>
      <c r="V41" s="30" t="s">
        <v>1274</v>
      </c>
    </row>
    <row r="42" spans="4:46" x14ac:dyDescent="0.25">
      <c r="D42">
        <v>15</v>
      </c>
      <c r="E42" s="29" t="s">
        <v>717</v>
      </c>
      <c r="F42" s="28" t="s">
        <v>1329</v>
      </c>
      <c r="G42" s="28" t="s">
        <v>1275</v>
      </c>
      <c r="H42" s="28" t="s">
        <v>1274</v>
      </c>
      <c r="I42" s="28" t="s">
        <v>1274</v>
      </c>
      <c r="J42" s="30" t="s">
        <v>1274</v>
      </c>
      <c r="K42" s="29" t="s">
        <v>718</v>
      </c>
      <c r="L42" s="28" t="s">
        <v>1221</v>
      </c>
      <c r="M42" s="28" t="s">
        <v>1289</v>
      </c>
      <c r="N42" s="28" t="s">
        <v>1274</v>
      </c>
      <c r="O42" s="28" t="s">
        <v>1274</v>
      </c>
      <c r="P42" s="30" t="s">
        <v>1274</v>
      </c>
      <c r="Q42" s="29" t="s">
        <v>719</v>
      </c>
      <c r="R42" s="28" t="s">
        <v>1221</v>
      </c>
      <c r="S42" s="28" t="s">
        <v>1350</v>
      </c>
      <c r="T42" s="28" t="s">
        <v>1274</v>
      </c>
      <c r="U42" s="28" t="s">
        <v>1274</v>
      </c>
      <c r="V42" s="30" t="s">
        <v>1297</v>
      </c>
    </row>
    <row r="43" spans="4:46" ht="15.75" thickBot="1" x14ac:dyDescent="0.3">
      <c r="D43">
        <v>16</v>
      </c>
      <c r="E43" s="31" t="s">
        <v>720</v>
      </c>
      <c r="F43" s="32" t="s">
        <v>1221</v>
      </c>
      <c r="G43" s="32" t="s">
        <v>1300</v>
      </c>
      <c r="H43" s="32" t="s">
        <v>1274</v>
      </c>
      <c r="I43" s="32" t="s">
        <v>1274</v>
      </c>
      <c r="J43" s="33" t="s">
        <v>1274</v>
      </c>
      <c r="K43" s="31" t="s">
        <v>721</v>
      </c>
      <c r="L43" s="32" t="s">
        <v>1221</v>
      </c>
      <c r="M43" s="32" t="s">
        <v>1275</v>
      </c>
      <c r="N43" s="32" t="s">
        <v>1274</v>
      </c>
      <c r="O43" s="32" t="s">
        <v>1274</v>
      </c>
      <c r="P43" s="33" t="s">
        <v>1274</v>
      </c>
      <c r="Q43" s="31" t="s">
        <v>722</v>
      </c>
      <c r="R43" s="32" t="s">
        <v>1328</v>
      </c>
      <c r="S43" s="32" t="s">
        <v>1300</v>
      </c>
      <c r="T43" s="32" t="s">
        <v>1274</v>
      </c>
      <c r="U43" s="32" t="s">
        <v>1274</v>
      </c>
      <c r="V43" s="33" t="s">
        <v>1274</v>
      </c>
    </row>
    <row r="44" spans="4:46" x14ac:dyDescent="0.25">
      <c r="D44">
        <v>17</v>
      </c>
    </row>
    <row r="45" spans="4:46" x14ac:dyDescent="0.25">
      <c r="D45">
        <v>18</v>
      </c>
    </row>
    <row r="46" spans="4:46" x14ac:dyDescent="0.25">
      <c r="D46">
        <v>19</v>
      </c>
    </row>
    <row r="47" spans="4:46" x14ac:dyDescent="0.25">
      <c r="D47">
        <v>20</v>
      </c>
    </row>
    <row r="50" spans="2:58" s="26" customFormat="1" x14ac:dyDescent="0.25">
      <c r="E50" s="26" t="s">
        <v>102</v>
      </c>
      <c r="F50" s="42"/>
      <c r="G50" s="42"/>
      <c r="H50" s="42"/>
      <c r="I50" s="42"/>
      <c r="J50" s="42"/>
      <c r="L50" s="42"/>
      <c r="M50" s="42"/>
      <c r="N50" s="42"/>
      <c r="O50" s="42"/>
      <c r="P50" s="42"/>
      <c r="R50" s="42"/>
      <c r="S50" s="42"/>
      <c r="T50" s="42"/>
      <c r="U50" s="42"/>
      <c r="V50" s="42"/>
      <c r="X50" s="42"/>
      <c r="Y50" s="42"/>
      <c r="Z50" s="42"/>
      <c r="AA50" s="42"/>
      <c r="AB50" s="42"/>
      <c r="AD50" s="42"/>
      <c r="AE50" s="42"/>
      <c r="AF50" s="42"/>
      <c r="AG50" s="42"/>
      <c r="AH50" s="42"/>
      <c r="AJ50" s="42"/>
      <c r="AK50" s="42"/>
      <c r="AL50" s="42"/>
      <c r="AM50" s="42"/>
      <c r="AN50" s="42"/>
      <c r="AP50" s="42"/>
      <c r="AQ50" s="42"/>
      <c r="AR50" s="42"/>
      <c r="AS50" s="42"/>
      <c r="AT50" s="42"/>
      <c r="AV50" s="42"/>
      <c r="AW50" s="42"/>
      <c r="AX50" s="42"/>
      <c r="AY50" s="42"/>
      <c r="AZ50" s="42"/>
      <c r="BB50" s="42"/>
      <c r="BC50" s="42"/>
      <c r="BD50" s="42"/>
      <c r="BE50" s="42"/>
      <c r="BF50" s="42"/>
    </row>
    <row r="51" spans="2:58" x14ac:dyDescent="0.25">
      <c r="E51" t="s">
        <v>830</v>
      </c>
      <c r="F51" s="27" t="s">
        <v>1275</v>
      </c>
      <c r="G51" s="27" t="s">
        <v>1218</v>
      </c>
      <c r="H51" s="27" t="s">
        <v>1201</v>
      </c>
      <c r="I51" s="27" t="s">
        <v>400</v>
      </c>
      <c r="J51" s="27" t="s">
        <v>388</v>
      </c>
    </row>
    <row r="52" spans="2:58" x14ac:dyDescent="0.25">
      <c r="B52" t="s">
        <v>1204</v>
      </c>
      <c r="D52">
        <v>1</v>
      </c>
      <c r="E52" t="s">
        <v>831</v>
      </c>
      <c r="K52" t="s">
        <v>832</v>
      </c>
      <c r="Q52" t="s">
        <v>833</v>
      </c>
      <c r="W52" t="s">
        <v>834</v>
      </c>
      <c r="AC52" t="s">
        <v>835</v>
      </c>
      <c r="AI52" t="s">
        <v>836</v>
      </c>
    </row>
    <row r="53" spans="2:58" x14ac:dyDescent="0.25">
      <c r="B53" t="s">
        <v>1203</v>
      </c>
      <c r="D53">
        <v>2</v>
      </c>
      <c r="E53" t="s">
        <v>837</v>
      </c>
      <c r="K53" t="s">
        <v>838</v>
      </c>
      <c r="Q53" t="s">
        <v>839</v>
      </c>
      <c r="W53" t="s">
        <v>840</v>
      </c>
      <c r="AC53" t="s">
        <v>841</v>
      </c>
      <c r="AI53" t="s">
        <v>842</v>
      </c>
    </row>
    <row r="54" spans="2:58" x14ac:dyDescent="0.25">
      <c r="B54" t="s">
        <v>1196</v>
      </c>
      <c r="D54">
        <v>3</v>
      </c>
      <c r="E54" t="s">
        <v>843</v>
      </c>
      <c r="K54" t="s">
        <v>844</v>
      </c>
      <c r="Q54" t="s">
        <v>845</v>
      </c>
      <c r="W54" t="s">
        <v>846</v>
      </c>
      <c r="AC54" t="s">
        <v>847</v>
      </c>
      <c r="AI54" t="s">
        <v>848</v>
      </c>
    </row>
    <row r="55" spans="2:58" x14ac:dyDescent="0.25">
      <c r="D55">
        <v>4</v>
      </c>
      <c r="E55" t="s">
        <v>849</v>
      </c>
      <c r="K55" t="s">
        <v>850</v>
      </c>
      <c r="Q55" t="s">
        <v>851</v>
      </c>
      <c r="W55" t="s">
        <v>852</v>
      </c>
      <c r="AC55" t="s">
        <v>853</v>
      </c>
      <c r="AI55" t="s">
        <v>854</v>
      </c>
    </row>
    <row r="56" spans="2:58" x14ac:dyDescent="0.25">
      <c r="D56">
        <v>5</v>
      </c>
      <c r="E56" t="s">
        <v>855</v>
      </c>
      <c r="K56" t="s">
        <v>856</v>
      </c>
      <c r="Q56" t="s">
        <v>857</v>
      </c>
      <c r="W56" t="s">
        <v>858</v>
      </c>
      <c r="AC56" t="s">
        <v>859</v>
      </c>
      <c r="AI56" t="s">
        <v>860</v>
      </c>
    </row>
    <row r="57" spans="2:58" x14ac:dyDescent="0.25">
      <c r="D57">
        <v>6</v>
      </c>
      <c r="E57" t="s">
        <v>861</v>
      </c>
      <c r="K57" t="s">
        <v>862</v>
      </c>
      <c r="Q57" t="s">
        <v>863</v>
      </c>
      <c r="W57" t="s">
        <v>864</v>
      </c>
      <c r="AC57" t="s">
        <v>865</v>
      </c>
      <c r="AI57" t="s">
        <v>866</v>
      </c>
    </row>
    <row r="58" spans="2:58" x14ac:dyDescent="0.25">
      <c r="D58">
        <v>7</v>
      </c>
      <c r="E58" t="s">
        <v>867</v>
      </c>
      <c r="K58" t="s">
        <v>868</v>
      </c>
      <c r="Q58" t="s">
        <v>869</v>
      </c>
      <c r="W58" t="s">
        <v>870</v>
      </c>
      <c r="AC58" t="s">
        <v>871</v>
      </c>
      <c r="AI58" t="s">
        <v>872</v>
      </c>
    </row>
    <row r="59" spans="2:58" x14ac:dyDescent="0.25">
      <c r="D59">
        <v>8</v>
      </c>
      <c r="E59" t="s">
        <v>873</v>
      </c>
      <c r="K59" t="s">
        <v>874</v>
      </c>
      <c r="W59" t="s">
        <v>875</v>
      </c>
      <c r="AC59" t="s">
        <v>876</v>
      </c>
      <c r="AI59" t="s">
        <v>877</v>
      </c>
    </row>
    <row r="60" spans="2:58" x14ac:dyDescent="0.25">
      <c r="D60">
        <v>9</v>
      </c>
      <c r="E60" t="s">
        <v>878</v>
      </c>
      <c r="K60" t="s">
        <v>879</v>
      </c>
      <c r="W60" t="s">
        <v>880</v>
      </c>
      <c r="AC60" t="s">
        <v>881</v>
      </c>
      <c r="AI60" t="s">
        <v>882</v>
      </c>
    </row>
    <row r="61" spans="2:58" x14ac:dyDescent="0.25">
      <c r="D61">
        <v>10</v>
      </c>
      <c r="E61" t="s">
        <v>883</v>
      </c>
      <c r="K61" t="s">
        <v>646</v>
      </c>
      <c r="W61" t="s">
        <v>884</v>
      </c>
      <c r="AC61" t="s">
        <v>885</v>
      </c>
    </row>
    <row r="62" spans="2:58" x14ac:dyDescent="0.25">
      <c r="D62">
        <v>11</v>
      </c>
      <c r="E62" t="s">
        <v>886</v>
      </c>
      <c r="K62" t="s">
        <v>887</v>
      </c>
      <c r="W62" t="s">
        <v>888</v>
      </c>
      <c r="AC62" t="s">
        <v>889</v>
      </c>
    </row>
    <row r="63" spans="2:58" x14ac:dyDescent="0.25">
      <c r="D63">
        <v>12</v>
      </c>
      <c r="E63" t="s">
        <v>890</v>
      </c>
      <c r="K63" t="s">
        <v>891</v>
      </c>
    </row>
    <row r="64" spans="2:58" x14ac:dyDescent="0.25">
      <c r="D64">
        <v>13</v>
      </c>
      <c r="E64" t="s">
        <v>892</v>
      </c>
      <c r="K64" t="s">
        <v>893</v>
      </c>
    </row>
    <row r="65" spans="4:58" x14ac:dyDescent="0.25">
      <c r="D65">
        <v>14</v>
      </c>
      <c r="E65" t="s">
        <v>894</v>
      </c>
    </row>
    <row r="66" spans="4:58" x14ac:dyDescent="0.25">
      <c r="D66">
        <v>15</v>
      </c>
      <c r="E66" t="s">
        <v>895</v>
      </c>
    </row>
    <row r="67" spans="4:58" x14ac:dyDescent="0.25">
      <c r="D67">
        <v>16</v>
      </c>
      <c r="E67" t="s">
        <v>896</v>
      </c>
    </row>
    <row r="68" spans="4:58" x14ac:dyDescent="0.25">
      <c r="D68">
        <v>17</v>
      </c>
      <c r="E68" t="s">
        <v>897</v>
      </c>
    </row>
    <row r="69" spans="4:58" x14ac:dyDescent="0.25">
      <c r="D69">
        <v>18</v>
      </c>
      <c r="E69" t="s">
        <v>898</v>
      </c>
    </row>
    <row r="70" spans="4:58" x14ac:dyDescent="0.25">
      <c r="D70">
        <v>19</v>
      </c>
      <c r="E70" t="s">
        <v>899</v>
      </c>
    </row>
    <row r="71" spans="4:58" x14ac:dyDescent="0.25">
      <c r="D71">
        <v>20</v>
      </c>
      <c r="E71" t="s">
        <v>900</v>
      </c>
    </row>
    <row r="72" spans="4:58" x14ac:dyDescent="0.25">
      <c r="D72">
        <v>21</v>
      </c>
      <c r="E72" t="s">
        <v>901</v>
      </c>
    </row>
    <row r="73" spans="4:58" ht="15.75" thickBot="1" x14ac:dyDescent="0.3"/>
    <row r="74" spans="4:58" x14ac:dyDescent="0.25">
      <c r="E74" s="45" t="s">
        <v>664</v>
      </c>
      <c r="F74" s="46" t="s">
        <v>1275</v>
      </c>
      <c r="G74" s="46" t="s">
        <v>1218</v>
      </c>
      <c r="H74" s="46" t="s">
        <v>1201</v>
      </c>
      <c r="I74" s="46" t="s">
        <v>400</v>
      </c>
      <c r="J74" s="48" t="s">
        <v>388</v>
      </c>
      <c r="K74" s="45" t="s">
        <v>665</v>
      </c>
      <c r="L74" s="46" t="s">
        <v>1275</v>
      </c>
      <c r="M74" s="46" t="s">
        <v>1218</v>
      </c>
      <c r="N74" s="46" t="s">
        <v>1201</v>
      </c>
      <c r="O74" s="46" t="s">
        <v>400</v>
      </c>
      <c r="P74" s="48" t="s">
        <v>388</v>
      </c>
      <c r="Q74" s="45" t="s">
        <v>666</v>
      </c>
      <c r="R74" s="46" t="s">
        <v>1275</v>
      </c>
      <c r="S74" s="46" t="s">
        <v>1218</v>
      </c>
      <c r="T74" s="46" t="s">
        <v>1201</v>
      </c>
      <c r="U74" s="46" t="s">
        <v>400</v>
      </c>
      <c r="V74" s="48" t="s">
        <v>388</v>
      </c>
      <c r="W74" s="45" t="s">
        <v>667</v>
      </c>
      <c r="X74" s="46" t="s">
        <v>1275</v>
      </c>
      <c r="Y74" s="46" t="s">
        <v>1218</v>
      </c>
      <c r="Z74" s="46" t="s">
        <v>1201</v>
      </c>
      <c r="AA74" s="46" t="s">
        <v>400</v>
      </c>
      <c r="AB74" s="48" t="s">
        <v>388</v>
      </c>
      <c r="AC74" s="45" t="s">
        <v>723</v>
      </c>
      <c r="AD74" s="46" t="s">
        <v>1275</v>
      </c>
      <c r="AE74" s="46" t="s">
        <v>1218</v>
      </c>
      <c r="AF74" s="46" t="s">
        <v>1201</v>
      </c>
      <c r="AG74" s="46" t="s">
        <v>400</v>
      </c>
      <c r="AH74" s="48" t="s">
        <v>388</v>
      </c>
      <c r="AI74" s="45" t="s">
        <v>724</v>
      </c>
      <c r="AJ74" s="46" t="s">
        <v>1275</v>
      </c>
      <c r="AK74" s="46" t="s">
        <v>1218</v>
      </c>
      <c r="AL74" s="46" t="s">
        <v>1201</v>
      </c>
      <c r="AM74" s="46" t="s">
        <v>400</v>
      </c>
      <c r="AN74" s="48" t="s">
        <v>388</v>
      </c>
      <c r="AO74" s="45" t="s">
        <v>725</v>
      </c>
      <c r="AP74" s="46" t="s">
        <v>1275</v>
      </c>
      <c r="AQ74" s="46" t="s">
        <v>1218</v>
      </c>
      <c r="AR74" s="46" t="s">
        <v>1201</v>
      </c>
      <c r="AS74" s="46" t="s">
        <v>400</v>
      </c>
      <c r="AT74" s="48" t="s">
        <v>388</v>
      </c>
      <c r="AU74" s="45" t="s">
        <v>1066</v>
      </c>
      <c r="AV74" s="46" t="s">
        <v>1275</v>
      </c>
      <c r="AW74" s="46" t="s">
        <v>1218</v>
      </c>
      <c r="AX74" s="46" t="s">
        <v>1201</v>
      </c>
      <c r="AY74" s="46" t="s">
        <v>400</v>
      </c>
      <c r="AZ74" s="48" t="s">
        <v>388</v>
      </c>
      <c r="BA74" s="45" t="s">
        <v>1067</v>
      </c>
      <c r="BB74" s="46" t="s">
        <v>1275</v>
      </c>
      <c r="BC74" s="46" t="s">
        <v>1218</v>
      </c>
      <c r="BD74" s="46" t="s">
        <v>1201</v>
      </c>
      <c r="BE74" s="46" t="s">
        <v>400</v>
      </c>
      <c r="BF74" s="47" t="s">
        <v>388</v>
      </c>
    </row>
    <row r="75" spans="4:58" x14ac:dyDescent="0.25">
      <c r="D75">
        <v>1</v>
      </c>
      <c r="E75" s="29" t="s">
        <v>902</v>
      </c>
      <c r="F75" s="28">
        <v>0</v>
      </c>
      <c r="G75" s="28" t="s">
        <v>1298</v>
      </c>
      <c r="H75" s="28" t="s">
        <v>1274</v>
      </c>
      <c r="I75" s="28" t="s">
        <v>1274</v>
      </c>
      <c r="J75" s="36" t="s">
        <v>1274</v>
      </c>
      <c r="K75" s="29" t="s">
        <v>903</v>
      </c>
      <c r="L75" s="28" t="s">
        <v>400</v>
      </c>
      <c r="M75" s="28" t="s">
        <v>400</v>
      </c>
      <c r="N75" s="28" t="s">
        <v>1274</v>
      </c>
      <c r="O75" s="28" t="s">
        <v>1274</v>
      </c>
      <c r="P75" s="36" t="s">
        <v>1274</v>
      </c>
      <c r="Q75" s="29" t="s">
        <v>904</v>
      </c>
      <c r="R75" s="28" t="s">
        <v>1372</v>
      </c>
      <c r="S75" s="28" t="s">
        <v>1375</v>
      </c>
      <c r="T75" s="28" t="s">
        <v>1274</v>
      </c>
      <c r="U75" s="28" t="s">
        <v>1274</v>
      </c>
      <c r="V75" s="36" t="s">
        <v>1274</v>
      </c>
      <c r="W75" s="29" t="s">
        <v>987</v>
      </c>
      <c r="X75" s="28" t="s">
        <v>1323</v>
      </c>
      <c r="Y75" s="28" t="s">
        <v>1384</v>
      </c>
      <c r="Z75" s="28" t="s">
        <v>1274</v>
      </c>
      <c r="AA75" s="28" t="s">
        <v>1274</v>
      </c>
      <c r="AB75" s="36" t="s">
        <v>1274</v>
      </c>
      <c r="AC75" s="29" t="s">
        <v>988</v>
      </c>
      <c r="AD75" s="28" t="s">
        <v>1318</v>
      </c>
      <c r="AE75" s="28" t="s">
        <v>1286</v>
      </c>
      <c r="AF75" s="28" t="s">
        <v>1274</v>
      </c>
      <c r="AG75" s="28" t="s">
        <v>1274</v>
      </c>
      <c r="AH75" s="36" t="s">
        <v>1274</v>
      </c>
      <c r="AI75" s="29" t="s">
        <v>760</v>
      </c>
      <c r="AJ75" s="28" t="s">
        <v>1325</v>
      </c>
      <c r="AK75" s="28" t="s">
        <v>1283</v>
      </c>
      <c r="AL75" s="28" t="s">
        <v>1274</v>
      </c>
      <c r="AM75" s="28" t="s">
        <v>1274</v>
      </c>
      <c r="AN75" s="36" t="s">
        <v>1274</v>
      </c>
      <c r="AO75" s="29" t="s">
        <v>1068</v>
      </c>
      <c r="AP75" s="28" t="s">
        <v>1323</v>
      </c>
      <c r="AQ75" s="28" t="s">
        <v>1275</v>
      </c>
      <c r="AR75" s="28" t="s">
        <v>1274</v>
      </c>
      <c r="AS75" s="28" t="s">
        <v>1274</v>
      </c>
      <c r="AT75" s="36" t="s">
        <v>1274</v>
      </c>
      <c r="AU75" s="29" t="s">
        <v>1069</v>
      </c>
      <c r="AV75" s="28" t="s">
        <v>1312</v>
      </c>
      <c r="AW75" s="28" t="s">
        <v>1403</v>
      </c>
      <c r="AX75" s="28" t="s">
        <v>1274</v>
      </c>
      <c r="AY75" s="28" t="s">
        <v>1274</v>
      </c>
      <c r="AZ75" s="36" t="s">
        <v>1274</v>
      </c>
      <c r="BA75" s="29" t="s">
        <v>1070</v>
      </c>
      <c r="BB75" s="28" t="s">
        <v>1221</v>
      </c>
      <c r="BC75" s="28" t="s">
        <v>1275</v>
      </c>
      <c r="BD75" s="28" t="s">
        <v>1274</v>
      </c>
      <c r="BE75" s="28" t="s">
        <v>1274</v>
      </c>
      <c r="BF75" s="30" t="s">
        <v>1274</v>
      </c>
    </row>
    <row r="76" spans="4:58" x14ac:dyDescent="0.25">
      <c r="D76">
        <v>2</v>
      </c>
      <c r="E76" s="29" t="s">
        <v>905</v>
      </c>
      <c r="F76" s="28" t="s">
        <v>1276</v>
      </c>
      <c r="G76" s="28" t="s">
        <v>1299</v>
      </c>
      <c r="H76" s="28" t="s">
        <v>1274</v>
      </c>
      <c r="I76" s="28" t="s">
        <v>1274</v>
      </c>
      <c r="J76" s="36" t="s">
        <v>1274</v>
      </c>
      <c r="K76" s="29" t="s">
        <v>906</v>
      </c>
      <c r="L76" s="28" t="s">
        <v>1363</v>
      </c>
      <c r="M76" s="28" t="s">
        <v>1286</v>
      </c>
      <c r="N76" s="28" t="s">
        <v>1274</v>
      </c>
      <c r="O76" s="28" t="s">
        <v>1297</v>
      </c>
      <c r="P76" s="36" t="s">
        <v>1274</v>
      </c>
      <c r="Q76" s="29" t="s">
        <v>632</v>
      </c>
      <c r="R76" s="28" t="s">
        <v>1221</v>
      </c>
      <c r="S76" s="28" t="s">
        <v>1378</v>
      </c>
      <c r="T76" s="28" t="s">
        <v>1274</v>
      </c>
      <c r="U76" s="28" t="s">
        <v>1274</v>
      </c>
      <c r="V76" s="36" t="s">
        <v>1297</v>
      </c>
      <c r="W76" s="29" t="s">
        <v>989</v>
      </c>
      <c r="X76" s="28" t="s">
        <v>1364</v>
      </c>
      <c r="Y76" s="28" t="s">
        <v>1275</v>
      </c>
      <c r="Z76" s="28" t="s">
        <v>1274</v>
      </c>
      <c r="AA76" s="28" t="s">
        <v>1274</v>
      </c>
      <c r="AB76" s="36" t="s">
        <v>1274</v>
      </c>
      <c r="AC76" s="29" t="s">
        <v>990</v>
      </c>
      <c r="AD76" s="28" t="s">
        <v>400</v>
      </c>
      <c r="AE76" s="28" t="s">
        <v>1390</v>
      </c>
      <c r="AF76" s="28" t="s">
        <v>1274</v>
      </c>
      <c r="AG76" s="28" t="s">
        <v>1274</v>
      </c>
      <c r="AH76" s="36" t="s">
        <v>1274</v>
      </c>
      <c r="AI76" s="29" t="s">
        <v>991</v>
      </c>
      <c r="AJ76" s="28">
        <v>0</v>
      </c>
      <c r="AK76" s="28" t="s">
        <v>1298</v>
      </c>
      <c r="AL76" s="28" t="s">
        <v>1274</v>
      </c>
      <c r="AM76" s="28" t="s">
        <v>1274</v>
      </c>
      <c r="AN76" s="36" t="s">
        <v>1297</v>
      </c>
      <c r="AO76" s="29" t="s">
        <v>1071</v>
      </c>
      <c r="AP76" s="28" t="s">
        <v>1372</v>
      </c>
      <c r="AQ76" s="28" t="s">
        <v>400</v>
      </c>
      <c r="AR76" s="28" t="s">
        <v>1274</v>
      </c>
      <c r="AS76" s="28" t="s">
        <v>1274</v>
      </c>
      <c r="AT76" s="36" t="s">
        <v>1274</v>
      </c>
      <c r="AU76" s="29" t="s">
        <v>1072</v>
      </c>
      <c r="AV76" s="28" t="s">
        <v>1318</v>
      </c>
      <c r="AW76" s="28" t="s">
        <v>400</v>
      </c>
      <c r="AX76" s="28" t="s">
        <v>1274</v>
      </c>
      <c r="AY76" s="28" t="s">
        <v>1274</v>
      </c>
      <c r="AZ76" s="36" t="s">
        <v>1274</v>
      </c>
      <c r="BA76" s="29" t="s">
        <v>1073</v>
      </c>
      <c r="BB76" s="28">
        <v>0</v>
      </c>
      <c r="BC76" s="28" t="s">
        <v>1408</v>
      </c>
      <c r="BD76" s="28" t="s">
        <v>1274</v>
      </c>
      <c r="BE76" s="28" t="s">
        <v>1297</v>
      </c>
      <c r="BF76" s="30" t="s">
        <v>1297</v>
      </c>
    </row>
    <row r="77" spans="4:58" x14ac:dyDescent="0.25">
      <c r="D77">
        <v>3</v>
      </c>
      <c r="E77" s="29" t="s">
        <v>907</v>
      </c>
      <c r="F77" s="28" t="s">
        <v>1368</v>
      </c>
      <c r="G77" s="28" t="s">
        <v>1300</v>
      </c>
      <c r="H77" s="28" t="s">
        <v>1274</v>
      </c>
      <c r="I77" s="28" t="s">
        <v>1274</v>
      </c>
      <c r="J77" s="36" t="s">
        <v>1297</v>
      </c>
      <c r="K77" s="29" t="s">
        <v>908</v>
      </c>
      <c r="L77" s="28" t="s">
        <v>1221</v>
      </c>
      <c r="M77" s="28" t="s">
        <v>1369</v>
      </c>
      <c r="N77" s="28" t="s">
        <v>1274</v>
      </c>
      <c r="O77" s="28" t="s">
        <v>1274</v>
      </c>
      <c r="P77" s="36" t="s">
        <v>1274</v>
      </c>
      <c r="Q77" s="29" t="s">
        <v>909</v>
      </c>
      <c r="R77" s="28">
        <v>0</v>
      </c>
      <c r="S77" s="28" t="s">
        <v>1350</v>
      </c>
      <c r="T77" s="28" t="s">
        <v>1274</v>
      </c>
      <c r="U77" s="28" t="s">
        <v>1274</v>
      </c>
      <c r="V77" s="36" t="s">
        <v>1274</v>
      </c>
      <c r="W77" s="29" t="s">
        <v>992</v>
      </c>
      <c r="X77" s="28" t="s">
        <v>1221</v>
      </c>
      <c r="Y77" s="28" t="s">
        <v>1283</v>
      </c>
      <c r="Z77" s="28" t="s">
        <v>1274</v>
      </c>
      <c r="AA77" s="28" t="s">
        <v>1274</v>
      </c>
      <c r="AB77" s="36" t="s">
        <v>1274</v>
      </c>
      <c r="AC77" s="29" t="s">
        <v>993</v>
      </c>
      <c r="AD77" s="28">
        <v>0</v>
      </c>
      <c r="AE77" s="28" t="s">
        <v>1375</v>
      </c>
      <c r="AF77" s="28" t="s">
        <v>1274</v>
      </c>
      <c r="AG77" s="28" t="s">
        <v>1274</v>
      </c>
      <c r="AH77" s="36" t="s">
        <v>1274</v>
      </c>
      <c r="AI77" s="29" t="s">
        <v>994</v>
      </c>
      <c r="AJ77" s="28" t="s">
        <v>1318</v>
      </c>
      <c r="AK77" s="28" t="s">
        <v>400</v>
      </c>
      <c r="AL77" s="28" t="s">
        <v>1274</v>
      </c>
      <c r="AM77" s="28" t="s">
        <v>1274</v>
      </c>
      <c r="AN77" s="36" t="s">
        <v>1274</v>
      </c>
      <c r="AO77" s="29" t="s">
        <v>1074</v>
      </c>
      <c r="AP77" s="28" t="s">
        <v>1318</v>
      </c>
      <c r="AQ77" s="28" t="s">
        <v>400</v>
      </c>
      <c r="AR77" s="28" t="s">
        <v>1274</v>
      </c>
      <c r="AS77" s="28" t="s">
        <v>1274</v>
      </c>
      <c r="AT77" s="36" t="s">
        <v>1274</v>
      </c>
      <c r="AU77" s="29" t="s">
        <v>1075</v>
      </c>
      <c r="AV77" s="28" t="s">
        <v>1364</v>
      </c>
      <c r="AW77" s="28" t="s">
        <v>400</v>
      </c>
      <c r="AX77" s="28" t="s">
        <v>1274</v>
      </c>
      <c r="AY77" s="28" t="s">
        <v>1297</v>
      </c>
      <c r="AZ77" s="36" t="s">
        <v>1297</v>
      </c>
      <c r="BA77" s="29" t="s">
        <v>798</v>
      </c>
      <c r="BB77" s="28" t="s">
        <v>1221</v>
      </c>
      <c r="BC77" s="28" t="s">
        <v>400</v>
      </c>
      <c r="BD77" s="28" t="s">
        <v>1274</v>
      </c>
      <c r="BE77" s="28" t="s">
        <v>1274</v>
      </c>
      <c r="BF77" s="30" t="s">
        <v>1274</v>
      </c>
    </row>
    <row r="78" spans="4:58" x14ac:dyDescent="0.25">
      <c r="D78">
        <v>4</v>
      </c>
      <c r="E78" s="29" t="s">
        <v>910</v>
      </c>
      <c r="F78" s="28">
        <v>0</v>
      </c>
      <c r="G78" s="28" t="s">
        <v>1300</v>
      </c>
      <c r="H78" s="28" t="s">
        <v>1274</v>
      </c>
      <c r="I78" s="28" t="s">
        <v>1274</v>
      </c>
      <c r="J78" s="36" t="s">
        <v>1274</v>
      </c>
      <c r="K78" s="29" t="s">
        <v>911</v>
      </c>
      <c r="L78" s="28" t="s">
        <v>1310</v>
      </c>
      <c r="M78" s="28" t="s">
        <v>1283</v>
      </c>
      <c r="N78" s="28" t="s">
        <v>1274</v>
      </c>
      <c r="O78" s="28" t="s">
        <v>1274</v>
      </c>
      <c r="P78" s="36" t="s">
        <v>1274</v>
      </c>
      <c r="Q78" s="29" t="s">
        <v>912</v>
      </c>
      <c r="R78" s="28" t="s">
        <v>400</v>
      </c>
      <c r="S78" s="28" t="s">
        <v>1300</v>
      </c>
      <c r="T78" s="28" t="s">
        <v>1274</v>
      </c>
      <c r="U78" s="28" t="s">
        <v>1274</v>
      </c>
      <c r="V78" s="36" t="s">
        <v>1274</v>
      </c>
      <c r="W78" s="29" t="s">
        <v>995</v>
      </c>
      <c r="X78" s="28">
        <v>0</v>
      </c>
      <c r="Y78" s="28" t="s">
        <v>1369</v>
      </c>
      <c r="Z78" s="28" t="s">
        <v>1274</v>
      </c>
      <c r="AA78" s="28" t="s">
        <v>1297</v>
      </c>
      <c r="AB78" s="36" t="s">
        <v>1297</v>
      </c>
      <c r="AC78" s="29" t="s">
        <v>996</v>
      </c>
      <c r="AD78" s="28">
        <v>0</v>
      </c>
      <c r="AE78" s="28" t="s">
        <v>400</v>
      </c>
      <c r="AF78" s="28" t="s">
        <v>1274</v>
      </c>
      <c r="AG78" s="28" t="s">
        <v>1297</v>
      </c>
      <c r="AH78" s="36" t="s">
        <v>1297</v>
      </c>
      <c r="AI78" s="29" t="s">
        <v>997</v>
      </c>
      <c r="AJ78" s="28">
        <v>0</v>
      </c>
      <c r="AK78" s="28" t="s">
        <v>1301</v>
      </c>
      <c r="AL78" s="28" t="s">
        <v>1274</v>
      </c>
      <c r="AM78" s="28" t="s">
        <v>1274</v>
      </c>
      <c r="AN78" s="36" t="s">
        <v>1274</v>
      </c>
      <c r="AO78" s="29" t="s">
        <v>1076</v>
      </c>
      <c r="AP78" s="28" t="s">
        <v>1398</v>
      </c>
      <c r="AQ78" s="28" t="s">
        <v>1354</v>
      </c>
      <c r="AR78" s="28" t="s">
        <v>1274</v>
      </c>
      <c r="AS78" s="28" t="s">
        <v>1274</v>
      </c>
      <c r="AT78" s="36" t="s">
        <v>1297</v>
      </c>
      <c r="AU78" s="29" t="s">
        <v>1077</v>
      </c>
      <c r="AV78" s="28" t="s">
        <v>1221</v>
      </c>
      <c r="AW78" s="28" t="s">
        <v>1275</v>
      </c>
      <c r="AX78" s="28" t="s">
        <v>1274</v>
      </c>
      <c r="AY78" s="28" t="s">
        <v>1274</v>
      </c>
      <c r="AZ78" s="36" t="s">
        <v>1274</v>
      </c>
      <c r="BA78" s="29" t="s">
        <v>1078</v>
      </c>
      <c r="BB78" s="28">
        <v>0</v>
      </c>
      <c r="BC78" s="28" t="s">
        <v>1275</v>
      </c>
      <c r="BD78" s="28" t="s">
        <v>1274</v>
      </c>
      <c r="BE78" s="28" t="s">
        <v>1297</v>
      </c>
      <c r="BF78" s="30" t="s">
        <v>1297</v>
      </c>
    </row>
    <row r="79" spans="4:58" x14ac:dyDescent="0.25">
      <c r="D79">
        <v>5</v>
      </c>
      <c r="E79" s="29" t="s">
        <v>17</v>
      </c>
      <c r="F79" s="28" t="s">
        <v>1221</v>
      </c>
      <c r="G79" s="28" t="s">
        <v>400</v>
      </c>
      <c r="H79" s="28" t="s">
        <v>1274</v>
      </c>
      <c r="I79" s="28" t="s">
        <v>1274</v>
      </c>
      <c r="J79" s="36" t="s">
        <v>1274</v>
      </c>
      <c r="K79" s="29" t="s">
        <v>768</v>
      </c>
      <c r="L79" s="28" t="s">
        <v>1313</v>
      </c>
      <c r="M79" s="28" t="s">
        <v>1283</v>
      </c>
      <c r="N79" s="28" t="s">
        <v>1274</v>
      </c>
      <c r="O79" s="28" t="s">
        <v>1274</v>
      </c>
      <c r="P79" s="36" t="s">
        <v>1297</v>
      </c>
      <c r="Q79" s="29" t="s">
        <v>913</v>
      </c>
      <c r="R79" s="28" t="s">
        <v>400</v>
      </c>
      <c r="S79" s="28" t="s">
        <v>1300</v>
      </c>
      <c r="T79" s="28" t="s">
        <v>1274</v>
      </c>
      <c r="U79" s="28" t="s">
        <v>1274</v>
      </c>
      <c r="V79" s="36" t="s">
        <v>1274</v>
      </c>
      <c r="W79" s="29" t="s">
        <v>998</v>
      </c>
      <c r="X79" s="28">
        <v>0</v>
      </c>
      <c r="Y79" s="28" t="s">
        <v>1379</v>
      </c>
      <c r="Z79" s="28" t="s">
        <v>1274</v>
      </c>
      <c r="AA79" s="28" t="s">
        <v>1274</v>
      </c>
      <c r="AB79" s="36" t="s">
        <v>1274</v>
      </c>
      <c r="AC79" s="29" t="s">
        <v>999</v>
      </c>
      <c r="AD79" s="28" t="s">
        <v>1313</v>
      </c>
      <c r="AE79" s="28" t="s">
        <v>1300</v>
      </c>
      <c r="AF79" s="28" t="s">
        <v>1274</v>
      </c>
      <c r="AG79" s="28" t="s">
        <v>1274</v>
      </c>
      <c r="AH79" s="36" t="s">
        <v>1297</v>
      </c>
      <c r="AI79" s="29" t="s">
        <v>739</v>
      </c>
      <c r="AJ79" s="28">
        <v>0</v>
      </c>
      <c r="AK79" s="28" t="s">
        <v>1396</v>
      </c>
      <c r="AL79" s="28" t="s">
        <v>1274</v>
      </c>
      <c r="AM79" s="28" t="s">
        <v>1274</v>
      </c>
      <c r="AN79" s="36" t="s">
        <v>1274</v>
      </c>
      <c r="AO79" s="29" t="s">
        <v>1079</v>
      </c>
      <c r="AP79" s="28" t="s">
        <v>1312</v>
      </c>
      <c r="AQ79" s="28" t="s">
        <v>1275</v>
      </c>
      <c r="AR79" s="28" t="s">
        <v>1274</v>
      </c>
      <c r="AS79" s="28" t="s">
        <v>1274</v>
      </c>
      <c r="AT79" s="36" t="s">
        <v>1274</v>
      </c>
      <c r="AU79" s="29" t="s">
        <v>1080</v>
      </c>
      <c r="AV79" s="28" t="s">
        <v>1221</v>
      </c>
      <c r="AW79" s="28" t="s">
        <v>1275</v>
      </c>
      <c r="AX79" s="28" t="s">
        <v>1274</v>
      </c>
      <c r="AY79" s="28" t="s">
        <v>1274</v>
      </c>
      <c r="AZ79" s="36" t="s">
        <v>1274</v>
      </c>
      <c r="BA79" s="29" t="s">
        <v>1081</v>
      </c>
      <c r="BB79" s="28" t="s">
        <v>1221</v>
      </c>
      <c r="BC79" s="28" t="s">
        <v>1275</v>
      </c>
      <c r="BD79" s="28" t="s">
        <v>1274</v>
      </c>
      <c r="BE79" s="28" t="s">
        <v>1274</v>
      </c>
      <c r="BF79" s="30" t="s">
        <v>1297</v>
      </c>
    </row>
    <row r="80" spans="4:58" x14ac:dyDescent="0.25">
      <c r="D80">
        <v>6</v>
      </c>
      <c r="E80" s="29" t="s">
        <v>914</v>
      </c>
      <c r="F80" s="44" t="s">
        <v>1221</v>
      </c>
      <c r="G80" s="44" t="s">
        <v>1301</v>
      </c>
      <c r="H80" s="28" t="s">
        <v>1274</v>
      </c>
      <c r="I80" s="28" t="s">
        <v>1274</v>
      </c>
      <c r="J80" s="36" t="s">
        <v>1274</v>
      </c>
      <c r="K80" s="29" t="s">
        <v>915</v>
      </c>
      <c r="L80" s="28" t="s">
        <v>1364</v>
      </c>
      <c r="M80" s="28" t="s">
        <v>1300</v>
      </c>
      <c r="N80" s="28" t="s">
        <v>1274</v>
      </c>
      <c r="O80" s="28" t="s">
        <v>1274</v>
      </c>
      <c r="P80" s="36" t="s">
        <v>1274</v>
      </c>
      <c r="Q80" s="29" t="s">
        <v>916</v>
      </c>
      <c r="R80" s="28" t="s">
        <v>1221</v>
      </c>
      <c r="S80" s="28" t="s">
        <v>1379</v>
      </c>
      <c r="T80" s="28" t="s">
        <v>1274</v>
      </c>
      <c r="U80" s="28" t="s">
        <v>1274</v>
      </c>
      <c r="V80" s="36" t="s">
        <v>1274</v>
      </c>
      <c r="W80" s="29" t="s">
        <v>1000</v>
      </c>
      <c r="X80" s="28" t="s">
        <v>1313</v>
      </c>
      <c r="Y80" s="28" t="s">
        <v>400</v>
      </c>
      <c r="Z80" s="28" t="s">
        <v>1274</v>
      </c>
      <c r="AA80" s="28" t="s">
        <v>1274</v>
      </c>
      <c r="AB80" s="36" t="s">
        <v>1297</v>
      </c>
      <c r="AC80" s="29" t="s">
        <v>733</v>
      </c>
      <c r="AD80" s="28" t="s">
        <v>1310</v>
      </c>
      <c r="AE80" s="28" t="s">
        <v>1275</v>
      </c>
      <c r="AF80" s="28" t="s">
        <v>1274</v>
      </c>
      <c r="AG80" s="28" t="s">
        <v>1274</v>
      </c>
      <c r="AH80" s="36" t="s">
        <v>1274</v>
      </c>
      <c r="AI80" s="29" t="s">
        <v>1001</v>
      </c>
      <c r="AJ80" s="28" t="s">
        <v>1364</v>
      </c>
      <c r="AK80" s="28" t="s">
        <v>1275</v>
      </c>
      <c r="AL80" s="28" t="s">
        <v>1274</v>
      </c>
      <c r="AM80" s="28" t="s">
        <v>1274</v>
      </c>
      <c r="AN80" s="36" t="s">
        <v>1274</v>
      </c>
      <c r="AO80" s="29" t="s">
        <v>1082</v>
      </c>
      <c r="AP80" s="28" t="s">
        <v>1221</v>
      </c>
      <c r="AQ80" s="28" t="s">
        <v>400</v>
      </c>
      <c r="AR80" s="28" t="s">
        <v>1274</v>
      </c>
      <c r="AS80" s="28" t="s">
        <v>1297</v>
      </c>
      <c r="AT80" s="36" t="s">
        <v>1297</v>
      </c>
      <c r="AU80" s="29" t="s">
        <v>1083</v>
      </c>
      <c r="AV80" s="28" t="s">
        <v>1221</v>
      </c>
      <c r="AW80" s="28" t="s">
        <v>1404</v>
      </c>
      <c r="AX80" s="28" t="s">
        <v>1274</v>
      </c>
      <c r="AY80" s="28" t="s">
        <v>1297</v>
      </c>
      <c r="AZ80" s="36" t="s">
        <v>1297</v>
      </c>
      <c r="BA80" s="29" t="s">
        <v>1084</v>
      </c>
      <c r="BB80" s="28" t="s">
        <v>1221</v>
      </c>
      <c r="BC80" s="28" t="s">
        <v>1275</v>
      </c>
      <c r="BD80" s="28" t="s">
        <v>1274</v>
      </c>
      <c r="BE80" s="28" t="s">
        <v>1274</v>
      </c>
      <c r="BF80" s="30" t="s">
        <v>1297</v>
      </c>
    </row>
    <row r="81" spans="4:58" x14ac:dyDescent="0.25">
      <c r="D81">
        <v>7</v>
      </c>
      <c r="E81" s="29" t="s">
        <v>18</v>
      </c>
      <c r="F81" s="28">
        <v>0</v>
      </c>
      <c r="G81" s="28" t="s">
        <v>1283</v>
      </c>
      <c r="H81" s="28" t="s">
        <v>1274</v>
      </c>
      <c r="I81" s="28" t="s">
        <v>1274</v>
      </c>
      <c r="J81" s="36" t="s">
        <v>1297</v>
      </c>
      <c r="K81" s="29" t="s">
        <v>917</v>
      </c>
      <c r="L81" s="28" t="s">
        <v>1312</v>
      </c>
      <c r="M81" s="28" t="s">
        <v>400</v>
      </c>
      <c r="N81" s="28" t="s">
        <v>1274</v>
      </c>
      <c r="O81" s="28" t="s">
        <v>1274</v>
      </c>
      <c r="P81" s="36" t="s">
        <v>1274</v>
      </c>
      <c r="Q81" s="29" t="s">
        <v>673</v>
      </c>
      <c r="R81" s="28" t="s">
        <v>1321</v>
      </c>
      <c r="S81" s="28" t="s">
        <v>1275</v>
      </c>
      <c r="T81" s="28" t="s">
        <v>1274</v>
      </c>
      <c r="U81" s="28" t="s">
        <v>1274</v>
      </c>
      <c r="V81" s="36" t="s">
        <v>1297</v>
      </c>
      <c r="W81" s="29" t="s">
        <v>737</v>
      </c>
      <c r="X81" s="28" t="s">
        <v>1321</v>
      </c>
      <c r="Y81" s="28" t="s">
        <v>1379</v>
      </c>
      <c r="Z81" s="28" t="s">
        <v>1274</v>
      </c>
      <c r="AA81" s="28" t="s">
        <v>1297</v>
      </c>
      <c r="AB81" s="36" t="s">
        <v>1297</v>
      </c>
      <c r="AC81" s="29" t="s">
        <v>1002</v>
      </c>
      <c r="AD81" s="28" t="s">
        <v>1310</v>
      </c>
      <c r="AE81" s="28" t="s">
        <v>1298</v>
      </c>
      <c r="AF81" s="28" t="s">
        <v>1274</v>
      </c>
      <c r="AG81" s="28" t="s">
        <v>1274</v>
      </c>
      <c r="AH81" s="36" t="s">
        <v>1274</v>
      </c>
      <c r="AI81" s="29" t="s">
        <v>1003</v>
      </c>
      <c r="AJ81" s="28">
        <v>0</v>
      </c>
      <c r="AK81" s="28" t="s">
        <v>1375</v>
      </c>
      <c r="AL81" s="28" t="s">
        <v>1274</v>
      </c>
      <c r="AM81" s="28" t="s">
        <v>1274</v>
      </c>
      <c r="AN81" s="36" t="s">
        <v>1297</v>
      </c>
      <c r="AO81" s="29" t="s">
        <v>1085</v>
      </c>
      <c r="AP81" s="28">
        <v>0</v>
      </c>
      <c r="AQ81" s="28" t="s">
        <v>1383</v>
      </c>
      <c r="AR81" s="28" t="s">
        <v>1274</v>
      </c>
      <c r="AS81" s="28" t="s">
        <v>1274</v>
      </c>
      <c r="AT81" s="36" t="s">
        <v>1274</v>
      </c>
      <c r="AU81" s="29" t="s">
        <v>1086</v>
      </c>
      <c r="AV81" s="28" t="s">
        <v>1318</v>
      </c>
      <c r="AW81" s="28" t="s">
        <v>1275</v>
      </c>
      <c r="AX81" s="28" t="s">
        <v>1274</v>
      </c>
      <c r="AY81" s="28" t="s">
        <v>1274</v>
      </c>
      <c r="AZ81" s="36" t="s">
        <v>1274</v>
      </c>
      <c r="BA81" s="29" t="s">
        <v>1087</v>
      </c>
      <c r="BB81" s="28">
        <v>0</v>
      </c>
      <c r="BC81" s="28" t="s">
        <v>1298</v>
      </c>
      <c r="BD81" s="28" t="s">
        <v>1274</v>
      </c>
      <c r="BE81" s="28" t="s">
        <v>1274</v>
      </c>
      <c r="BF81" s="30" t="s">
        <v>1274</v>
      </c>
    </row>
    <row r="82" spans="4:58" x14ac:dyDescent="0.25">
      <c r="D82">
        <v>8</v>
      </c>
      <c r="E82" s="29" t="s">
        <v>918</v>
      </c>
      <c r="F82" s="28" t="s">
        <v>1277</v>
      </c>
      <c r="G82" s="28" t="s">
        <v>400</v>
      </c>
      <c r="H82" s="28" t="s">
        <v>1274</v>
      </c>
      <c r="I82" s="28" t="s">
        <v>1274</v>
      </c>
      <c r="J82" s="36" t="s">
        <v>1297</v>
      </c>
      <c r="K82" s="29" t="s">
        <v>179</v>
      </c>
      <c r="L82" s="28" t="s">
        <v>1221</v>
      </c>
      <c r="M82" s="28" t="s">
        <v>1350</v>
      </c>
      <c r="N82" s="28" t="s">
        <v>1274</v>
      </c>
      <c r="O82" s="28" t="s">
        <v>1274</v>
      </c>
      <c r="P82" s="36" t="s">
        <v>1274</v>
      </c>
      <c r="Q82" s="29" t="s">
        <v>919</v>
      </c>
      <c r="R82" s="28" t="s">
        <v>1221</v>
      </c>
      <c r="S82" s="28" t="s">
        <v>1284</v>
      </c>
      <c r="T82" s="28" t="s">
        <v>1274</v>
      </c>
      <c r="U82" s="28" t="s">
        <v>1274</v>
      </c>
      <c r="V82" s="36" t="s">
        <v>1274</v>
      </c>
      <c r="W82" s="29" t="s">
        <v>1004</v>
      </c>
      <c r="X82" s="28">
        <v>0</v>
      </c>
      <c r="Y82" s="28" t="s">
        <v>1375</v>
      </c>
      <c r="Z82" s="28" t="s">
        <v>1274</v>
      </c>
      <c r="AA82" s="28" t="s">
        <v>1297</v>
      </c>
      <c r="AB82" s="36" t="s">
        <v>1274</v>
      </c>
      <c r="AC82" s="29" t="s">
        <v>1005</v>
      </c>
      <c r="AD82" s="28" t="s">
        <v>1318</v>
      </c>
      <c r="AE82" s="28" t="s">
        <v>1286</v>
      </c>
      <c r="AF82" s="28" t="s">
        <v>1274</v>
      </c>
      <c r="AG82" s="28" t="s">
        <v>1274</v>
      </c>
      <c r="AH82" s="36" t="s">
        <v>1297</v>
      </c>
      <c r="AI82" s="29" t="s">
        <v>1006</v>
      </c>
      <c r="AJ82" s="28" t="s">
        <v>1391</v>
      </c>
      <c r="AK82" s="28" t="s">
        <v>1375</v>
      </c>
      <c r="AL82" s="28" t="s">
        <v>1274</v>
      </c>
      <c r="AM82" s="28" t="s">
        <v>1274</v>
      </c>
      <c r="AN82" s="36" t="s">
        <v>1274</v>
      </c>
      <c r="AO82" s="29" t="s">
        <v>1088</v>
      </c>
      <c r="AP82" s="28" t="s">
        <v>1312</v>
      </c>
      <c r="AQ82" s="28" t="s">
        <v>1300</v>
      </c>
      <c r="AR82" s="28" t="s">
        <v>1274</v>
      </c>
      <c r="AS82" s="28" t="s">
        <v>1274</v>
      </c>
      <c r="AT82" s="36" t="s">
        <v>1274</v>
      </c>
      <c r="AU82" s="29" t="s">
        <v>1089</v>
      </c>
      <c r="AV82" s="28" t="s">
        <v>1310</v>
      </c>
      <c r="AW82" s="28" t="s">
        <v>400</v>
      </c>
      <c r="AX82" s="28" t="s">
        <v>1274</v>
      </c>
      <c r="AY82" s="28" t="s">
        <v>1274</v>
      </c>
      <c r="AZ82" s="36" t="s">
        <v>1274</v>
      </c>
      <c r="BA82" s="29" t="s">
        <v>1090</v>
      </c>
      <c r="BB82" s="28" t="s">
        <v>1389</v>
      </c>
      <c r="BC82" s="28" t="s">
        <v>1409</v>
      </c>
      <c r="BD82" s="28" t="s">
        <v>1274</v>
      </c>
      <c r="BE82" s="28" t="s">
        <v>1274</v>
      </c>
      <c r="BF82" s="30" t="s">
        <v>1274</v>
      </c>
    </row>
    <row r="83" spans="4:58" x14ac:dyDescent="0.25">
      <c r="D83">
        <v>9</v>
      </c>
      <c r="E83" s="29" t="s">
        <v>920</v>
      </c>
      <c r="F83" s="28" t="s">
        <v>1281</v>
      </c>
      <c r="G83" s="28" t="s">
        <v>1284</v>
      </c>
      <c r="H83" s="28" t="s">
        <v>1274</v>
      </c>
      <c r="I83" s="28" t="s">
        <v>1297</v>
      </c>
      <c r="J83" s="36" t="s">
        <v>1274</v>
      </c>
      <c r="K83" s="29" t="s">
        <v>222</v>
      </c>
      <c r="L83" s="28" t="s">
        <v>1318</v>
      </c>
      <c r="M83" s="28" t="s">
        <v>1300</v>
      </c>
      <c r="N83" s="28" t="s">
        <v>1274</v>
      </c>
      <c r="O83" s="28" t="s">
        <v>1274</v>
      </c>
      <c r="P83" s="36" t="s">
        <v>1274</v>
      </c>
      <c r="Q83" s="29" t="s">
        <v>921</v>
      </c>
      <c r="R83" s="28" t="s">
        <v>1373</v>
      </c>
      <c r="S83" s="28" t="s">
        <v>400</v>
      </c>
      <c r="T83" s="28" t="s">
        <v>1274</v>
      </c>
      <c r="U83" s="28" t="s">
        <v>1274</v>
      </c>
      <c r="V83" s="36" t="s">
        <v>1274</v>
      </c>
      <c r="W83" s="29" t="s">
        <v>639</v>
      </c>
      <c r="X83" s="28" t="s">
        <v>1221</v>
      </c>
      <c r="Y83" s="28" t="s">
        <v>1275</v>
      </c>
      <c r="Z83" s="28" t="s">
        <v>1274</v>
      </c>
      <c r="AA83" s="28" t="s">
        <v>1297</v>
      </c>
      <c r="AB83" s="36" t="s">
        <v>1297</v>
      </c>
      <c r="AC83" s="29" t="s">
        <v>1007</v>
      </c>
      <c r="AD83" s="28">
        <v>0</v>
      </c>
      <c r="AE83" s="28" t="s">
        <v>1298</v>
      </c>
      <c r="AF83" s="28" t="s">
        <v>1274</v>
      </c>
      <c r="AG83" s="28" t="s">
        <v>1274</v>
      </c>
      <c r="AH83" s="36" t="s">
        <v>1274</v>
      </c>
      <c r="AI83" s="29" t="s">
        <v>1008</v>
      </c>
      <c r="AJ83" s="28" t="s">
        <v>1221</v>
      </c>
      <c r="AK83" s="28" t="s">
        <v>400</v>
      </c>
      <c r="AL83" s="28" t="s">
        <v>1274</v>
      </c>
      <c r="AM83" s="28" t="s">
        <v>1274</v>
      </c>
      <c r="AN83" s="36" t="s">
        <v>1274</v>
      </c>
      <c r="AO83" s="29" t="s">
        <v>1091</v>
      </c>
      <c r="AP83" s="28" t="s">
        <v>1364</v>
      </c>
      <c r="AQ83" s="28" t="s">
        <v>1347</v>
      </c>
      <c r="AR83" s="28" t="s">
        <v>1274</v>
      </c>
      <c r="AS83" s="28" t="s">
        <v>1274</v>
      </c>
      <c r="AT83" s="36" t="s">
        <v>1274</v>
      </c>
      <c r="AU83" s="29" t="s">
        <v>1092</v>
      </c>
      <c r="AV83" s="28" t="s">
        <v>1221</v>
      </c>
      <c r="AW83" s="28" t="s">
        <v>1298</v>
      </c>
      <c r="AX83" s="28" t="s">
        <v>1274</v>
      </c>
      <c r="AY83" s="28" t="s">
        <v>1274</v>
      </c>
      <c r="AZ83" s="36" t="s">
        <v>1274</v>
      </c>
      <c r="BA83" s="29" t="s">
        <v>1093</v>
      </c>
      <c r="BB83" s="28" t="s">
        <v>1364</v>
      </c>
      <c r="BC83" s="28" t="s">
        <v>1300</v>
      </c>
      <c r="BD83" s="28" t="s">
        <v>1274</v>
      </c>
      <c r="BE83" s="28" t="s">
        <v>1274</v>
      </c>
      <c r="BF83" s="30" t="s">
        <v>1274</v>
      </c>
    </row>
    <row r="84" spans="4:58" x14ac:dyDescent="0.25">
      <c r="D84">
        <v>10</v>
      </c>
      <c r="E84" s="29" t="s">
        <v>922</v>
      </c>
      <c r="F84" s="28" t="s">
        <v>1221</v>
      </c>
      <c r="G84" s="28" t="s">
        <v>1283</v>
      </c>
      <c r="H84" s="28" t="s">
        <v>1274</v>
      </c>
      <c r="I84" s="28" t="s">
        <v>1274</v>
      </c>
      <c r="J84" s="36" t="s">
        <v>1274</v>
      </c>
      <c r="K84" s="29" t="s">
        <v>923</v>
      </c>
      <c r="L84" s="28" t="s">
        <v>1313</v>
      </c>
      <c r="M84" s="28" t="s">
        <v>1275</v>
      </c>
      <c r="N84" s="28" t="s">
        <v>1274</v>
      </c>
      <c r="O84" s="28" t="s">
        <v>1274</v>
      </c>
      <c r="P84" s="36" t="s">
        <v>1274</v>
      </c>
      <c r="Q84" s="29" t="s">
        <v>924</v>
      </c>
      <c r="R84" s="28" t="s">
        <v>1374</v>
      </c>
      <c r="S84" s="28" t="s">
        <v>1375</v>
      </c>
      <c r="T84" s="28" t="s">
        <v>1274</v>
      </c>
      <c r="U84" s="28" t="s">
        <v>1274</v>
      </c>
      <c r="V84" s="36" t="s">
        <v>1274</v>
      </c>
      <c r="W84" s="29" t="s">
        <v>1009</v>
      </c>
      <c r="X84" s="28" t="s">
        <v>1364</v>
      </c>
      <c r="Y84" s="28" t="s">
        <v>1275</v>
      </c>
      <c r="Z84" s="28" t="s">
        <v>1274</v>
      </c>
      <c r="AA84" s="28" t="s">
        <v>1297</v>
      </c>
      <c r="AB84" s="36" t="s">
        <v>1297</v>
      </c>
      <c r="AC84" s="29" t="s">
        <v>1010</v>
      </c>
      <c r="AD84" s="28" t="s">
        <v>400</v>
      </c>
      <c r="AE84" s="28" t="s">
        <v>400</v>
      </c>
      <c r="AF84" s="28" t="s">
        <v>1274</v>
      </c>
      <c r="AG84" s="28" t="s">
        <v>1274</v>
      </c>
      <c r="AH84" s="36" t="s">
        <v>1274</v>
      </c>
      <c r="AI84" s="29" t="s">
        <v>1011</v>
      </c>
      <c r="AJ84" s="28">
        <v>0</v>
      </c>
      <c r="AK84" s="28" t="s">
        <v>400</v>
      </c>
      <c r="AL84" s="28" t="s">
        <v>1274</v>
      </c>
      <c r="AM84" s="28" t="s">
        <v>1297</v>
      </c>
      <c r="AN84" s="36" t="s">
        <v>1297</v>
      </c>
      <c r="AO84" s="29" t="s">
        <v>1094</v>
      </c>
      <c r="AP84" s="28" t="s">
        <v>1310</v>
      </c>
      <c r="AQ84" s="28" t="s">
        <v>400</v>
      </c>
      <c r="AR84" s="28" t="s">
        <v>1274</v>
      </c>
      <c r="AS84" s="28" t="s">
        <v>1274</v>
      </c>
      <c r="AT84" s="36" t="s">
        <v>1274</v>
      </c>
      <c r="AU84" s="29" t="s">
        <v>1095</v>
      </c>
      <c r="AV84" s="28" t="s">
        <v>1325</v>
      </c>
      <c r="AW84" s="28" t="s">
        <v>1405</v>
      </c>
      <c r="AX84" s="28" t="s">
        <v>1274</v>
      </c>
      <c r="AY84" s="28" t="s">
        <v>1274</v>
      </c>
      <c r="AZ84" s="36" t="s">
        <v>1274</v>
      </c>
      <c r="BA84" s="29" t="s">
        <v>1096</v>
      </c>
      <c r="BB84" s="28" t="s">
        <v>1407</v>
      </c>
      <c r="BC84" s="28" t="s">
        <v>1275</v>
      </c>
      <c r="BD84" s="28" t="s">
        <v>1274</v>
      </c>
      <c r="BE84" s="28" t="s">
        <v>1297</v>
      </c>
      <c r="BF84" s="30" t="s">
        <v>1297</v>
      </c>
    </row>
    <row r="85" spans="4:58" x14ac:dyDescent="0.25">
      <c r="D85">
        <v>11</v>
      </c>
      <c r="E85" s="29" t="s">
        <v>925</v>
      </c>
      <c r="F85" s="28" t="s">
        <v>1221</v>
      </c>
      <c r="G85" s="28" t="s">
        <v>1285</v>
      </c>
      <c r="H85" s="28" t="s">
        <v>1274</v>
      </c>
      <c r="I85" s="28" t="s">
        <v>1274</v>
      </c>
      <c r="J85" s="36" t="s">
        <v>1274</v>
      </c>
      <c r="K85" s="29" t="s">
        <v>926</v>
      </c>
      <c r="L85" s="28">
        <v>0</v>
      </c>
      <c r="M85" s="28" t="s">
        <v>1286</v>
      </c>
      <c r="N85" s="28" t="s">
        <v>1274</v>
      </c>
      <c r="O85" s="28" t="s">
        <v>1274</v>
      </c>
      <c r="P85" s="36" t="s">
        <v>1297</v>
      </c>
      <c r="Q85" s="29" t="s">
        <v>927</v>
      </c>
      <c r="R85" s="28" t="s">
        <v>1221</v>
      </c>
      <c r="S85" s="28" t="s">
        <v>1380</v>
      </c>
      <c r="T85" s="28" t="s">
        <v>1274</v>
      </c>
      <c r="U85" s="28" t="s">
        <v>1274</v>
      </c>
      <c r="V85" s="36" t="s">
        <v>1274</v>
      </c>
      <c r="W85" s="29" t="s">
        <v>1012</v>
      </c>
      <c r="X85" s="28">
        <v>0</v>
      </c>
      <c r="Y85" s="28" t="s">
        <v>400</v>
      </c>
      <c r="Z85" s="28" t="s">
        <v>1274</v>
      </c>
      <c r="AA85" s="28" t="s">
        <v>1274</v>
      </c>
      <c r="AB85" s="36" t="s">
        <v>1274</v>
      </c>
      <c r="AC85" s="29" t="s">
        <v>1013</v>
      </c>
      <c r="AD85" s="28" t="s">
        <v>1318</v>
      </c>
      <c r="AE85" s="28" t="s">
        <v>1382</v>
      </c>
      <c r="AF85" s="28" t="s">
        <v>1274</v>
      </c>
      <c r="AG85" s="28" t="s">
        <v>1274</v>
      </c>
      <c r="AH85" s="36" t="s">
        <v>1274</v>
      </c>
      <c r="AI85" s="29" t="s">
        <v>1014</v>
      </c>
      <c r="AJ85" s="28" t="s">
        <v>1310</v>
      </c>
      <c r="AK85" s="28" t="s">
        <v>1275</v>
      </c>
      <c r="AL85" s="28" t="s">
        <v>1274</v>
      </c>
      <c r="AM85" s="28" t="s">
        <v>1274</v>
      </c>
      <c r="AN85" s="36" t="s">
        <v>1274</v>
      </c>
      <c r="AO85" s="29" t="s">
        <v>1097</v>
      </c>
      <c r="AP85" s="28" t="s">
        <v>1388</v>
      </c>
      <c r="AQ85" s="28" t="s">
        <v>1378</v>
      </c>
      <c r="AR85" s="28" t="s">
        <v>1274</v>
      </c>
      <c r="AS85" s="28" t="s">
        <v>1274</v>
      </c>
      <c r="AT85" s="36" t="s">
        <v>1274</v>
      </c>
      <c r="AU85" s="29" t="s">
        <v>1098</v>
      </c>
      <c r="AV85" s="28" t="s">
        <v>1364</v>
      </c>
      <c r="AW85" s="28" t="s">
        <v>400</v>
      </c>
      <c r="AX85" s="28" t="s">
        <v>1274</v>
      </c>
      <c r="AY85" s="28" t="s">
        <v>1274</v>
      </c>
      <c r="AZ85" s="36" t="s">
        <v>1297</v>
      </c>
      <c r="BA85" s="29" t="s">
        <v>1099</v>
      </c>
      <c r="BB85" s="28" t="s">
        <v>1374</v>
      </c>
      <c r="BC85" s="28" t="s">
        <v>1375</v>
      </c>
      <c r="BD85" s="28" t="s">
        <v>1274</v>
      </c>
      <c r="BE85" s="28" t="s">
        <v>1274</v>
      </c>
      <c r="BF85" s="30" t="s">
        <v>1297</v>
      </c>
    </row>
    <row r="86" spans="4:58" x14ac:dyDescent="0.25">
      <c r="D86">
        <v>12</v>
      </c>
      <c r="E86" s="29" t="s">
        <v>676</v>
      </c>
      <c r="F86" s="28">
        <v>0</v>
      </c>
      <c r="G86" s="28" t="s">
        <v>1286</v>
      </c>
      <c r="H86" s="28" t="s">
        <v>1274</v>
      </c>
      <c r="I86" s="28" t="s">
        <v>1274</v>
      </c>
      <c r="J86" s="36" t="s">
        <v>1297</v>
      </c>
      <c r="K86" s="29" t="s">
        <v>649</v>
      </c>
      <c r="L86" s="28" t="s">
        <v>1221</v>
      </c>
      <c r="M86" s="28" t="s">
        <v>400</v>
      </c>
      <c r="N86" s="28" t="s">
        <v>1274</v>
      </c>
      <c r="O86" s="28" t="s">
        <v>1274</v>
      </c>
      <c r="P86" s="36" t="s">
        <v>1274</v>
      </c>
      <c r="Q86" s="29" t="s">
        <v>928</v>
      </c>
      <c r="R86" s="28">
        <v>0</v>
      </c>
      <c r="S86" s="28" t="s">
        <v>1300</v>
      </c>
      <c r="T86" s="28" t="s">
        <v>1274</v>
      </c>
      <c r="U86" s="28" t="s">
        <v>1274</v>
      </c>
      <c r="V86" s="36" t="s">
        <v>1297</v>
      </c>
      <c r="W86" s="29" t="s">
        <v>678</v>
      </c>
      <c r="X86" s="28" t="s">
        <v>1310</v>
      </c>
      <c r="Y86" s="28" t="s">
        <v>1300</v>
      </c>
      <c r="Z86" s="28" t="s">
        <v>1274</v>
      </c>
      <c r="AA86" s="28" t="s">
        <v>1297</v>
      </c>
      <c r="AB86" s="36" t="s">
        <v>1297</v>
      </c>
      <c r="AC86" s="29" t="s">
        <v>1015</v>
      </c>
      <c r="AD86" s="28">
        <v>0</v>
      </c>
      <c r="AE86" s="28" t="s">
        <v>400</v>
      </c>
      <c r="AF86" s="28" t="s">
        <v>1274</v>
      </c>
      <c r="AG86" s="28" t="s">
        <v>1297</v>
      </c>
      <c r="AH86" s="36" t="s">
        <v>1297</v>
      </c>
      <c r="AI86" s="29" t="s">
        <v>1016</v>
      </c>
      <c r="AJ86" s="28">
        <v>0</v>
      </c>
      <c r="AK86" s="28" t="s">
        <v>1300</v>
      </c>
      <c r="AL86" s="28" t="s">
        <v>1274</v>
      </c>
      <c r="AM86" s="28" t="s">
        <v>1274</v>
      </c>
      <c r="AN86" s="36" t="s">
        <v>1274</v>
      </c>
      <c r="AO86" s="29" t="s">
        <v>1100</v>
      </c>
      <c r="AP86" s="28" t="s">
        <v>1399</v>
      </c>
      <c r="AQ86" s="28" t="s">
        <v>1375</v>
      </c>
      <c r="AR86" s="28" t="s">
        <v>1274</v>
      </c>
      <c r="AS86" s="28" t="s">
        <v>1274</v>
      </c>
      <c r="AT86" s="36" t="s">
        <v>1274</v>
      </c>
      <c r="AU86" s="29" t="s">
        <v>1101</v>
      </c>
      <c r="AV86" s="28" t="s">
        <v>1364</v>
      </c>
      <c r="AW86" s="28" t="s">
        <v>400</v>
      </c>
      <c r="AX86" s="28" t="s">
        <v>1274</v>
      </c>
      <c r="AY86" s="28" t="s">
        <v>1297</v>
      </c>
      <c r="AZ86" s="36" t="s">
        <v>1297</v>
      </c>
      <c r="BA86" s="29" t="s">
        <v>819</v>
      </c>
      <c r="BB86" s="28" t="s">
        <v>1312</v>
      </c>
      <c r="BC86" s="28" t="s">
        <v>400</v>
      </c>
      <c r="BD86" s="28" t="s">
        <v>1274</v>
      </c>
      <c r="BE86" s="28" t="s">
        <v>1274</v>
      </c>
      <c r="BF86" s="30" t="s">
        <v>1297</v>
      </c>
    </row>
    <row r="87" spans="4:58" x14ac:dyDescent="0.25">
      <c r="D87">
        <v>13</v>
      </c>
      <c r="E87" s="29" t="s">
        <v>929</v>
      </c>
      <c r="F87" s="28" t="s">
        <v>1278</v>
      </c>
      <c r="G87" s="28" t="s">
        <v>1287</v>
      </c>
      <c r="H87" s="28" t="s">
        <v>1274</v>
      </c>
      <c r="I87" s="28" t="s">
        <v>1274</v>
      </c>
      <c r="J87" s="36" t="s">
        <v>1274</v>
      </c>
      <c r="K87" s="29" t="s">
        <v>930</v>
      </c>
      <c r="L87" s="28" t="s">
        <v>1310</v>
      </c>
      <c r="M87" s="28" t="s">
        <v>400</v>
      </c>
      <c r="N87" s="28" t="s">
        <v>1274</v>
      </c>
      <c r="O87" s="28" t="s">
        <v>1274</v>
      </c>
      <c r="P87" s="36" t="s">
        <v>1274</v>
      </c>
      <c r="Q87" s="29" t="s">
        <v>931</v>
      </c>
      <c r="R87" s="28" t="s">
        <v>1221</v>
      </c>
      <c r="S87" s="28" t="s">
        <v>400</v>
      </c>
      <c r="T87" s="28" t="s">
        <v>1274</v>
      </c>
      <c r="U87" s="28" t="s">
        <v>1274</v>
      </c>
      <c r="V87" s="36" t="s">
        <v>1274</v>
      </c>
      <c r="W87" s="29" t="s">
        <v>1017</v>
      </c>
      <c r="X87" s="28" t="s">
        <v>1312</v>
      </c>
      <c r="Y87" s="28" t="s">
        <v>1300</v>
      </c>
      <c r="Z87" s="28" t="s">
        <v>1274</v>
      </c>
      <c r="AA87" s="28" t="s">
        <v>1274</v>
      </c>
      <c r="AB87" s="36" t="s">
        <v>1274</v>
      </c>
      <c r="AC87" s="29" t="s">
        <v>1018</v>
      </c>
      <c r="AD87" s="28" t="s">
        <v>1364</v>
      </c>
      <c r="AE87" s="28" t="s">
        <v>1275</v>
      </c>
      <c r="AF87" s="28" t="s">
        <v>1274</v>
      </c>
      <c r="AG87" s="28" t="s">
        <v>1274</v>
      </c>
      <c r="AH87" s="36" t="s">
        <v>1274</v>
      </c>
      <c r="AI87" s="29" t="s">
        <v>1019</v>
      </c>
      <c r="AJ87" s="28" t="s">
        <v>1310</v>
      </c>
      <c r="AK87" s="28" t="s">
        <v>1300</v>
      </c>
      <c r="AL87" s="28" t="s">
        <v>1274</v>
      </c>
      <c r="AM87" s="28" t="s">
        <v>1274</v>
      </c>
      <c r="AN87" s="36" t="s">
        <v>1274</v>
      </c>
      <c r="AO87" s="29" t="s">
        <v>1102</v>
      </c>
      <c r="AP87" s="28" t="s">
        <v>1221</v>
      </c>
      <c r="AQ87" s="28" t="s">
        <v>1401</v>
      </c>
      <c r="AR87" s="28" t="s">
        <v>1274</v>
      </c>
      <c r="AS87" s="28" t="s">
        <v>1274</v>
      </c>
      <c r="AT87" s="36" t="s">
        <v>1274</v>
      </c>
      <c r="AU87" s="29" t="s">
        <v>1103</v>
      </c>
      <c r="AV87" s="28" t="s">
        <v>1312</v>
      </c>
      <c r="AW87" s="28" t="s">
        <v>1406</v>
      </c>
      <c r="AX87" s="28" t="s">
        <v>1274</v>
      </c>
      <c r="AY87" s="28" t="s">
        <v>1274</v>
      </c>
      <c r="AZ87" s="36" t="s">
        <v>1274</v>
      </c>
      <c r="BA87" s="29" t="s">
        <v>822</v>
      </c>
      <c r="BB87" s="28" t="s">
        <v>1221</v>
      </c>
      <c r="BC87" s="28" t="s">
        <v>400</v>
      </c>
      <c r="BD87" s="28" t="s">
        <v>1274</v>
      </c>
      <c r="BE87" s="28" t="s">
        <v>1274</v>
      </c>
      <c r="BF87" s="30" t="s">
        <v>1297</v>
      </c>
    </row>
    <row r="88" spans="4:58" x14ac:dyDescent="0.25">
      <c r="D88">
        <v>14</v>
      </c>
      <c r="E88" s="29" t="s">
        <v>932</v>
      </c>
      <c r="F88" s="28" t="s">
        <v>1276</v>
      </c>
      <c r="G88" s="28" t="s">
        <v>1288</v>
      </c>
      <c r="H88" s="28" t="s">
        <v>1274</v>
      </c>
      <c r="I88" s="28" t="s">
        <v>1274</v>
      </c>
      <c r="J88" s="36" t="s">
        <v>1274</v>
      </c>
      <c r="K88" s="29" t="s">
        <v>933</v>
      </c>
      <c r="L88" s="28" t="s">
        <v>1333</v>
      </c>
      <c r="M88" s="28" t="s">
        <v>1298</v>
      </c>
      <c r="N88" s="28" t="s">
        <v>1274</v>
      </c>
      <c r="O88" s="28" t="s">
        <v>1274</v>
      </c>
      <c r="P88" s="36" t="s">
        <v>1274</v>
      </c>
      <c r="Q88" s="29" t="s">
        <v>934</v>
      </c>
      <c r="R88" s="28" t="s">
        <v>1312</v>
      </c>
      <c r="S88" s="28" t="s">
        <v>1379</v>
      </c>
      <c r="T88" s="28" t="s">
        <v>1274</v>
      </c>
      <c r="U88" s="28" t="s">
        <v>1274</v>
      </c>
      <c r="V88" s="36" t="s">
        <v>1274</v>
      </c>
      <c r="W88" s="29" t="s">
        <v>1020</v>
      </c>
      <c r="X88" s="28">
        <v>0</v>
      </c>
      <c r="Y88" s="28" t="s">
        <v>400</v>
      </c>
      <c r="Z88" s="28" t="s">
        <v>1274</v>
      </c>
      <c r="AA88" s="28" t="s">
        <v>1297</v>
      </c>
      <c r="AB88" s="36" t="s">
        <v>1297</v>
      </c>
      <c r="AC88" s="29" t="s">
        <v>1021</v>
      </c>
      <c r="AD88" s="28" t="s">
        <v>1313</v>
      </c>
      <c r="AE88" s="28" t="s">
        <v>1298</v>
      </c>
      <c r="AF88" s="28" t="s">
        <v>1274</v>
      </c>
      <c r="AG88" s="28" t="s">
        <v>1274</v>
      </c>
      <c r="AH88" s="36" t="s">
        <v>1274</v>
      </c>
      <c r="AI88" s="29" t="s">
        <v>1022</v>
      </c>
      <c r="AJ88" s="28" t="s">
        <v>1310</v>
      </c>
      <c r="AK88" s="28" t="s">
        <v>1375</v>
      </c>
      <c r="AL88" s="28" t="s">
        <v>1274</v>
      </c>
      <c r="AM88" s="28" t="s">
        <v>1274</v>
      </c>
      <c r="AN88" s="36" t="s">
        <v>1274</v>
      </c>
      <c r="AO88" s="29" t="s">
        <v>1104</v>
      </c>
      <c r="AP88" s="28" t="s">
        <v>1318</v>
      </c>
      <c r="AQ88" s="28" t="s">
        <v>1289</v>
      </c>
      <c r="AR88" s="28" t="s">
        <v>1274</v>
      </c>
      <c r="AS88" s="28" t="s">
        <v>1274</v>
      </c>
      <c r="AT88" s="36" t="s">
        <v>1274</v>
      </c>
      <c r="AU88" s="29" t="s">
        <v>1105</v>
      </c>
      <c r="AV88" s="28" t="s">
        <v>400</v>
      </c>
      <c r="AW88" s="28" t="s">
        <v>1275</v>
      </c>
      <c r="AX88" s="28" t="s">
        <v>1274</v>
      </c>
      <c r="AY88" s="28" t="s">
        <v>1274</v>
      </c>
      <c r="AZ88" s="36" t="s">
        <v>1274</v>
      </c>
      <c r="BA88" s="29" t="s">
        <v>1106</v>
      </c>
      <c r="BB88" s="28" t="s">
        <v>1400</v>
      </c>
      <c r="BC88" s="28" t="s">
        <v>400</v>
      </c>
      <c r="BD88" s="28" t="s">
        <v>1274</v>
      </c>
      <c r="BE88" s="28" t="s">
        <v>1297</v>
      </c>
      <c r="BF88" s="30" t="s">
        <v>1297</v>
      </c>
    </row>
    <row r="89" spans="4:58" x14ac:dyDescent="0.25">
      <c r="D89">
        <v>15</v>
      </c>
      <c r="E89" s="29" t="s">
        <v>935</v>
      </c>
      <c r="F89" s="28">
        <v>0</v>
      </c>
      <c r="G89" s="28" t="s">
        <v>1289</v>
      </c>
      <c r="H89" s="28" t="s">
        <v>1274</v>
      </c>
      <c r="I89" s="28" t="s">
        <v>1274</v>
      </c>
      <c r="J89" s="36" t="s">
        <v>1274</v>
      </c>
      <c r="K89" s="29" t="s">
        <v>936</v>
      </c>
      <c r="L89" s="28" t="s">
        <v>1312</v>
      </c>
      <c r="M89" s="28" t="s">
        <v>1300</v>
      </c>
      <c r="N89" s="28" t="s">
        <v>1274</v>
      </c>
      <c r="O89" s="28" t="s">
        <v>1274</v>
      </c>
      <c r="P89" s="36" t="s">
        <v>1274</v>
      </c>
      <c r="Q89" s="29" t="s">
        <v>653</v>
      </c>
      <c r="R89" s="28">
        <v>0</v>
      </c>
      <c r="S89" s="28" t="s">
        <v>1300</v>
      </c>
      <c r="T89" s="28" t="s">
        <v>1274</v>
      </c>
      <c r="U89" s="28" t="s">
        <v>1297</v>
      </c>
      <c r="V89" s="36" t="s">
        <v>1274</v>
      </c>
      <c r="W89" s="29" t="s">
        <v>1023</v>
      </c>
      <c r="X89" s="28" t="s">
        <v>1318</v>
      </c>
      <c r="Y89" s="28" t="s">
        <v>1286</v>
      </c>
      <c r="Z89" s="28" t="s">
        <v>1274</v>
      </c>
      <c r="AA89" s="28" t="s">
        <v>1274</v>
      </c>
      <c r="AB89" s="36" t="s">
        <v>1274</v>
      </c>
      <c r="AC89" s="29" t="s">
        <v>1024</v>
      </c>
      <c r="AD89" s="28" t="s">
        <v>1366</v>
      </c>
      <c r="AE89" s="28" t="s">
        <v>1337</v>
      </c>
      <c r="AF89" s="28" t="s">
        <v>1274</v>
      </c>
      <c r="AG89" s="28" t="s">
        <v>1274</v>
      </c>
      <c r="AH89" s="36" t="s">
        <v>1274</v>
      </c>
      <c r="AI89" s="29" t="s">
        <v>1025</v>
      </c>
      <c r="AJ89" s="28" t="s">
        <v>1313</v>
      </c>
      <c r="AK89" s="28" t="s">
        <v>1395</v>
      </c>
      <c r="AL89" s="28" t="s">
        <v>1274</v>
      </c>
      <c r="AM89" s="28" t="s">
        <v>1274</v>
      </c>
      <c r="AN89" s="36" t="s">
        <v>1274</v>
      </c>
      <c r="AO89" s="29" t="s">
        <v>1107</v>
      </c>
      <c r="AP89" s="28" t="s">
        <v>1364</v>
      </c>
      <c r="AQ89" s="28" t="s">
        <v>400</v>
      </c>
      <c r="AR89" s="28" t="s">
        <v>1274</v>
      </c>
      <c r="AS89" s="28" t="s">
        <v>1297</v>
      </c>
      <c r="AT89" s="36" t="s">
        <v>1297</v>
      </c>
      <c r="AU89" s="29" t="s">
        <v>1108</v>
      </c>
      <c r="AV89" s="28" t="s">
        <v>1364</v>
      </c>
      <c r="AW89" s="28" t="s">
        <v>1300</v>
      </c>
      <c r="AX89" s="28" t="s">
        <v>1274</v>
      </c>
      <c r="AY89" s="28" t="s">
        <v>1274</v>
      </c>
      <c r="AZ89" s="36" t="s">
        <v>1274</v>
      </c>
      <c r="BA89" s="29" t="s">
        <v>1109</v>
      </c>
      <c r="BB89" s="28">
        <v>0</v>
      </c>
      <c r="BC89" s="28" t="s">
        <v>1298</v>
      </c>
      <c r="BD89" s="28" t="s">
        <v>1274</v>
      </c>
      <c r="BE89" s="28" t="s">
        <v>1297</v>
      </c>
      <c r="BF89" s="30" t="s">
        <v>1297</v>
      </c>
    </row>
    <row r="90" spans="4:58" ht="15.75" thickBot="1" x14ac:dyDescent="0.3">
      <c r="D90">
        <v>16</v>
      </c>
      <c r="E90" s="29" t="s">
        <v>937</v>
      </c>
      <c r="F90" s="28" t="s">
        <v>1279</v>
      </c>
      <c r="G90" s="28" t="s">
        <v>1275</v>
      </c>
      <c r="H90" s="28" t="s">
        <v>1274</v>
      </c>
      <c r="I90" s="28" t="s">
        <v>1274</v>
      </c>
      <c r="J90" s="36" t="s">
        <v>1297</v>
      </c>
      <c r="K90" s="29" t="s">
        <v>774</v>
      </c>
      <c r="L90" s="28" t="s">
        <v>1333</v>
      </c>
      <c r="M90" s="28" t="s">
        <v>1300</v>
      </c>
      <c r="N90" s="28" t="s">
        <v>1274</v>
      </c>
      <c r="O90" s="28" t="s">
        <v>1274</v>
      </c>
      <c r="P90" s="36" t="s">
        <v>1274</v>
      </c>
      <c r="Q90" s="29" t="s">
        <v>938</v>
      </c>
      <c r="R90" s="28" t="s">
        <v>1318</v>
      </c>
      <c r="S90" s="28" t="s">
        <v>1275</v>
      </c>
      <c r="T90" s="28" t="s">
        <v>1274</v>
      </c>
      <c r="U90" s="28" t="s">
        <v>1274</v>
      </c>
      <c r="V90" s="36" t="s">
        <v>1297</v>
      </c>
      <c r="W90" s="29" t="s">
        <v>1026</v>
      </c>
      <c r="X90" s="28">
        <v>0</v>
      </c>
      <c r="Y90" s="28" t="s">
        <v>1300</v>
      </c>
      <c r="Z90" s="28" t="s">
        <v>1274</v>
      </c>
      <c r="AA90" s="28" t="s">
        <v>1274</v>
      </c>
      <c r="AB90" s="36" t="s">
        <v>1274</v>
      </c>
      <c r="AC90" s="29" t="s">
        <v>1027</v>
      </c>
      <c r="AD90" s="28" t="s">
        <v>1318</v>
      </c>
      <c r="AE90" s="28" t="s">
        <v>400</v>
      </c>
      <c r="AF90" s="28" t="s">
        <v>1274</v>
      </c>
      <c r="AG90" s="28" t="s">
        <v>1297</v>
      </c>
      <c r="AH90" s="36" t="s">
        <v>1297</v>
      </c>
      <c r="AI90" s="29" t="s">
        <v>1028</v>
      </c>
      <c r="AJ90" s="28" t="s">
        <v>1310</v>
      </c>
      <c r="AK90" s="28" t="s">
        <v>1300</v>
      </c>
      <c r="AL90" s="28" t="s">
        <v>1274</v>
      </c>
      <c r="AM90" s="28" t="s">
        <v>1274</v>
      </c>
      <c r="AN90" s="36" t="s">
        <v>1274</v>
      </c>
      <c r="AO90" s="29" t="s">
        <v>1110</v>
      </c>
      <c r="AP90" s="28" t="s">
        <v>1310</v>
      </c>
      <c r="AQ90" s="28" t="s">
        <v>1300</v>
      </c>
      <c r="AR90" s="28" t="s">
        <v>1274</v>
      </c>
      <c r="AS90" s="28" t="s">
        <v>1274</v>
      </c>
      <c r="AT90" s="36" t="s">
        <v>1274</v>
      </c>
      <c r="AU90" s="29" t="s">
        <v>1111</v>
      </c>
      <c r="AV90" s="28" t="s">
        <v>1312</v>
      </c>
      <c r="AW90" s="28" t="s">
        <v>1387</v>
      </c>
      <c r="AX90" s="28" t="s">
        <v>1274</v>
      </c>
      <c r="AY90" s="28" t="s">
        <v>1274</v>
      </c>
      <c r="AZ90" s="36" t="s">
        <v>1297</v>
      </c>
      <c r="BA90" s="31" t="s">
        <v>1112</v>
      </c>
      <c r="BB90" s="32" t="s">
        <v>1318</v>
      </c>
      <c r="BC90" s="32" t="s">
        <v>1275</v>
      </c>
      <c r="BD90" s="32" t="s">
        <v>1274</v>
      </c>
      <c r="BE90" s="32" t="s">
        <v>1274</v>
      </c>
      <c r="BF90" s="33" t="s">
        <v>1274</v>
      </c>
    </row>
    <row r="91" spans="4:58" x14ac:dyDescent="0.25">
      <c r="D91">
        <v>17</v>
      </c>
      <c r="E91" s="29" t="s">
        <v>939</v>
      </c>
      <c r="F91" s="28" t="s">
        <v>1221</v>
      </c>
      <c r="G91" s="28" t="s">
        <v>1290</v>
      </c>
      <c r="H91" s="28" t="s">
        <v>1274</v>
      </c>
      <c r="I91" s="28" t="s">
        <v>1274</v>
      </c>
      <c r="J91" s="36" t="s">
        <v>1274</v>
      </c>
      <c r="K91" s="29" t="s">
        <v>777</v>
      </c>
      <c r="L91" s="28" t="s">
        <v>1313</v>
      </c>
      <c r="M91" s="28" t="s">
        <v>1275</v>
      </c>
      <c r="N91" s="28" t="s">
        <v>1274</v>
      </c>
      <c r="O91" s="28" t="s">
        <v>1274</v>
      </c>
      <c r="P91" s="36" t="s">
        <v>1297</v>
      </c>
      <c r="Q91" s="29" t="s">
        <v>940</v>
      </c>
      <c r="R91" s="28" t="s">
        <v>1310</v>
      </c>
      <c r="S91" s="28" t="s">
        <v>400</v>
      </c>
      <c r="T91" s="28" t="s">
        <v>1274</v>
      </c>
      <c r="U91" s="28" t="s">
        <v>1274</v>
      </c>
      <c r="V91" s="36" t="s">
        <v>1274</v>
      </c>
      <c r="W91" s="29" t="s">
        <v>1029</v>
      </c>
      <c r="X91" s="28" t="s">
        <v>1329</v>
      </c>
      <c r="Y91" s="28" t="s">
        <v>1383</v>
      </c>
      <c r="Z91" s="28" t="s">
        <v>1274</v>
      </c>
      <c r="AA91" s="28" t="s">
        <v>1274</v>
      </c>
      <c r="AB91" s="36" t="s">
        <v>1274</v>
      </c>
      <c r="AC91" s="29" t="s">
        <v>694</v>
      </c>
      <c r="AD91" s="28" t="s">
        <v>1221</v>
      </c>
      <c r="AE91" s="28" t="s">
        <v>1275</v>
      </c>
      <c r="AF91" s="28" t="s">
        <v>1274</v>
      </c>
      <c r="AG91" s="28" t="s">
        <v>1274</v>
      </c>
      <c r="AH91" s="36" t="s">
        <v>1274</v>
      </c>
      <c r="AI91" s="29" t="s">
        <v>1030</v>
      </c>
      <c r="AJ91" s="28" t="s">
        <v>1392</v>
      </c>
      <c r="AK91" s="28" t="s">
        <v>400</v>
      </c>
      <c r="AL91" s="28" t="s">
        <v>1274</v>
      </c>
      <c r="AM91" s="28" t="s">
        <v>1274</v>
      </c>
      <c r="AN91" s="36" t="s">
        <v>1297</v>
      </c>
      <c r="AO91" s="29" t="s">
        <v>1113</v>
      </c>
      <c r="AP91" s="28" t="s">
        <v>1221</v>
      </c>
      <c r="AQ91" s="28" t="s">
        <v>1402</v>
      </c>
      <c r="AR91" s="28" t="s">
        <v>1274</v>
      </c>
      <c r="AS91" s="28" t="s">
        <v>1297</v>
      </c>
      <c r="AT91" s="36" t="s">
        <v>1297</v>
      </c>
      <c r="AU91" s="29" t="s">
        <v>1114</v>
      </c>
      <c r="AV91" s="28" t="s">
        <v>400</v>
      </c>
      <c r="AW91" s="28" t="s">
        <v>400</v>
      </c>
      <c r="AX91" s="28" t="s">
        <v>1274</v>
      </c>
      <c r="AY91" s="28" t="s">
        <v>1274</v>
      </c>
      <c r="AZ91" s="30" t="s">
        <v>1297</v>
      </c>
    </row>
    <row r="92" spans="4:58" x14ac:dyDescent="0.25">
      <c r="D92">
        <v>18</v>
      </c>
      <c r="E92" s="29" t="s">
        <v>941</v>
      </c>
      <c r="F92" s="28" t="s">
        <v>1282</v>
      </c>
      <c r="G92" s="28" t="s">
        <v>1300</v>
      </c>
      <c r="H92" s="28" t="s">
        <v>1274</v>
      </c>
      <c r="I92" s="28" t="s">
        <v>1297</v>
      </c>
      <c r="J92" s="36" t="s">
        <v>1297</v>
      </c>
      <c r="K92" s="29" t="s">
        <v>942</v>
      </c>
      <c r="L92" s="28" t="s">
        <v>1312</v>
      </c>
      <c r="M92" s="28" t="s">
        <v>1300</v>
      </c>
      <c r="N92" s="28" t="s">
        <v>1274</v>
      </c>
      <c r="O92" s="28" t="s">
        <v>1274</v>
      </c>
      <c r="P92" s="36" t="s">
        <v>1274</v>
      </c>
      <c r="Q92" s="29" t="s">
        <v>943</v>
      </c>
      <c r="R92" s="28" t="s">
        <v>1310</v>
      </c>
      <c r="S92" s="28" t="s">
        <v>1300</v>
      </c>
      <c r="T92" s="28" t="s">
        <v>1274</v>
      </c>
      <c r="U92" s="28" t="s">
        <v>1274</v>
      </c>
      <c r="V92" s="36" t="s">
        <v>1274</v>
      </c>
      <c r="W92" s="29" t="s">
        <v>1031</v>
      </c>
      <c r="X92" s="28" t="s">
        <v>1310</v>
      </c>
      <c r="Y92" s="28" t="s">
        <v>1300</v>
      </c>
      <c r="Z92" s="28" t="s">
        <v>1274</v>
      </c>
      <c r="AA92" s="28" t="s">
        <v>1274</v>
      </c>
      <c r="AB92" s="36" t="s">
        <v>1274</v>
      </c>
      <c r="AC92" s="29" t="s">
        <v>1032</v>
      </c>
      <c r="AD92" s="28" t="s">
        <v>1310</v>
      </c>
      <c r="AE92" s="28" t="s">
        <v>1300</v>
      </c>
      <c r="AF92" s="28" t="s">
        <v>1274</v>
      </c>
      <c r="AG92" s="28" t="s">
        <v>1274</v>
      </c>
      <c r="AH92" s="36" t="s">
        <v>1274</v>
      </c>
      <c r="AI92" s="29" t="s">
        <v>1033</v>
      </c>
      <c r="AJ92" s="28">
        <v>0</v>
      </c>
      <c r="AK92" s="28" t="s">
        <v>400</v>
      </c>
      <c r="AL92" s="28" t="s">
        <v>1274</v>
      </c>
      <c r="AM92" s="28" t="s">
        <v>1274</v>
      </c>
      <c r="AN92" s="36" t="s">
        <v>1274</v>
      </c>
      <c r="AO92" s="29" t="s">
        <v>1115</v>
      </c>
      <c r="AP92" s="28" t="s">
        <v>400</v>
      </c>
      <c r="AQ92" s="28" t="s">
        <v>400</v>
      </c>
      <c r="AR92" s="28" t="s">
        <v>1274</v>
      </c>
      <c r="AS92" s="28" t="s">
        <v>1274</v>
      </c>
      <c r="AT92" s="36" t="s">
        <v>1274</v>
      </c>
      <c r="AU92" s="29" t="s">
        <v>1116</v>
      </c>
      <c r="AV92" s="28" t="s">
        <v>1323</v>
      </c>
      <c r="AW92" s="28" t="s">
        <v>1300</v>
      </c>
      <c r="AX92" s="28" t="s">
        <v>1274</v>
      </c>
      <c r="AY92" s="28" t="s">
        <v>1274</v>
      </c>
      <c r="AZ92" s="30" t="s">
        <v>1274</v>
      </c>
    </row>
    <row r="93" spans="4:58" x14ac:dyDescent="0.25">
      <c r="D93">
        <v>19</v>
      </c>
      <c r="E93" s="29" t="s">
        <v>944</v>
      </c>
      <c r="F93" s="28" t="s">
        <v>1279</v>
      </c>
      <c r="G93" s="28" t="s">
        <v>1300</v>
      </c>
      <c r="H93" s="28" t="s">
        <v>1274</v>
      </c>
      <c r="I93" s="28" t="s">
        <v>1274</v>
      </c>
      <c r="J93" s="36" t="s">
        <v>1274</v>
      </c>
      <c r="K93" s="29" t="s">
        <v>945</v>
      </c>
      <c r="L93" s="28" t="s">
        <v>1318</v>
      </c>
      <c r="M93" s="28" t="s">
        <v>1350</v>
      </c>
      <c r="N93" s="28" t="s">
        <v>1274</v>
      </c>
      <c r="O93" s="28" t="s">
        <v>1274</v>
      </c>
      <c r="P93" s="36" t="s">
        <v>1274</v>
      </c>
      <c r="Q93" s="29" t="s">
        <v>234</v>
      </c>
      <c r="R93" s="28" t="s">
        <v>1221</v>
      </c>
      <c r="S93" s="28" t="s">
        <v>1381</v>
      </c>
      <c r="T93" s="28" t="s">
        <v>1274</v>
      </c>
      <c r="U93" s="28" t="s">
        <v>1274</v>
      </c>
      <c r="V93" s="36" t="s">
        <v>1274</v>
      </c>
      <c r="W93" s="29" t="s">
        <v>1034</v>
      </c>
      <c r="X93" s="28" t="s">
        <v>1221</v>
      </c>
      <c r="Y93" s="28" t="s">
        <v>1300</v>
      </c>
      <c r="Z93" s="28" t="s">
        <v>1274</v>
      </c>
      <c r="AA93" s="28" t="s">
        <v>1274</v>
      </c>
      <c r="AB93" s="36" t="s">
        <v>1274</v>
      </c>
      <c r="AC93" s="29" t="s">
        <v>1035</v>
      </c>
      <c r="AD93" s="28" t="s">
        <v>1310</v>
      </c>
      <c r="AE93" s="28" t="s">
        <v>400</v>
      </c>
      <c r="AF93" s="28" t="s">
        <v>1274</v>
      </c>
      <c r="AG93" s="28" t="s">
        <v>1274</v>
      </c>
      <c r="AH93" s="36" t="s">
        <v>1274</v>
      </c>
      <c r="AI93" s="29" t="s">
        <v>1036</v>
      </c>
      <c r="AJ93" s="28" t="s">
        <v>1393</v>
      </c>
      <c r="AK93" s="28" t="s">
        <v>400</v>
      </c>
      <c r="AL93" s="28" t="s">
        <v>1274</v>
      </c>
      <c r="AM93" s="28" t="s">
        <v>1297</v>
      </c>
      <c r="AN93" s="36" t="s">
        <v>1274</v>
      </c>
      <c r="AO93" s="29" t="s">
        <v>1117</v>
      </c>
      <c r="AP93" s="28" t="s">
        <v>1221</v>
      </c>
      <c r="AQ93" s="28" t="s">
        <v>1275</v>
      </c>
      <c r="AR93" s="28" t="s">
        <v>1274</v>
      </c>
      <c r="AS93" s="28" t="s">
        <v>1274</v>
      </c>
      <c r="AT93" s="36" t="s">
        <v>1274</v>
      </c>
      <c r="AU93" s="29" t="s">
        <v>662</v>
      </c>
      <c r="AV93" s="28" t="s">
        <v>1221</v>
      </c>
      <c r="AW93" s="28" t="s">
        <v>400</v>
      </c>
      <c r="AX93" s="28" t="s">
        <v>1274</v>
      </c>
      <c r="AY93" s="28" t="s">
        <v>1274</v>
      </c>
      <c r="AZ93" s="30" t="s">
        <v>1274</v>
      </c>
    </row>
    <row r="94" spans="4:58" ht="15.75" thickBot="1" x14ac:dyDescent="0.3">
      <c r="D94">
        <v>20</v>
      </c>
      <c r="E94" s="29" t="s">
        <v>946</v>
      </c>
      <c r="F94" s="28" t="s">
        <v>1276</v>
      </c>
      <c r="G94" s="28" t="s">
        <v>1275</v>
      </c>
      <c r="H94" s="28" t="s">
        <v>1274</v>
      </c>
      <c r="I94" s="28" t="s">
        <v>1274</v>
      </c>
      <c r="J94" s="36" t="s">
        <v>1274</v>
      </c>
      <c r="K94" s="29" t="s">
        <v>947</v>
      </c>
      <c r="L94" s="28" t="s">
        <v>1312</v>
      </c>
      <c r="M94" s="28" t="s">
        <v>1275</v>
      </c>
      <c r="N94" s="28" t="s">
        <v>1274</v>
      </c>
      <c r="O94" s="28" t="s">
        <v>1274</v>
      </c>
      <c r="P94" s="36" t="s">
        <v>1297</v>
      </c>
      <c r="Q94" s="29" t="s">
        <v>948</v>
      </c>
      <c r="R94" s="28" t="s">
        <v>1221</v>
      </c>
      <c r="S94" s="28" t="s">
        <v>1382</v>
      </c>
      <c r="T94" s="28" t="s">
        <v>1274</v>
      </c>
      <c r="U94" s="28" t="s">
        <v>1274</v>
      </c>
      <c r="V94" s="36" t="s">
        <v>1274</v>
      </c>
      <c r="W94" s="29" t="s">
        <v>1037</v>
      </c>
      <c r="X94" s="28">
        <v>0</v>
      </c>
      <c r="Y94" s="28" t="s">
        <v>1387</v>
      </c>
      <c r="Z94" s="28" t="s">
        <v>1274</v>
      </c>
      <c r="AA94" s="28" t="s">
        <v>1274</v>
      </c>
      <c r="AB94" s="36" t="s">
        <v>1274</v>
      </c>
      <c r="AC94" s="29" t="s">
        <v>1038</v>
      </c>
      <c r="AD94" s="28" t="s">
        <v>1364</v>
      </c>
      <c r="AE94" s="28" t="s">
        <v>1275</v>
      </c>
      <c r="AF94" s="28" t="s">
        <v>1274</v>
      </c>
      <c r="AG94" s="28" t="s">
        <v>1274</v>
      </c>
      <c r="AH94" s="36" t="s">
        <v>1274</v>
      </c>
      <c r="AI94" s="29" t="s">
        <v>1039</v>
      </c>
      <c r="AJ94" s="28" t="s">
        <v>1221</v>
      </c>
      <c r="AK94" s="28" t="s">
        <v>400</v>
      </c>
      <c r="AL94" s="28" t="s">
        <v>1274</v>
      </c>
      <c r="AM94" s="28" t="s">
        <v>1297</v>
      </c>
      <c r="AN94" s="36" t="s">
        <v>1297</v>
      </c>
      <c r="AO94" s="29" t="s">
        <v>1118</v>
      </c>
      <c r="AP94" s="28" t="s">
        <v>1400</v>
      </c>
      <c r="AQ94" s="28" t="s">
        <v>400</v>
      </c>
      <c r="AR94" s="28" t="s">
        <v>1274</v>
      </c>
      <c r="AS94" s="28" t="s">
        <v>1297</v>
      </c>
      <c r="AT94" s="36" t="s">
        <v>1297</v>
      </c>
      <c r="AU94" s="31" t="s">
        <v>1119</v>
      </c>
      <c r="AV94" s="32" t="s">
        <v>1364</v>
      </c>
      <c r="AW94" s="32" t="s">
        <v>1201</v>
      </c>
      <c r="AX94" s="32" t="s">
        <v>1274</v>
      </c>
      <c r="AY94" s="32" t="s">
        <v>1274</v>
      </c>
      <c r="AZ94" s="33" t="s">
        <v>1274</v>
      </c>
    </row>
    <row r="95" spans="4:58" x14ac:dyDescent="0.25">
      <c r="D95">
        <v>21</v>
      </c>
      <c r="E95" s="29" t="s">
        <v>949</v>
      </c>
      <c r="F95" s="28">
        <v>0</v>
      </c>
      <c r="G95" s="28" t="s">
        <v>1284</v>
      </c>
      <c r="H95" s="28" t="s">
        <v>1274</v>
      </c>
      <c r="I95" s="28" t="s">
        <v>1274</v>
      </c>
      <c r="J95" s="36" t="s">
        <v>1274</v>
      </c>
      <c r="K95" s="29" t="s">
        <v>950</v>
      </c>
      <c r="L95" s="28" t="s">
        <v>1313</v>
      </c>
      <c r="M95" s="28" t="s">
        <v>400</v>
      </c>
      <c r="N95" s="28" t="s">
        <v>1274</v>
      </c>
      <c r="O95" s="28" t="s">
        <v>1297</v>
      </c>
      <c r="P95" s="36" t="s">
        <v>1297</v>
      </c>
      <c r="Q95" s="29" t="s">
        <v>635</v>
      </c>
      <c r="R95" s="28" t="s">
        <v>1321</v>
      </c>
      <c r="S95" s="28" t="s">
        <v>1286</v>
      </c>
      <c r="T95" s="28" t="s">
        <v>1274</v>
      </c>
      <c r="U95" s="28" t="s">
        <v>1297</v>
      </c>
      <c r="V95" s="36" t="s">
        <v>1297</v>
      </c>
      <c r="W95" s="29" t="s">
        <v>746</v>
      </c>
      <c r="X95" s="28" t="s">
        <v>1313</v>
      </c>
      <c r="Y95" s="28" t="s">
        <v>400</v>
      </c>
      <c r="Z95" s="28" t="s">
        <v>1274</v>
      </c>
      <c r="AA95" s="28" t="s">
        <v>1274</v>
      </c>
      <c r="AB95" s="36" t="s">
        <v>1274</v>
      </c>
      <c r="AC95" s="29" t="s">
        <v>1040</v>
      </c>
      <c r="AD95" s="28" t="s">
        <v>1312</v>
      </c>
      <c r="AE95" s="28" t="s">
        <v>1330</v>
      </c>
      <c r="AF95" s="28" t="s">
        <v>1274</v>
      </c>
      <c r="AG95" s="28" t="s">
        <v>1274</v>
      </c>
      <c r="AH95" s="36" t="s">
        <v>1274</v>
      </c>
      <c r="AI95" s="29" t="s">
        <v>754</v>
      </c>
      <c r="AJ95" s="28" t="s">
        <v>1221</v>
      </c>
      <c r="AK95" s="28" t="s">
        <v>1275</v>
      </c>
      <c r="AL95" s="28" t="s">
        <v>1274</v>
      </c>
      <c r="AM95" s="28" t="s">
        <v>1274</v>
      </c>
      <c r="AN95" s="36" t="s">
        <v>1274</v>
      </c>
      <c r="AO95" s="29" t="s">
        <v>1120</v>
      </c>
      <c r="AP95" s="28" t="s">
        <v>1221</v>
      </c>
      <c r="AQ95" s="28" t="s">
        <v>1350</v>
      </c>
      <c r="AR95" s="28" t="s">
        <v>1274</v>
      </c>
      <c r="AS95" s="28" t="s">
        <v>1274</v>
      </c>
      <c r="AT95" s="30" t="s">
        <v>1274</v>
      </c>
    </row>
    <row r="96" spans="4:58" x14ac:dyDescent="0.25">
      <c r="D96">
        <v>22</v>
      </c>
      <c r="E96" s="29" t="s">
        <v>951</v>
      </c>
      <c r="F96" s="28" t="s">
        <v>1302</v>
      </c>
      <c r="G96" s="28" t="s">
        <v>400</v>
      </c>
      <c r="H96" s="28" t="s">
        <v>1274</v>
      </c>
      <c r="I96" s="28" t="s">
        <v>1274</v>
      </c>
      <c r="J96" s="36" t="s">
        <v>1274</v>
      </c>
      <c r="K96" s="29" t="s">
        <v>702</v>
      </c>
      <c r="L96" s="28" t="s">
        <v>1318</v>
      </c>
      <c r="M96" s="28" t="s">
        <v>1300</v>
      </c>
      <c r="N96" s="28" t="s">
        <v>1274</v>
      </c>
      <c r="O96" s="28" t="s">
        <v>1274</v>
      </c>
      <c r="P96" s="36" t="s">
        <v>1297</v>
      </c>
      <c r="Q96" s="29" t="s">
        <v>786</v>
      </c>
      <c r="R96" s="28" t="s">
        <v>1221</v>
      </c>
      <c r="S96" s="28" t="s">
        <v>1286</v>
      </c>
      <c r="T96" s="28" t="s">
        <v>1274</v>
      </c>
      <c r="U96" s="28" t="s">
        <v>1274</v>
      </c>
      <c r="V96" s="36" t="s">
        <v>1274</v>
      </c>
      <c r="W96" s="29" t="s">
        <v>1041</v>
      </c>
      <c r="X96" s="28" t="s">
        <v>1310</v>
      </c>
      <c r="Y96" s="28" t="s">
        <v>1298</v>
      </c>
      <c r="Z96" s="28" t="s">
        <v>1274</v>
      </c>
      <c r="AA96" s="28" t="s">
        <v>1274</v>
      </c>
      <c r="AB96" s="36" t="s">
        <v>1274</v>
      </c>
      <c r="AC96" s="29" t="s">
        <v>1042</v>
      </c>
      <c r="AD96" s="28" t="s">
        <v>1364</v>
      </c>
      <c r="AE96" s="28" t="s">
        <v>1275</v>
      </c>
      <c r="AF96" s="28" t="s">
        <v>1274</v>
      </c>
      <c r="AG96" s="28" t="s">
        <v>1274</v>
      </c>
      <c r="AH96" s="36" t="s">
        <v>1274</v>
      </c>
      <c r="AI96" s="29" t="s">
        <v>1043</v>
      </c>
      <c r="AJ96" s="28" t="s">
        <v>1310</v>
      </c>
      <c r="AK96" s="28" t="s">
        <v>1397</v>
      </c>
      <c r="AL96" s="28" t="s">
        <v>1274</v>
      </c>
      <c r="AM96" s="28" t="s">
        <v>1274</v>
      </c>
      <c r="AN96" s="36" t="s">
        <v>1274</v>
      </c>
      <c r="AO96" s="29" t="s">
        <v>1121</v>
      </c>
      <c r="AP96" s="28" t="s">
        <v>1221</v>
      </c>
      <c r="AQ96" s="28" t="s">
        <v>1375</v>
      </c>
      <c r="AR96" s="28" t="s">
        <v>1274</v>
      </c>
      <c r="AS96" s="28" t="s">
        <v>1297</v>
      </c>
      <c r="AT96" s="30" t="s">
        <v>1297</v>
      </c>
    </row>
    <row r="97" spans="4:46" x14ac:dyDescent="0.25">
      <c r="D97">
        <v>23</v>
      </c>
      <c r="E97" s="29" t="s">
        <v>952</v>
      </c>
      <c r="F97" s="28">
        <v>0</v>
      </c>
      <c r="G97" s="28" t="s">
        <v>1286</v>
      </c>
      <c r="H97" s="28" t="s">
        <v>1274</v>
      </c>
      <c r="I97" s="28" t="s">
        <v>1274</v>
      </c>
      <c r="J97" s="36" t="s">
        <v>1274</v>
      </c>
      <c r="K97" s="29" t="s">
        <v>657</v>
      </c>
      <c r="L97" s="28" t="s">
        <v>1318</v>
      </c>
      <c r="M97" s="28" t="s">
        <v>1370</v>
      </c>
      <c r="N97" s="28" t="s">
        <v>1274</v>
      </c>
      <c r="O97" s="28" t="s">
        <v>1274</v>
      </c>
      <c r="P97" s="36" t="s">
        <v>1274</v>
      </c>
      <c r="Q97" s="29" t="s">
        <v>953</v>
      </c>
      <c r="R97" s="28" t="s">
        <v>1221</v>
      </c>
      <c r="S97" s="28" t="s">
        <v>1300</v>
      </c>
      <c r="T97" s="28" t="s">
        <v>1274</v>
      </c>
      <c r="U97" s="28" t="s">
        <v>1274</v>
      </c>
      <c r="V97" s="36" t="s">
        <v>1274</v>
      </c>
      <c r="W97" s="29" t="s">
        <v>1044</v>
      </c>
      <c r="X97" s="28">
        <v>0</v>
      </c>
      <c r="Y97" s="28" t="s">
        <v>1300</v>
      </c>
      <c r="Z97" s="28" t="s">
        <v>1274</v>
      </c>
      <c r="AA97" s="28" t="s">
        <v>1274</v>
      </c>
      <c r="AB97" s="36" t="s">
        <v>1274</v>
      </c>
      <c r="AC97" s="29" t="s">
        <v>656</v>
      </c>
      <c r="AD97" s="28" t="s">
        <v>1318</v>
      </c>
      <c r="AE97" s="28" t="s">
        <v>1275</v>
      </c>
      <c r="AF97" s="28" t="s">
        <v>1274</v>
      </c>
      <c r="AG97" s="28" t="s">
        <v>1274</v>
      </c>
      <c r="AH97" s="36" t="s">
        <v>1274</v>
      </c>
      <c r="AI97" s="29" t="s">
        <v>823</v>
      </c>
      <c r="AJ97" s="28" t="s">
        <v>1310</v>
      </c>
      <c r="AK97" s="28" t="s">
        <v>400</v>
      </c>
      <c r="AL97" s="28" t="s">
        <v>1274</v>
      </c>
      <c r="AM97" s="28" t="s">
        <v>1274</v>
      </c>
      <c r="AN97" s="36" t="s">
        <v>1274</v>
      </c>
      <c r="AO97" s="29" t="s">
        <v>1122</v>
      </c>
      <c r="AP97" s="28" t="s">
        <v>1318</v>
      </c>
      <c r="AQ97" s="28" t="s">
        <v>400</v>
      </c>
      <c r="AR97" s="28" t="s">
        <v>1274</v>
      </c>
      <c r="AS97" s="28" t="s">
        <v>1274</v>
      </c>
      <c r="AT97" s="30" t="s">
        <v>1274</v>
      </c>
    </row>
    <row r="98" spans="4:46" ht="15.75" thickBot="1" x14ac:dyDescent="0.3">
      <c r="D98">
        <v>24</v>
      </c>
      <c r="E98" s="29" t="s">
        <v>650</v>
      </c>
      <c r="F98" s="28" t="s">
        <v>1280</v>
      </c>
      <c r="G98" s="28" t="s">
        <v>1298</v>
      </c>
      <c r="H98" s="28" t="s">
        <v>1274</v>
      </c>
      <c r="I98" s="28" t="s">
        <v>1274</v>
      </c>
      <c r="J98" s="36" t="s">
        <v>1297</v>
      </c>
      <c r="K98" s="29" t="s">
        <v>954</v>
      </c>
      <c r="L98" s="28" t="s">
        <v>1221</v>
      </c>
      <c r="M98" s="28" t="s">
        <v>1275</v>
      </c>
      <c r="N98" s="28" t="s">
        <v>1274</v>
      </c>
      <c r="O98" s="28" t="s">
        <v>1274</v>
      </c>
      <c r="P98" s="36" t="s">
        <v>1274</v>
      </c>
      <c r="Q98" s="29" t="s">
        <v>955</v>
      </c>
      <c r="R98" s="28">
        <v>0</v>
      </c>
      <c r="S98" s="28" t="s">
        <v>1284</v>
      </c>
      <c r="T98" s="28" t="s">
        <v>1274</v>
      </c>
      <c r="U98" s="28" t="s">
        <v>1274</v>
      </c>
      <c r="V98" s="36" t="s">
        <v>1274</v>
      </c>
      <c r="W98" s="29" t="s">
        <v>1045</v>
      </c>
      <c r="X98" s="28" t="s">
        <v>1221</v>
      </c>
      <c r="Y98" s="28" t="s">
        <v>400</v>
      </c>
      <c r="Z98" s="28" t="s">
        <v>1274</v>
      </c>
      <c r="AA98" s="28" t="s">
        <v>1274</v>
      </c>
      <c r="AB98" s="36" t="s">
        <v>1274</v>
      </c>
      <c r="AC98" s="29" t="s">
        <v>1046</v>
      </c>
      <c r="AD98" s="28" t="s">
        <v>1318</v>
      </c>
      <c r="AE98" s="28" t="s">
        <v>1300</v>
      </c>
      <c r="AF98" s="28" t="s">
        <v>1274</v>
      </c>
      <c r="AG98" s="28" t="s">
        <v>1274</v>
      </c>
      <c r="AH98" s="36" t="s">
        <v>1297</v>
      </c>
      <c r="AI98" s="29" t="s">
        <v>1047</v>
      </c>
      <c r="AJ98" s="28" t="s">
        <v>400</v>
      </c>
      <c r="AK98" s="28" t="s">
        <v>400</v>
      </c>
      <c r="AL98" s="28" t="s">
        <v>1274</v>
      </c>
      <c r="AM98" s="28" t="s">
        <v>1274</v>
      </c>
      <c r="AN98" s="36" t="s">
        <v>1274</v>
      </c>
      <c r="AO98" s="31" t="s">
        <v>1123</v>
      </c>
      <c r="AP98" s="32" t="s">
        <v>1312</v>
      </c>
      <c r="AQ98" s="32" t="s">
        <v>400</v>
      </c>
      <c r="AR98" s="32" t="s">
        <v>1274</v>
      </c>
      <c r="AS98" s="32" t="s">
        <v>1274</v>
      </c>
      <c r="AT98" s="33" t="s">
        <v>1297</v>
      </c>
    </row>
    <row r="99" spans="4:46" x14ac:dyDescent="0.25">
      <c r="D99">
        <v>25</v>
      </c>
      <c r="E99" s="29" t="s">
        <v>956</v>
      </c>
      <c r="F99" s="28" t="s">
        <v>1303</v>
      </c>
      <c r="G99" s="28" t="s">
        <v>1286</v>
      </c>
      <c r="H99" s="28" t="s">
        <v>1274</v>
      </c>
      <c r="I99" s="28" t="s">
        <v>1274</v>
      </c>
      <c r="J99" s="36" t="s">
        <v>1274</v>
      </c>
      <c r="K99" s="29" t="s">
        <v>957</v>
      </c>
      <c r="L99" s="28" t="s">
        <v>1221</v>
      </c>
      <c r="M99" s="28" t="s">
        <v>1371</v>
      </c>
      <c r="N99" s="28" t="s">
        <v>1274</v>
      </c>
      <c r="O99" s="28" t="s">
        <v>1274</v>
      </c>
      <c r="P99" s="36" t="s">
        <v>1274</v>
      </c>
      <c r="Q99" s="29" t="s">
        <v>958</v>
      </c>
      <c r="R99" s="28" t="s">
        <v>1376</v>
      </c>
      <c r="S99" s="28" t="s">
        <v>1383</v>
      </c>
      <c r="T99" s="28" t="s">
        <v>1274</v>
      </c>
      <c r="U99" s="28" t="s">
        <v>1274</v>
      </c>
      <c r="V99" s="36" t="s">
        <v>1274</v>
      </c>
      <c r="W99" s="29" t="s">
        <v>1048</v>
      </c>
      <c r="X99" s="28" t="s">
        <v>1310</v>
      </c>
      <c r="Y99" s="28" t="s">
        <v>400</v>
      </c>
      <c r="Z99" s="28" t="s">
        <v>1274</v>
      </c>
      <c r="AA99" s="28" t="s">
        <v>1274</v>
      </c>
      <c r="AB99" s="36" t="s">
        <v>1274</v>
      </c>
      <c r="AC99" s="29" t="s">
        <v>1049</v>
      </c>
      <c r="AD99" s="28" t="s">
        <v>1364</v>
      </c>
      <c r="AE99" s="28" t="s">
        <v>1300</v>
      </c>
      <c r="AF99" s="28" t="s">
        <v>1274</v>
      </c>
      <c r="AG99" s="28" t="s">
        <v>1274</v>
      </c>
      <c r="AH99" s="36" t="s">
        <v>1274</v>
      </c>
      <c r="AI99" s="29" t="s">
        <v>1050</v>
      </c>
      <c r="AJ99" s="28">
        <v>0</v>
      </c>
      <c r="AK99" s="28" t="s">
        <v>1300</v>
      </c>
      <c r="AL99" s="28" t="s">
        <v>1274</v>
      </c>
      <c r="AM99" s="28" t="s">
        <v>1274</v>
      </c>
      <c r="AN99" s="30" t="s">
        <v>1274</v>
      </c>
    </row>
    <row r="100" spans="4:46" x14ac:dyDescent="0.25">
      <c r="D100">
        <v>26</v>
      </c>
      <c r="E100" s="29" t="s">
        <v>959</v>
      </c>
      <c r="F100" s="28">
        <v>0</v>
      </c>
      <c r="G100" s="28" t="s">
        <v>1288</v>
      </c>
      <c r="H100" s="28" t="s">
        <v>1274</v>
      </c>
      <c r="I100" s="28" t="s">
        <v>1274</v>
      </c>
      <c r="J100" s="36" t="s">
        <v>1297</v>
      </c>
      <c r="K100" s="29" t="s">
        <v>960</v>
      </c>
      <c r="L100" s="28" t="s">
        <v>1221</v>
      </c>
      <c r="M100" s="28" t="s">
        <v>1275</v>
      </c>
      <c r="N100" s="28" t="s">
        <v>1274</v>
      </c>
      <c r="O100" s="28" t="s">
        <v>1274</v>
      </c>
      <c r="P100" s="36" t="s">
        <v>1274</v>
      </c>
      <c r="Q100" s="29" t="s">
        <v>961</v>
      </c>
      <c r="R100" s="28" t="s">
        <v>1363</v>
      </c>
      <c r="S100" s="28" t="s">
        <v>1383</v>
      </c>
      <c r="T100" s="28" t="s">
        <v>1274</v>
      </c>
      <c r="U100" s="28" t="s">
        <v>1274</v>
      </c>
      <c r="V100" s="36" t="s">
        <v>1274</v>
      </c>
      <c r="W100" s="29" t="s">
        <v>715</v>
      </c>
      <c r="X100" s="28" t="s">
        <v>1221</v>
      </c>
      <c r="Y100" s="28" t="s">
        <v>1275</v>
      </c>
      <c r="Z100" s="28" t="s">
        <v>1274</v>
      </c>
      <c r="AA100" s="28" t="s">
        <v>1274</v>
      </c>
      <c r="AB100" s="36" t="s">
        <v>1274</v>
      </c>
      <c r="AC100" s="29" t="s">
        <v>1051</v>
      </c>
      <c r="AD100" s="28" t="s">
        <v>1312</v>
      </c>
      <c r="AE100" s="28" t="s">
        <v>1295</v>
      </c>
      <c r="AF100" s="28" t="s">
        <v>1274</v>
      </c>
      <c r="AG100" s="28" t="s">
        <v>1274</v>
      </c>
      <c r="AH100" s="36" t="s">
        <v>1274</v>
      </c>
      <c r="AI100" s="29" t="s">
        <v>758</v>
      </c>
      <c r="AJ100" s="28" t="s">
        <v>1313</v>
      </c>
      <c r="AK100" s="28" t="s">
        <v>1275</v>
      </c>
      <c r="AL100" s="28" t="s">
        <v>1274</v>
      </c>
      <c r="AM100" s="28" t="s">
        <v>1274</v>
      </c>
      <c r="AN100" s="30" t="s">
        <v>1274</v>
      </c>
    </row>
    <row r="101" spans="4:46" x14ac:dyDescent="0.25">
      <c r="D101">
        <v>27</v>
      </c>
      <c r="E101" s="29" t="s">
        <v>962</v>
      </c>
      <c r="F101" s="28" t="s">
        <v>1276</v>
      </c>
      <c r="G101" s="28" t="s">
        <v>1275</v>
      </c>
      <c r="H101" s="28" t="s">
        <v>1274</v>
      </c>
      <c r="I101" s="28" t="s">
        <v>1274</v>
      </c>
      <c r="J101" s="36" t="s">
        <v>1274</v>
      </c>
      <c r="K101" s="29" t="s">
        <v>963</v>
      </c>
      <c r="L101" s="28" t="s">
        <v>1221</v>
      </c>
      <c r="M101" s="28" t="s">
        <v>1301</v>
      </c>
      <c r="N101" s="28" t="s">
        <v>1274</v>
      </c>
      <c r="O101" s="28" t="s">
        <v>1274</v>
      </c>
      <c r="P101" s="36" t="s">
        <v>1297</v>
      </c>
      <c r="Q101" s="29" t="s">
        <v>719</v>
      </c>
      <c r="R101" s="28" t="s">
        <v>1221</v>
      </c>
      <c r="S101" s="28" t="s">
        <v>1384</v>
      </c>
      <c r="T101" s="28" t="s">
        <v>1274</v>
      </c>
      <c r="U101" s="28" t="s">
        <v>1274</v>
      </c>
      <c r="V101" s="36" t="s">
        <v>1274</v>
      </c>
      <c r="W101" s="29" t="s">
        <v>1052</v>
      </c>
      <c r="X101" s="28">
        <v>0</v>
      </c>
      <c r="Y101" s="28" t="s">
        <v>400</v>
      </c>
      <c r="Z101" s="28" t="s">
        <v>1274</v>
      </c>
      <c r="AA101" s="28" t="s">
        <v>1297</v>
      </c>
      <c r="AB101" s="36" t="s">
        <v>1297</v>
      </c>
      <c r="AC101" s="29" t="s">
        <v>1053</v>
      </c>
      <c r="AD101" s="28" t="s">
        <v>1318</v>
      </c>
      <c r="AE101" s="28" t="s">
        <v>1275</v>
      </c>
      <c r="AF101" s="28" t="s">
        <v>1274</v>
      </c>
      <c r="AG101" s="28" t="s">
        <v>1274</v>
      </c>
      <c r="AH101" s="36" t="s">
        <v>1274</v>
      </c>
      <c r="AI101" s="29" t="s">
        <v>1054</v>
      </c>
      <c r="AJ101" s="28" t="s">
        <v>1310</v>
      </c>
      <c r="AK101" s="28" t="s">
        <v>1275</v>
      </c>
      <c r="AL101" s="28" t="s">
        <v>1274</v>
      </c>
      <c r="AM101" s="28" t="s">
        <v>1274</v>
      </c>
      <c r="AN101" s="30" t="s">
        <v>1274</v>
      </c>
    </row>
    <row r="102" spans="4:46" x14ac:dyDescent="0.25">
      <c r="D102">
        <v>28</v>
      </c>
      <c r="E102" s="29" t="s">
        <v>964</v>
      </c>
      <c r="F102" s="28" t="s">
        <v>1304</v>
      </c>
      <c r="G102" s="28" t="s">
        <v>1292</v>
      </c>
      <c r="H102" s="28" t="s">
        <v>1274</v>
      </c>
      <c r="I102" s="28" t="s">
        <v>1274</v>
      </c>
      <c r="J102" s="36" t="s">
        <v>1274</v>
      </c>
      <c r="K102" s="29" t="s">
        <v>713</v>
      </c>
      <c r="L102" s="28" t="s">
        <v>1321</v>
      </c>
      <c r="M102" s="28" t="s">
        <v>400</v>
      </c>
      <c r="N102" s="28" t="s">
        <v>1274</v>
      </c>
      <c r="O102" s="28" t="s">
        <v>1274</v>
      </c>
      <c r="P102" s="36" t="s">
        <v>1297</v>
      </c>
      <c r="Q102" s="29" t="s">
        <v>965</v>
      </c>
      <c r="R102" s="28" t="s">
        <v>1221</v>
      </c>
      <c r="S102" s="28" t="s">
        <v>400</v>
      </c>
      <c r="T102" s="28" t="s">
        <v>1274</v>
      </c>
      <c r="U102" s="28" t="s">
        <v>1274</v>
      </c>
      <c r="V102" s="36" t="s">
        <v>1297</v>
      </c>
      <c r="W102" s="29" t="s">
        <v>1055</v>
      </c>
      <c r="X102" s="28" t="s">
        <v>1323</v>
      </c>
      <c r="Y102" s="28" t="s">
        <v>1300</v>
      </c>
      <c r="Z102" s="28" t="s">
        <v>1274</v>
      </c>
      <c r="AA102" s="28" t="s">
        <v>1274</v>
      </c>
      <c r="AB102" s="36" t="s">
        <v>1274</v>
      </c>
      <c r="AC102" s="29" t="s">
        <v>1056</v>
      </c>
      <c r="AD102" s="28" t="s">
        <v>1310</v>
      </c>
      <c r="AE102" s="28" t="s">
        <v>1296</v>
      </c>
      <c r="AF102" s="28" t="s">
        <v>1274</v>
      </c>
      <c r="AG102" s="28" t="s">
        <v>1274</v>
      </c>
      <c r="AH102" s="36" t="s">
        <v>1297</v>
      </c>
      <c r="AI102" s="29" t="s">
        <v>1057</v>
      </c>
      <c r="AJ102" s="28" t="s">
        <v>1221</v>
      </c>
      <c r="AK102" s="28" t="s">
        <v>1300</v>
      </c>
      <c r="AL102" s="28" t="s">
        <v>1274</v>
      </c>
      <c r="AM102" s="28" t="s">
        <v>1274</v>
      </c>
      <c r="AN102" s="30" t="s">
        <v>1274</v>
      </c>
    </row>
    <row r="103" spans="4:46" x14ac:dyDescent="0.25">
      <c r="D103">
        <v>29</v>
      </c>
      <c r="E103" s="29" t="s">
        <v>966</v>
      </c>
      <c r="F103" s="28" t="s">
        <v>1276</v>
      </c>
      <c r="G103" s="28" t="s">
        <v>1293</v>
      </c>
      <c r="H103" s="28" t="s">
        <v>1274</v>
      </c>
      <c r="I103" s="28" t="s">
        <v>1274</v>
      </c>
      <c r="J103" s="36" t="s">
        <v>1274</v>
      </c>
      <c r="K103" s="29" t="s">
        <v>967</v>
      </c>
      <c r="L103" s="28" t="s">
        <v>1365</v>
      </c>
      <c r="M103" s="28" t="s">
        <v>1300</v>
      </c>
      <c r="N103" s="28" t="s">
        <v>1274</v>
      </c>
      <c r="O103" s="28" t="s">
        <v>1274</v>
      </c>
      <c r="P103" s="36" t="s">
        <v>1297</v>
      </c>
      <c r="Q103" s="29" t="s">
        <v>968</v>
      </c>
      <c r="R103" s="28" t="s">
        <v>1377</v>
      </c>
      <c r="S103" s="28" t="s">
        <v>400</v>
      </c>
      <c r="T103" s="28" t="s">
        <v>1274</v>
      </c>
      <c r="U103" s="28" t="s">
        <v>1274</v>
      </c>
      <c r="V103" s="36" t="s">
        <v>1274</v>
      </c>
      <c r="W103" s="29" t="s">
        <v>1058</v>
      </c>
      <c r="X103" s="28" t="s">
        <v>1310</v>
      </c>
      <c r="Y103" s="28" t="s">
        <v>1288</v>
      </c>
      <c r="Z103" s="28" t="s">
        <v>1274</v>
      </c>
      <c r="AA103" s="28" t="s">
        <v>1274</v>
      </c>
      <c r="AB103" s="36" t="s">
        <v>1274</v>
      </c>
      <c r="AC103" s="29" t="s">
        <v>1059</v>
      </c>
      <c r="AD103" s="28" t="s">
        <v>1221</v>
      </c>
      <c r="AE103" s="28" t="s">
        <v>1375</v>
      </c>
      <c r="AF103" s="28" t="s">
        <v>1274</v>
      </c>
      <c r="AG103" s="28" t="s">
        <v>1297</v>
      </c>
      <c r="AH103" s="36" t="s">
        <v>1297</v>
      </c>
      <c r="AI103" s="29" t="s">
        <v>1060</v>
      </c>
      <c r="AJ103" s="28" t="s">
        <v>1318</v>
      </c>
      <c r="AK103" s="28" t="s">
        <v>400</v>
      </c>
      <c r="AL103" s="28" t="s">
        <v>1274</v>
      </c>
      <c r="AM103" s="28" t="s">
        <v>1274</v>
      </c>
      <c r="AN103" s="30" t="s">
        <v>1274</v>
      </c>
    </row>
    <row r="104" spans="4:46" ht="15.75" thickBot="1" x14ac:dyDescent="0.3">
      <c r="D104">
        <v>30</v>
      </c>
      <c r="E104" s="29" t="s">
        <v>969</v>
      </c>
      <c r="F104" s="28" t="s">
        <v>1279</v>
      </c>
      <c r="G104" s="28" t="s">
        <v>1294</v>
      </c>
      <c r="H104" s="28" t="s">
        <v>1274</v>
      </c>
      <c r="I104" s="28" t="s">
        <v>1274</v>
      </c>
      <c r="J104" s="36" t="s">
        <v>1297</v>
      </c>
      <c r="K104" s="29" t="s">
        <v>970</v>
      </c>
      <c r="L104" s="28" t="s">
        <v>1366</v>
      </c>
      <c r="M104" s="28" t="s">
        <v>1288</v>
      </c>
      <c r="N104" s="28" t="s">
        <v>1274</v>
      </c>
      <c r="O104" s="28" t="s">
        <v>1274</v>
      </c>
      <c r="P104" s="36" t="s">
        <v>1274</v>
      </c>
      <c r="Q104" s="29" t="s">
        <v>971</v>
      </c>
      <c r="R104" s="28" t="s">
        <v>1312</v>
      </c>
      <c r="S104" s="28" t="s">
        <v>1385</v>
      </c>
      <c r="T104" s="28" t="s">
        <v>1274</v>
      </c>
      <c r="U104" s="28" t="s">
        <v>1297</v>
      </c>
      <c r="V104" s="36" t="s">
        <v>1274</v>
      </c>
      <c r="W104" s="29" t="s">
        <v>1061</v>
      </c>
      <c r="X104" s="28" t="s">
        <v>1312</v>
      </c>
      <c r="Y104" s="28" t="s">
        <v>1300</v>
      </c>
      <c r="Z104" s="28" t="s">
        <v>1274</v>
      </c>
      <c r="AA104" s="28" t="s">
        <v>1274</v>
      </c>
      <c r="AB104" s="36" t="s">
        <v>1274</v>
      </c>
      <c r="AC104" s="31" t="s">
        <v>1062</v>
      </c>
      <c r="AD104" s="32" t="s">
        <v>1310</v>
      </c>
      <c r="AE104" s="32" t="s">
        <v>400</v>
      </c>
      <c r="AF104" s="32" t="s">
        <v>1274</v>
      </c>
      <c r="AG104" s="32" t="s">
        <v>1274</v>
      </c>
      <c r="AH104" s="43" t="s">
        <v>1274</v>
      </c>
      <c r="AI104" s="31" t="s">
        <v>1063</v>
      </c>
      <c r="AJ104" s="32">
        <v>0</v>
      </c>
      <c r="AK104" s="32" t="s">
        <v>1350</v>
      </c>
      <c r="AL104" s="32" t="s">
        <v>1274</v>
      </c>
      <c r="AM104" s="32" t="s">
        <v>1274</v>
      </c>
      <c r="AN104" s="33" t="s">
        <v>1274</v>
      </c>
    </row>
    <row r="105" spans="4:46" x14ac:dyDescent="0.25">
      <c r="D105">
        <v>31</v>
      </c>
      <c r="E105" s="29" t="s">
        <v>654</v>
      </c>
      <c r="F105" s="28" t="s">
        <v>1281</v>
      </c>
      <c r="G105" s="28" t="s">
        <v>1284</v>
      </c>
      <c r="H105" s="28" t="s">
        <v>1274</v>
      </c>
      <c r="I105" s="28" t="s">
        <v>1274</v>
      </c>
      <c r="J105" s="36" t="s">
        <v>1274</v>
      </c>
      <c r="K105" s="29" t="s">
        <v>972</v>
      </c>
      <c r="L105" s="28" t="s">
        <v>1318</v>
      </c>
      <c r="M105" s="28" t="s">
        <v>1300</v>
      </c>
      <c r="N105" s="28" t="s">
        <v>1274</v>
      </c>
      <c r="O105" s="28" t="s">
        <v>1274</v>
      </c>
      <c r="P105" s="36" t="s">
        <v>1274</v>
      </c>
      <c r="Q105" s="29" t="s">
        <v>722</v>
      </c>
      <c r="R105" s="28" t="s">
        <v>1310</v>
      </c>
      <c r="S105" s="28" t="s">
        <v>1288</v>
      </c>
      <c r="T105" s="28" t="s">
        <v>1274</v>
      </c>
      <c r="U105" s="28" t="s">
        <v>1274</v>
      </c>
      <c r="V105" s="36" t="s">
        <v>1274</v>
      </c>
      <c r="W105" s="29" t="s">
        <v>1064</v>
      </c>
      <c r="X105" s="28" t="s">
        <v>1333</v>
      </c>
      <c r="Y105" s="28" t="s">
        <v>400</v>
      </c>
      <c r="Z105" s="28" t="s">
        <v>1274</v>
      </c>
      <c r="AA105" s="28" t="s">
        <v>1274</v>
      </c>
      <c r="AB105" s="30" t="s">
        <v>1274</v>
      </c>
    </row>
    <row r="106" spans="4:46" ht="15.75" thickBot="1" x14ac:dyDescent="0.3">
      <c r="D106">
        <v>32</v>
      </c>
      <c r="E106" s="29" t="s">
        <v>973</v>
      </c>
      <c r="F106" s="28" t="s">
        <v>1221</v>
      </c>
      <c r="G106" s="28" t="s">
        <v>1221</v>
      </c>
      <c r="H106" s="28" t="s">
        <v>1274</v>
      </c>
      <c r="I106" s="28" t="s">
        <v>1274</v>
      </c>
      <c r="J106" s="36" t="s">
        <v>1297</v>
      </c>
      <c r="K106" s="29" t="s">
        <v>974</v>
      </c>
      <c r="L106" s="28" t="s">
        <v>1310</v>
      </c>
      <c r="M106" s="28" t="s">
        <v>1330</v>
      </c>
      <c r="N106" s="28" t="s">
        <v>1274</v>
      </c>
      <c r="O106" s="28" t="s">
        <v>1297</v>
      </c>
      <c r="P106" s="36" t="s">
        <v>1274</v>
      </c>
      <c r="Q106" s="31" t="s">
        <v>975</v>
      </c>
      <c r="R106" s="32" t="s">
        <v>1221</v>
      </c>
      <c r="S106" s="32" t="s">
        <v>1386</v>
      </c>
      <c r="T106" s="32" t="s">
        <v>1274</v>
      </c>
      <c r="U106" s="32" t="s">
        <v>1274</v>
      </c>
      <c r="V106" s="43" t="s">
        <v>1274</v>
      </c>
      <c r="W106" s="31" t="s">
        <v>1065</v>
      </c>
      <c r="X106" s="32" t="s">
        <v>1221</v>
      </c>
      <c r="Y106" s="32" t="s">
        <v>1385</v>
      </c>
      <c r="Z106" s="32" t="s">
        <v>1274</v>
      </c>
      <c r="AA106" s="32" t="s">
        <v>1274</v>
      </c>
      <c r="AB106" s="33" t="s">
        <v>1274</v>
      </c>
    </row>
    <row r="107" spans="4:46" x14ac:dyDescent="0.25">
      <c r="D107">
        <v>33</v>
      </c>
      <c r="E107" s="29" t="s">
        <v>976</v>
      </c>
      <c r="F107" s="28" t="s">
        <v>1305</v>
      </c>
      <c r="G107" s="28" t="s">
        <v>1294</v>
      </c>
      <c r="H107" s="28" t="s">
        <v>1274</v>
      </c>
      <c r="I107" s="28" t="s">
        <v>1274</v>
      </c>
      <c r="J107" s="36" t="s">
        <v>1274</v>
      </c>
      <c r="K107" s="29" t="s">
        <v>977</v>
      </c>
      <c r="L107" s="28" t="s">
        <v>1364</v>
      </c>
      <c r="M107" s="28" t="s">
        <v>1369</v>
      </c>
      <c r="N107" s="28" t="s">
        <v>1274</v>
      </c>
      <c r="O107" s="28" t="s">
        <v>1274</v>
      </c>
      <c r="P107" s="30" t="s">
        <v>1274</v>
      </c>
    </row>
    <row r="108" spans="4:46" x14ac:dyDescent="0.25">
      <c r="D108">
        <v>34</v>
      </c>
      <c r="E108" s="29" t="s">
        <v>978</v>
      </c>
      <c r="F108" s="28" t="s">
        <v>1304</v>
      </c>
      <c r="G108" s="28" t="s">
        <v>400</v>
      </c>
      <c r="H108" s="28" t="s">
        <v>1274</v>
      </c>
      <c r="I108" s="28" t="s">
        <v>1274</v>
      </c>
      <c r="J108" s="36" t="s">
        <v>1297</v>
      </c>
      <c r="K108" s="29" t="s">
        <v>979</v>
      </c>
      <c r="L108" s="28" t="s">
        <v>1221</v>
      </c>
      <c r="M108" s="28" t="s">
        <v>1275</v>
      </c>
      <c r="N108" s="28" t="s">
        <v>1274</v>
      </c>
      <c r="O108" s="28" t="s">
        <v>1274</v>
      </c>
      <c r="P108" s="30" t="s">
        <v>1297</v>
      </c>
    </row>
    <row r="109" spans="4:46" x14ac:dyDescent="0.25">
      <c r="D109">
        <v>35</v>
      </c>
      <c r="E109" s="29" t="s">
        <v>784</v>
      </c>
      <c r="F109" s="28" t="s">
        <v>1221</v>
      </c>
      <c r="G109" s="28" t="s">
        <v>1286</v>
      </c>
      <c r="H109" s="28" t="s">
        <v>1274</v>
      </c>
      <c r="I109" s="28" t="s">
        <v>1274</v>
      </c>
      <c r="J109" s="36" t="s">
        <v>1274</v>
      </c>
      <c r="K109" s="29" t="s">
        <v>980</v>
      </c>
      <c r="L109" s="28" t="s">
        <v>1221</v>
      </c>
      <c r="M109" s="28" t="s">
        <v>1335</v>
      </c>
      <c r="N109" s="28" t="s">
        <v>1297</v>
      </c>
      <c r="O109" s="28" t="s">
        <v>1274</v>
      </c>
      <c r="P109" s="30" t="s">
        <v>1274</v>
      </c>
    </row>
    <row r="110" spans="4:46" ht="15.75" thickBot="1" x14ac:dyDescent="0.3">
      <c r="D110">
        <v>36</v>
      </c>
      <c r="E110" s="29" t="s">
        <v>981</v>
      </c>
      <c r="F110" s="28" t="s">
        <v>1279</v>
      </c>
      <c r="G110" s="28" t="s">
        <v>1275</v>
      </c>
      <c r="H110" s="28" t="s">
        <v>1274</v>
      </c>
      <c r="I110" s="28" t="s">
        <v>1274</v>
      </c>
      <c r="J110" s="36" t="s">
        <v>1274</v>
      </c>
      <c r="K110" s="31" t="s">
        <v>982</v>
      </c>
      <c r="L110" s="32">
        <v>0</v>
      </c>
      <c r="M110" s="32" t="s">
        <v>1347</v>
      </c>
      <c r="N110" s="32" t="s">
        <v>1274</v>
      </c>
      <c r="O110" s="32" t="s">
        <v>1274</v>
      </c>
      <c r="P110" s="33" t="s">
        <v>1274</v>
      </c>
    </row>
    <row r="111" spans="4:46" x14ac:dyDescent="0.25">
      <c r="D111">
        <v>37</v>
      </c>
      <c r="E111" s="29" t="s">
        <v>983</v>
      </c>
      <c r="F111" s="28" t="s">
        <v>1221</v>
      </c>
      <c r="G111" s="28" t="s">
        <v>400</v>
      </c>
      <c r="H111" s="28" t="s">
        <v>1274</v>
      </c>
      <c r="I111" s="28" t="s">
        <v>1274</v>
      </c>
      <c r="J111" s="30" t="s">
        <v>1274</v>
      </c>
    </row>
    <row r="112" spans="4:46" x14ac:dyDescent="0.25">
      <c r="D112">
        <v>38</v>
      </c>
      <c r="E112" s="29" t="s">
        <v>984</v>
      </c>
      <c r="F112" s="28">
        <v>0</v>
      </c>
      <c r="G112" s="28" t="s">
        <v>1295</v>
      </c>
      <c r="H112" s="28" t="s">
        <v>1274</v>
      </c>
      <c r="I112" s="28" t="s">
        <v>1274</v>
      </c>
      <c r="J112" s="30" t="s">
        <v>1274</v>
      </c>
    </row>
    <row r="113" spans="4:10" x14ac:dyDescent="0.25">
      <c r="D113">
        <v>39</v>
      </c>
      <c r="E113" s="29" t="s">
        <v>985</v>
      </c>
      <c r="F113" s="28" t="s">
        <v>1306</v>
      </c>
      <c r="G113" s="28" t="s">
        <v>1283</v>
      </c>
      <c r="H113" s="28" t="s">
        <v>1274</v>
      </c>
      <c r="I113" s="28" t="s">
        <v>1274</v>
      </c>
      <c r="J113" s="30" t="s">
        <v>1274</v>
      </c>
    </row>
    <row r="114" spans="4:10" ht="15.75" thickBot="1" x14ac:dyDescent="0.3">
      <c r="D114">
        <v>40</v>
      </c>
      <c r="E114" s="31" t="s">
        <v>986</v>
      </c>
      <c r="F114" s="32" t="s">
        <v>1307</v>
      </c>
      <c r="G114" s="32" t="s">
        <v>1296</v>
      </c>
      <c r="H114" s="32" t="s">
        <v>1274</v>
      </c>
      <c r="I114" s="32" t="s">
        <v>1297</v>
      </c>
      <c r="J114" s="33" t="s">
        <v>1274</v>
      </c>
    </row>
    <row r="117" spans="4:10" x14ac:dyDescent="0.25">
      <c r="E117" t="s">
        <v>117</v>
      </c>
    </row>
    <row r="118" spans="4:10" x14ac:dyDescent="0.25">
      <c r="E118" t="s">
        <v>1124</v>
      </c>
    </row>
    <row r="119" spans="4:10" x14ac:dyDescent="0.25">
      <c r="D119">
        <v>1</v>
      </c>
      <c r="E119" t="s">
        <v>1125</v>
      </c>
    </row>
    <row r="120" spans="4:10" x14ac:dyDescent="0.25">
      <c r="D120">
        <v>2</v>
      </c>
      <c r="E120" t="s">
        <v>1128</v>
      </c>
    </row>
    <row r="121" spans="4:10" x14ac:dyDescent="0.25">
      <c r="D121">
        <v>3</v>
      </c>
      <c r="E121" t="s">
        <v>1130</v>
      </c>
    </row>
    <row r="122" spans="4:10" x14ac:dyDescent="0.25">
      <c r="D122">
        <v>4</v>
      </c>
      <c r="E122" t="s">
        <v>1132</v>
      </c>
    </row>
    <row r="123" spans="4:10" x14ac:dyDescent="0.25">
      <c r="D123">
        <v>5</v>
      </c>
      <c r="E123" t="s">
        <v>1135</v>
      </c>
    </row>
    <row r="124" spans="4:10" x14ac:dyDescent="0.25">
      <c r="D124">
        <v>6</v>
      </c>
      <c r="E124" t="s">
        <v>1137</v>
      </c>
    </row>
    <row r="125" spans="4:10" x14ac:dyDescent="0.25">
      <c r="D125">
        <v>7</v>
      </c>
      <c r="E125" t="s">
        <v>1140</v>
      </c>
    </row>
    <row r="126" spans="4:10" x14ac:dyDescent="0.25">
      <c r="D126">
        <v>8</v>
      </c>
      <c r="E126" t="s">
        <v>1142</v>
      </c>
    </row>
    <row r="127" spans="4:10" x14ac:dyDescent="0.25">
      <c r="D127">
        <v>9</v>
      </c>
    </row>
    <row r="128" spans="4:10" x14ac:dyDescent="0.25">
      <c r="D128">
        <v>10</v>
      </c>
    </row>
    <row r="129" spans="4:46" x14ac:dyDescent="0.25">
      <c r="D129">
        <v>11</v>
      </c>
    </row>
    <row r="130" spans="4:46" x14ac:dyDescent="0.25">
      <c r="D130">
        <v>12</v>
      </c>
    </row>
    <row r="131" spans="4:46" x14ac:dyDescent="0.25">
      <c r="D131">
        <v>13</v>
      </c>
    </row>
    <row r="132" spans="4:46" x14ac:dyDescent="0.25">
      <c r="D132">
        <v>14</v>
      </c>
    </row>
    <row r="133" spans="4:46" x14ac:dyDescent="0.25">
      <c r="D133">
        <v>15</v>
      </c>
    </row>
    <row r="134" spans="4:46" x14ac:dyDescent="0.25">
      <c r="D134">
        <v>16</v>
      </c>
    </row>
    <row r="135" spans="4:46" ht="15.75" thickBot="1" x14ac:dyDescent="0.3"/>
    <row r="136" spans="4:46" x14ac:dyDescent="0.25">
      <c r="E136" s="45" t="s">
        <v>664</v>
      </c>
      <c r="F136" s="46" t="s">
        <v>1275</v>
      </c>
      <c r="G136" s="46" t="s">
        <v>1218</v>
      </c>
      <c r="H136" s="46" t="s">
        <v>1201</v>
      </c>
      <c r="I136" s="46" t="s">
        <v>400</v>
      </c>
      <c r="J136" s="48" t="s">
        <v>388</v>
      </c>
      <c r="K136" s="45" t="s">
        <v>665</v>
      </c>
      <c r="L136" s="46" t="s">
        <v>1275</v>
      </c>
      <c r="M136" s="46" t="s">
        <v>1218</v>
      </c>
      <c r="N136" s="46" t="s">
        <v>1201</v>
      </c>
      <c r="O136" s="46" t="s">
        <v>400</v>
      </c>
      <c r="P136" s="48" t="s">
        <v>388</v>
      </c>
      <c r="Q136" s="45" t="s">
        <v>666</v>
      </c>
      <c r="R136" s="46" t="s">
        <v>1275</v>
      </c>
      <c r="S136" s="46" t="s">
        <v>1218</v>
      </c>
      <c r="T136" s="46" t="s">
        <v>1201</v>
      </c>
      <c r="U136" s="46" t="s">
        <v>400</v>
      </c>
      <c r="V136" s="48" t="s">
        <v>388</v>
      </c>
      <c r="W136" s="45" t="s">
        <v>667</v>
      </c>
      <c r="X136" s="46" t="s">
        <v>1275</v>
      </c>
      <c r="Y136" s="46" t="s">
        <v>1218</v>
      </c>
      <c r="Z136" s="46" t="s">
        <v>1201</v>
      </c>
      <c r="AA136" s="46" t="s">
        <v>400</v>
      </c>
      <c r="AB136" s="48" t="s">
        <v>388</v>
      </c>
      <c r="AC136" s="45" t="s">
        <v>723</v>
      </c>
      <c r="AD136" s="46" t="s">
        <v>1275</v>
      </c>
      <c r="AE136" s="46" t="s">
        <v>1218</v>
      </c>
      <c r="AF136" s="46" t="s">
        <v>1201</v>
      </c>
      <c r="AG136" s="46" t="s">
        <v>400</v>
      </c>
      <c r="AH136" s="48" t="s">
        <v>388</v>
      </c>
      <c r="AI136" s="45" t="s">
        <v>724</v>
      </c>
      <c r="AJ136" s="46" t="s">
        <v>1275</v>
      </c>
      <c r="AK136" s="46" t="s">
        <v>1218</v>
      </c>
      <c r="AL136" s="46" t="s">
        <v>1201</v>
      </c>
      <c r="AM136" s="46" t="s">
        <v>400</v>
      </c>
      <c r="AN136" s="48" t="s">
        <v>388</v>
      </c>
      <c r="AO136" s="45" t="s">
        <v>725</v>
      </c>
      <c r="AP136" s="46" t="s">
        <v>1275</v>
      </c>
      <c r="AQ136" s="46" t="s">
        <v>1218</v>
      </c>
      <c r="AR136" s="46" t="s">
        <v>1201</v>
      </c>
      <c r="AS136" s="46" t="s">
        <v>400</v>
      </c>
      <c r="AT136" s="47" t="s">
        <v>388</v>
      </c>
    </row>
    <row r="137" spans="4:46" x14ac:dyDescent="0.25">
      <c r="D137">
        <v>1</v>
      </c>
      <c r="E137" s="29" t="s">
        <v>1126</v>
      </c>
      <c r="F137" s="28">
        <v>0</v>
      </c>
      <c r="G137" s="28" t="s">
        <v>400</v>
      </c>
      <c r="H137" s="28" t="s">
        <v>1274</v>
      </c>
      <c r="I137" s="28" t="s">
        <v>1274</v>
      </c>
      <c r="J137" s="36" t="s">
        <v>1297</v>
      </c>
      <c r="K137" s="29" t="s">
        <v>1127</v>
      </c>
      <c r="L137" s="28">
        <v>0</v>
      </c>
      <c r="M137" s="28" t="s">
        <v>1410</v>
      </c>
      <c r="N137" s="28" t="s">
        <v>1274</v>
      </c>
      <c r="O137" s="28" t="s">
        <v>1274</v>
      </c>
      <c r="P137" s="36" t="s">
        <v>1297</v>
      </c>
      <c r="Q137" s="29" t="s">
        <v>908</v>
      </c>
      <c r="R137" s="28" t="s">
        <v>1221</v>
      </c>
      <c r="S137" s="28" t="s">
        <v>1369</v>
      </c>
      <c r="T137" s="28" t="s">
        <v>1274</v>
      </c>
      <c r="U137" s="28" t="s">
        <v>1274</v>
      </c>
      <c r="V137" s="36" t="s">
        <v>1274</v>
      </c>
      <c r="W137" s="29" t="s">
        <v>1161</v>
      </c>
      <c r="X137" s="28" t="s">
        <v>1312</v>
      </c>
      <c r="Y137" s="28" t="s">
        <v>1413</v>
      </c>
      <c r="Z137" s="28" t="s">
        <v>1274</v>
      </c>
      <c r="AA137" s="28" t="s">
        <v>1274</v>
      </c>
      <c r="AB137" s="36" t="s">
        <v>1274</v>
      </c>
      <c r="AC137" s="29" t="s">
        <v>1162</v>
      </c>
      <c r="AD137" s="28" t="s">
        <v>1364</v>
      </c>
      <c r="AE137" s="28" t="s">
        <v>1300</v>
      </c>
      <c r="AF137" s="28" t="s">
        <v>1274</v>
      </c>
      <c r="AG137" s="28" t="s">
        <v>1274</v>
      </c>
      <c r="AH137" s="36" t="s">
        <v>1274</v>
      </c>
      <c r="AI137" s="29" t="s">
        <v>1163</v>
      </c>
      <c r="AJ137" s="28" t="s">
        <v>1312</v>
      </c>
      <c r="AK137" s="28" t="s">
        <v>1416</v>
      </c>
      <c r="AL137" s="28" t="s">
        <v>1274</v>
      </c>
      <c r="AM137" s="28" t="s">
        <v>1274</v>
      </c>
      <c r="AN137" s="36" t="s">
        <v>1274</v>
      </c>
      <c r="AO137" s="29" t="s">
        <v>1164</v>
      </c>
      <c r="AP137" s="28" t="s">
        <v>1400</v>
      </c>
      <c r="AQ137" s="28" t="s">
        <v>400</v>
      </c>
      <c r="AR137" s="28" t="s">
        <v>1415</v>
      </c>
      <c r="AS137" s="28" t="s">
        <v>1415</v>
      </c>
      <c r="AT137" s="30" t="s">
        <v>1415</v>
      </c>
    </row>
    <row r="138" spans="4:46" x14ac:dyDescent="0.25">
      <c r="D138">
        <v>2</v>
      </c>
      <c r="E138" s="29" t="s">
        <v>1129</v>
      </c>
      <c r="F138" s="28" t="s">
        <v>1221</v>
      </c>
      <c r="G138" s="28" t="s">
        <v>400</v>
      </c>
      <c r="H138" s="28" t="s">
        <v>1274</v>
      </c>
      <c r="I138" s="28" t="s">
        <v>1274</v>
      </c>
      <c r="J138" s="36" t="s">
        <v>1274</v>
      </c>
      <c r="K138" s="29" t="s">
        <v>903</v>
      </c>
      <c r="L138" s="28" t="s">
        <v>400</v>
      </c>
      <c r="M138" s="28" t="s">
        <v>400</v>
      </c>
      <c r="N138" s="28" t="s">
        <v>1274</v>
      </c>
      <c r="O138" s="28" t="s">
        <v>1274</v>
      </c>
      <c r="P138" s="36" t="s">
        <v>1274</v>
      </c>
      <c r="Q138" s="29" t="s">
        <v>1009</v>
      </c>
      <c r="R138" s="28" t="s">
        <v>1310</v>
      </c>
      <c r="S138" s="28" t="s">
        <v>1275</v>
      </c>
      <c r="T138" s="28" t="s">
        <v>1274</v>
      </c>
      <c r="U138" s="28" t="s">
        <v>1274</v>
      </c>
      <c r="V138" s="36" t="s">
        <v>1297</v>
      </c>
      <c r="W138" s="29" t="s">
        <v>737</v>
      </c>
      <c r="X138" s="28" t="s">
        <v>1325</v>
      </c>
      <c r="Y138" s="28" t="s">
        <v>1300</v>
      </c>
      <c r="Z138" s="28" t="s">
        <v>1274</v>
      </c>
      <c r="AA138" s="28" t="s">
        <v>1274</v>
      </c>
      <c r="AB138" s="36" t="s">
        <v>1274</v>
      </c>
      <c r="AC138" s="29" t="s">
        <v>1165</v>
      </c>
      <c r="AD138" s="28" t="s">
        <v>1318</v>
      </c>
      <c r="AE138" s="28" t="s">
        <v>1350</v>
      </c>
      <c r="AF138" s="28" t="s">
        <v>1274</v>
      </c>
      <c r="AG138" s="28" t="s">
        <v>1274</v>
      </c>
      <c r="AH138" s="36" t="s">
        <v>1274</v>
      </c>
      <c r="AI138" s="29" t="s">
        <v>1166</v>
      </c>
      <c r="AJ138" s="28" t="s">
        <v>1313</v>
      </c>
      <c r="AK138" s="28" t="s">
        <v>1300</v>
      </c>
      <c r="AL138" s="28" t="s">
        <v>1274</v>
      </c>
      <c r="AM138" s="28" t="s">
        <v>1274</v>
      </c>
      <c r="AN138" s="36" t="s">
        <v>1297</v>
      </c>
      <c r="AO138" s="29" t="s">
        <v>1167</v>
      </c>
      <c r="AP138" s="28" t="s">
        <v>1312</v>
      </c>
      <c r="AQ138" s="28" t="s">
        <v>400</v>
      </c>
      <c r="AR138" s="28" t="s">
        <v>1274</v>
      </c>
      <c r="AS138" s="28" t="s">
        <v>1274</v>
      </c>
      <c r="AT138" s="30" t="s">
        <v>1297</v>
      </c>
    </row>
    <row r="139" spans="4:46" x14ac:dyDescent="0.25">
      <c r="D139">
        <v>3</v>
      </c>
      <c r="E139" s="29" t="s">
        <v>906</v>
      </c>
      <c r="F139" s="28" t="s">
        <v>1308</v>
      </c>
      <c r="G139" s="28" t="s">
        <v>1291</v>
      </c>
      <c r="H139" s="28" t="s">
        <v>1274</v>
      </c>
      <c r="I139" s="28" t="s">
        <v>1274</v>
      </c>
      <c r="J139" s="36" t="s">
        <v>1297</v>
      </c>
      <c r="K139" s="29" t="s">
        <v>644</v>
      </c>
      <c r="L139" s="28" t="s">
        <v>1312</v>
      </c>
      <c r="M139" s="28" t="s">
        <v>400</v>
      </c>
      <c r="N139" s="28" t="s">
        <v>1274</v>
      </c>
      <c r="O139" s="28" t="s">
        <v>1297</v>
      </c>
      <c r="P139" s="36" t="s">
        <v>1297</v>
      </c>
      <c r="Q139" s="29" t="s">
        <v>1131</v>
      </c>
      <c r="R139" s="28">
        <v>0</v>
      </c>
      <c r="S139" s="28" t="s">
        <v>1275</v>
      </c>
      <c r="T139" s="28" t="s">
        <v>1274</v>
      </c>
      <c r="U139" s="28" t="s">
        <v>1274</v>
      </c>
      <c r="V139" s="36" t="s">
        <v>1274</v>
      </c>
      <c r="W139" s="29" t="s">
        <v>1168</v>
      </c>
      <c r="X139" s="28" t="s">
        <v>1221</v>
      </c>
      <c r="Y139" s="28" t="s">
        <v>1350</v>
      </c>
      <c r="Z139" s="28" t="s">
        <v>1274</v>
      </c>
      <c r="AA139" s="28" t="s">
        <v>1274</v>
      </c>
      <c r="AB139" s="36" t="s">
        <v>1274</v>
      </c>
      <c r="AC139" s="29" t="s">
        <v>1019</v>
      </c>
      <c r="AD139" s="28" t="s">
        <v>1364</v>
      </c>
      <c r="AE139" s="28" t="s">
        <v>1300</v>
      </c>
      <c r="AF139" s="28" t="s">
        <v>1274</v>
      </c>
      <c r="AG139" s="28" t="s">
        <v>1274</v>
      </c>
      <c r="AH139" s="36" t="s">
        <v>1274</v>
      </c>
      <c r="AI139" s="29" t="s">
        <v>1169</v>
      </c>
      <c r="AJ139" s="28" t="s">
        <v>1310</v>
      </c>
      <c r="AK139" s="28" t="s">
        <v>1275</v>
      </c>
      <c r="AL139" s="28" t="s">
        <v>1274</v>
      </c>
      <c r="AM139" s="28" t="s">
        <v>1274</v>
      </c>
      <c r="AN139" s="36" t="s">
        <v>1274</v>
      </c>
      <c r="AO139" s="29" t="s">
        <v>1170</v>
      </c>
      <c r="AP139" s="28">
        <v>0</v>
      </c>
      <c r="AQ139" s="28" t="s">
        <v>1375</v>
      </c>
      <c r="AR139" s="28" t="s">
        <v>1274</v>
      </c>
      <c r="AS139" s="28" t="s">
        <v>1274</v>
      </c>
      <c r="AT139" s="30" t="s">
        <v>1297</v>
      </c>
    </row>
    <row r="140" spans="4:46" x14ac:dyDescent="0.25">
      <c r="D140">
        <v>4</v>
      </c>
      <c r="E140" s="29" t="s">
        <v>1133</v>
      </c>
      <c r="F140" s="28">
        <v>0</v>
      </c>
      <c r="G140" s="28" t="s">
        <v>1314</v>
      </c>
      <c r="H140" s="28" t="s">
        <v>1274</v>
      </c>
      <c r="I140" s="28" t="s">
        <v>1274</v>
      </c>
      <c r="J140" s="36" t="s">
        <v>1297</v>
      </c>
      <c r="K140" s="29" t="s">
        <v>1134</v>
      </c>
      <c r="L140" s="28" t="s">
        <v>1312</v>
      </c>
      <c r="M140" s="28" t="s">
        <v>1300</v>
      </c>
      <c r="N140" s="28" t="s">
        <v>1274</v>
      </c>
      <c r="O140" s="28" t="s">
        <v>1274</v>
      </c>
      <c r="P140" s="36" t="s">
        <v>1297</v>
      </c>
      <c r="Q140" s="29" t="s">
        <v>1012</v>
      </c>
      <c r="R140" s="28" t="s">
        <v>1363</v>
      </c>
      <c r="S140" s="28" t="s">
        <v>400</v>
      </c>
      <c r="T140" s="28" t="s">
        <v>1274</v>
      </c>
      <c r="U140" s="28" t="s">
        <v>1274</v>
      </c>
      <c r="V140" s="36" t="s">
        <v>1297</v>
      </c>
      <c r="W140" s="29" t="s">
        <v>1171</v>
      </c>
      <c r="X140" s="28" t="s">
        <v>1221</v>
      </c>
      <c r="Y140" s="28" t="s">
        <v>1384</v>
      </c>
      <c r="Z140" s="28" t="s">
        <v>1274</v>
      </c>
      <c r="AA140" s="28" t="s">
        <v>1274</v>
      </c>
      <c r="AB140" s="36" t="s">
        <v>1297</v>
      </c>
      <c r="AC140" s="29" t="s">
        <v>1172</v>
      </c>
      <c r="AD140" s="28" t="s">
        <v>1363</v>
      </c>
      <c r="AE140" s="28" t="s">
        <v>1300</v>
      </c>
      <c r="AF140" s="28" t="s">
        <v>1274</v>
      </c>
      <c r="AG140" s="28" t="s">
        <v>1274</v>
      </c>
      <c r="AH140" s="36" t="s">
        <v>1274</v>
      </c>
      <c r="AI140" s="29" t="s">
        <v>1173</v>
      </c>
      <c r="AJ140" s="28" t="s">
        <v>1310</v>
      </c>
      <c r="AK140" s="28" t="s">
        <v>400</v>
      </c>
      <c r="AL140" s="28" t="s">
        <v>1274</v>
      </c>
      <c r="AM140" s="28" t="s">
        <v>1274</v>
      </c>
      <c r="AN140" s="36" t="s">
        <v>1274</v>
      </c>
      <c r="AO140" s="29" t="s">
        <v>1174</v>
      </c>
      <c r="AP140" s="28" t="s">
        <v>1221</v>
      </c>
      <c r="AQ140" s="28" t="s">
        <v>1350</v>
      </c>
      <c r="AR140" s="28" t="s">
        <v>1274</v>
      </c>
      <c r="AS140" s="28" t="s">
        <v>1274</v>
      </c>
      <c r="AT140" s="30" t="s">
        <v>1297</v>
      </c>
    </row>
    <row r="141" spans="4:46" x14ac:dyDescent="0.25">
      <c r="D141">
        <v>5</v>
      </c>
      <c r="E141" s="29" t="s">
        <v>911</v>
      </c>
      <c r="F141" s="28" t="s">
        <v>1310</v>
      </c>
      <c r="G141" s="28" t="s">
        <v>1283</v>
      </c>
      <c r="H141" s="28" t="s">
        <v>1274</v>
      </c>
      <c r="I141" s="28" t="s">
        <v>1274</v>
      </c>
      <c r="J141" s="36" t="s">
        <v>1274</v>
      </c>
      <c r="K141" s="29" t="s">
        <v>676</v>
      </c>
      <c r="L141" s="28">
        <v>0</v>
      </c>
      <c r="M141" s="28" t="s">
        <v>1286</v>
      </c>
      <c r="N141" s="28" t="s">
        <v>1274</v>
      </c>
      <c r="O141" s="28" t="s">
        <v>1274</v>
      </c>
      <c r="P141" s="36" t="s">
        <v>1297</v>
      </c>
      <c r="Q141" s="29" t="s">
        <v>1136</v>
      </c>
      <c r="R141" s="28" t="s">
        <v>1363</v>
      </c>
      <c r="S141" s="28" t="s">
        <v>400</v>
      </c>
      <c r="T141" s="28" t="s">
        <v>1274</v>
      </c>
      <c r="U141" s="28" t="s">
        <v>1274</v>
      </c>
      <c r="V141" s="36" t="s">
        <v>1274</v>
      </c>
      <c r="W141" s="29" t="s">
        <v>673</v>
      </c>
      <c r="X141" s="28" t="s">
        <v>1389</v>
      </c>
      <c r="Y141" s="28" t="s">
        <v>1275</v>
      </c>
      <c r="Z141" s="28" t="s">
        <v>1274</v>
      </c>
      <c r="AA141" s="28" t="s">
        <v>1274</v>
      </c>
      <c r="AB141" s="36" t="s">
        <v>1297</v>
      </c>
      <c r="AC141" s="29" t="s">
        <v>1175</v>
      </c>
      <c r="AD141" s="28" t="s">
        <v>1318</v>
      </c>
      <c r="AE141" s="28" t="s">
        <v>1334</v>
      </c>
      <c r="AF141" s="28" t="s">
        <v>1274</v>
      </c>
      <c r="AG141" s="28" t="s">
        <v>1274</v>
      </c>
      <c r="AH141" s="36" t="s">
        <v>1274</v>
      </c>
      <c r="AI141" s="29" t="s">
        <v>810</v>
      </c>
      <c r="AJ141" s="28" t="s">
        <v>1312</v>
      </c>
      <c r="AK141" s="28" t="s">
        <v>1300</v>
      </c>
      <c r="AL141" s="28" t="s">
        <v>1274</v>
      </c>
      <c r="AM141" s="28" t="s">
        <v>1274</v>
      </c>
      <c r="AN141" s="36" t="s">
        <v>1297</v>
      </c>
      <c r="AO141" s="29" t="s">
        <v>1176</v>
      </c>
      <c r="AP141" s="28" t="s">
        <v>1318</v>
      </c>
      <c r="AQ141" s="28" t="s">
        <v>1298</v>
      </c>
      <c r="AR141" s="28" t="s">
        <v>1274</v>
      </c>
      <c r="AS141" s="28" t="s">
        <v>1274</v>
      </c>
      <c r="AT141" s="30" t="s">
        <v>1297</v>
      </c>
    </row>
    <row r="142" spans="4:46" x14ac:dyDescent="0.25">
      <c r="D142">
        <v>6</v>
      </c>
      <c r="E142" s="29" t="s">
        <v>916</v>
      </c>
      <c r="F142" s="28" t="s">
        <v>1221</v>
      </c>
      <c r="G142" s="28" t="s">
        <v>1315</v>
      </c>
      <c r="H142" s="28" t="s">
        <v>1274</v>
      </c>
      <c r="I142" s="28" t="s">
        <v>1274</v>
      </c>
      <c r="J142" s="36" t="s">
        <v>1274</v>
      </c>
      <c r="K142" s="29" t="s">
        <v>1138</v>
      </c>
      <c r="L142" s="28" t="s">
        <v>1312</v>
      </c>
      <c r="M142" s="28" t="s">
        <v>400</v>
      </c>
      <c r="N142" s="28" t="s">
        <v>1274</v>
      </c>
      <c r="O142" s="28" t="s">
        <v>1274</v>
      </c>
      <c r="P142" s="36" t="s">
        <v>1297</v>
      </c>
      <c r="Q142" s="29" t="s">
        <v>1139</v>
      </c>
      <c r="R142" s="28">
        <v>0</v>
      </c>
      <c r="S142" s="28" t="s">
        <v>1286</v>
      </c>
      <c r="T142" s="28" t="s">
        <v>1297</v>
      </c>
      <c r="U142" s="28" t="s">
        <v>1274</v>
      </c>
      <c r="V142" s="36" t="s">
        <v>1274</v>
      </c>
      <c r="W142" s="29" t="s">
        <v>1177</v>
      </c>
      <c r="X142" s="28" t="s">
        <v>1310</v>
      </c>
      <c r="Y142" s="28" t="s">
        <v>400</v>
      </c>
      <c r="Z142" s="28" t="s">
        <v>1274</v>
      </c>
      <c r="AA142" s="28" t="s">
        <v>1274</v>
      </c>
      <c r="AB142" s="36" t="s">
        <v>1297</v>
      </c>
      <c r="AC142" s="29" t="s">
        <v>1098</v>
      </c>
      <c r="AD142" s="28" t="s">
        <v>1364</v>
      </c>
      <c r="AE142" s="28" t="s">
        <v>400</v>
      </c>
      <c r="AF142" s="28" t="s">
        <v>1274</v>
      </c>
      <c r="AG142" s="28" t="s">
        <v>1274</v>
      </c>
      <c r="AH142" s="36" t="s">
        <v>1297</v>
      </c>
      <c r="AI142" s="29" t="s">
        <v>1178</v>
      </c>
      <c r="AJ142" s="28" t="s">
        <v>1363</v>
      </c>
      <c r="AK142" s="28" t="s">
        <v>400</v>
      </c>
      <c r="AL142" s="28" t="s">
        <v>1274</v>
      </c>
      <c r="AM142" s="28" t="s">
        <v>1274</v>
      </c>
      <c r="AN142" s="36" t="s">
        <v>1297</v>
      </c>
      <c r="AO142" s="29" t="s">
        <v>822</v>
      </c>
      <c r="AP142" s="28" t="s">
        <v>1221</v>
      </c>
      <c r="AQ142" s="28" t="s">
        <v>400</v>
      </c>
      <c r="AR142" s="28" t="s">
        <v>1274</v>
      </c>
      <c r="AS142" s="28" t="s">
        <v>1274</v>
      </c>
      <c r="AT142" s="30" t="s">
        <v>1297</v>
      </c>
    </row>
    <row r="143" spans="4:46" x14ac:dyDescent="0.25">
      <c r="D143">
        <v>7</v>
      </c>
      <c r="E143" s="29" t="s">
        <v>921</v>
      </c>
      <c r="F143" s="28" t="s">
        <v>1308</v>
      </c>
      <c r="G143" s="28" t="s">
        <v>400</v>
      </c>
      <c r="H143" s="28" t="s">
        <v>1274</v>
      </c>
      <c r="I143" s="28" t="s">
        <v>1274</v>
      </c>
      <c r="J143" s="36" t="s">
        <v>1274</v>
      </c>
      <c r="K143" s="29" t="s">
        <v>1141</v>
      </c>
      <c r="L143" s="28" t="s">
        <v>1363</v>
      </c>
      <c r="M143" s="28" t="s">
        <v>400</v>
      </c>
      <c r="N143" s="28" t="s">
        <v>1274</v>
      </c>
      <c r="O143" s="28" t="s">
        <v>1274</v>
      </c>
      <c r="P143" s="36" t="s">
        <v>1274</v>
      </c>
      <c r="Q143" s="29" t="s">
        <v>931</v>
      </c>
      <c r="R143" s="28" t="s">
        <v>1221</v>
      </c>
      <c r="S143" s="28" t="s">
        <v>400</v>
      </c>
      <c r="T143" s="28" t="s">
        <v>1274</v>
      </c>
      <c r="U143" s="28" t="s">
        <v>1274</v>
      </c>
      <c r="V143" s="36" t="s">
        <v>1297</v>
      </c>
      <c r="W143" s="29" t="s">
        <v>1179</v>
      </c>
      <c r="X143" s="28" t="s">
        <v>1310</v>
      </c>
      <c r="Y143" s="28" t="s">
        <v>1298</v>
      </c>
      <c r="Z143" s="28" t="s">
        <v>1274</v>
      </c>
      <c r="AA143" s="28" t="s">
        <v>1274</v>
      </c>
      <c r="AB143" s="36" t="s">
        <v>1274</v>
      </c>
      <c r="AC143" s="29" t="s">
        <v>1180</v>
      </c>
      <c r="AD143" s="28" t="s">
        <v>1414</v>
      </c>
      <c r="AE143" s="28" t="s">
        <v>400</v>
      </c>
      <c r="AF143" s="28" t="s">
        <v>1274</v>
      </c>
      <c r="AG143" s="28" t="s">
        <v>1274</v>
      </c>
      <c r="AH143" s="36" t="s">
        <v>1297</v>
      </c>
      <c r="AI143" s="29" t="s">
        <v>1181</v>
      </c>
      <c r="AJ143" s="28" t="s">
        <v>1310</v>
      </c>
      <c r="AK143" s="28" t="s">
        <v>400</v>
      </c>
      <c r="AL143" s="28" t="s">
        <v>1274</v>
      </c>
      <c r="AM143" s="28" t="s">
        <v>1274</v>
      </c>
      <c r="AN143" s="36" t="s">
        <v>1274</v>
      </c>
      <c r="AO143" s="29" t="s">
        <v>1182</v>
      </c>
      <c r="AP143" s="28">
        <v>0</v>
      </c>
      <c r="AQ143" s="28" t="s">
        <v>400</v>
      </c>
      <c r="AR143" s="28" t="s">
        <v>1274</v>
      </c>
      <c r="AS143" s="28" t="s">
        <v>1274</v>
      </c>
      <c r="AT143" s="30" t="s">
        <v>1274</v>
      </c>
    </row>
    <row r="144" spans="4:46" ht="15.75" thickBot="1" x14ac:dyDescent="0.3">
      <c r="D144">
        <v>8</v>
      </c>
      <c r="E144" s="29" t="s">
        <v>1143</v>
      </c>
      <c r="F144" s="28" t="s">
        <v>1312</v>
      </c>
      <c r="G144" s="28" t="s">
        <v>1290</v>
      </c>
      <c r="H144" s="28" t="s">
        <v>1274</v>
      </c>
      <c r="I144" s="28" t="s">
        <v>1274</v>
      </c>
      <c r="J144" s="36" t="s">
        <v>1297</v>
      </c>
      <c r="K144" s="29" t="s">
        <v>926</v>
      </c>
      <c r="L144" s="28">
        <v>0</v>
      </c>
      <c r="M144" s="28" t="s">
        <v>1291</v>
      </c>
      <c r="N144" s="28" t="s">
        <v>1274</v>
      </c>
      <c r="O144" s="28" t="s">
        <v>1274</v>
      </c>
      <c r="P144" s="36" t="s">
        <v>1297</v>
      </c>
      <c r="Q144" s="29" t="s">
        <v>777</v>
      </c>
      <c r="R144" s="28" t="s">
        <v>1313</v>
      </c>
      <c r="S144" s="28" t="s">
        <v>1275</v>
      </c>
      <c r="T144" s="28" t="s">
        <v>1274</v>
      </c>
      <c r="U144" s="28" t="s">
        <v>1274</v>
      </c>
      <c r="V144" s="36" t="s">
        <v>1297</v>
      </c>
      <c r="W144" s="29" t="s">
        <v>1183</v>
      </c>
      <c r="X144" s="28" t="s">
        <v>1221</v>
      </c>
      <c r="Y144" s="28" t="s">
        <v>1337</v>
      </c>
      <c r="Z144" s="28" t="s">
        <v>1274</v>
      </c>
      <c r="AA144" s="28" t="s">
        <v>1274</v>
      </c>
      <c r="AB144" s="36" t="s">
        <v>1297</v>
      </c>
      <c r="AC144" s="29" t="s">
        <v>1034</v>
      </c>
      <c r="AD144" s="28" t="s">
        <v>1221</v>
      </c>
      <c r="AE144" s="28" t="s">
        <v>1300</v>
      </c>
      <c r="AF144" s="28" t="s">
        <v>1274</v>
      </c>
      <c r="AG144" s="28" t="s">
        <v>1274</v>
      </c>
      <c r="AH144" s="36" t="s">
        <v>1274</v>
      </c>
      <c r="AI144" s="29" t="s">
        <v>1184</v>
      </c>
      <c r="AJ144" s="28" t="s">
        <v>1312</v>
      </c>
      <c r="AK144" s="28" t="s">
        <v>1300</v>
      </c>
      <c r="AL144" s="28" t="s">
        <v>1274</v>
      </c>
      <c r="AM144" s="28" t="s">
        <v>1274</v>
      </c>
      <c r="AN144" s="36" t="s">
        <v>1297</v>
      </c>
      <c r="AO144" s="31" t="s">
        <v>1185</v>
      </c>
      <c r="AP144" s="32" t="s">
        <v>400</v>
      </c>
      <c r="AQ144" s="32" t="s">
        <v>400</v>
      </c>
      <c r="AR144" s="32" t="s">
        <v>400</v>
      </c>
      <c r="AS144" s="32" t="s">
        <v>400</v>
      </c>
      <c r="AT144" s="33" t="s">
        <v>400</v>
      </c>
    </row>
    <row r="145" spans="4:40" x14ac:dyDescent="0.25">
      <c r="D145">
        <v>9</v>
      </c>
      <c r="E145" s="29" t="s">
        <v>1144</v>
      </c>
      <c r="F145" s="28" t="s">
        <v>1310</v>
      </c>
      <c r="G145" s="28">
        <v>1</v>
      </c>
      <c r="H145" s="28" t="s">
        <v>1274</v>
      </c>
      <c r="I145" s="28" t="s">
        <v>1274</v>
      </c>
      <c r="J145" s="36" t="s">
        <v>1274</v>
      </c>
      <c r="K145" s="29" t="s">
        <v>649</v>
      </c>
      <c r="L145" s="28" t="s">
        <v>1221</v>
      </c>
      <c r="M145" s="28" t="s">
        <v>400</v>
      </c>
      <c r="N145" s="28" t="s">
        <v>1274</v>
      </c>
      <c r="O145" s="28" t="s">
        <v>1274</v>
      </c>
      <c r="P145" s="36" t="s">
        <v>1297</v>
      </c>
      <c r="Q145" s="29" t="s">
        <v>1145</v>
      </c>
      <c r="R145" s="28" t="s">
        <v>1221</v>
      </c>
      <c r="S145" s="28" t="s">
        <v>1350</v>
      </c>
      <c r="T145" s="28" t="s">
        <v>1274</v>
      </c>
      <c r="U145" s="28" t="s">
        <v>1274</v>
      </c>
      <c r="V145" s="36" t="s">
        <v>1274</v>
      </c>
      <c r="W145" s="29" t="s">
        <v>1186</v>
      </c>
      <c r="X145" s="28" t="s">
        <v>1312</v>
      </c>
      <c r="Y145" s="28" t="s">
        <v>1300</v>
      </c>
      <c r="Z145" s="28" t="s">
        <v>1274</v>
      </c>
      <c r="AA145" s="28" t="s">
        <v>1274</v>
      </c>
      <c r="AB145" s="36" t="s">
        <v>1297</v>
      </c>
      <c r="AC145" s="29" t="s">
        <v>1187</v>
      </c>
      <c r="AD145" s="28" t="s">
        <v>1312</v>
      </c>
      <c r="AE145" s="28" t="s">
        <v>1300</v>
      </c>
      <c r="AF145" s="28" t="s">
        <v>1274</v>
      </c>
      <c r="AG145" s="28" t="s">
        <v>1274</v>
      </c>
      <c r="AH145" s="36" t="s">
        <v>1297</v>
      </c>
      <c r="AI145" s="29" t="s">
        <v>1188</v>
      </c>
      <c r="AJ145" s="28" t="s">
        <v>1313</v>
      </c>
      <c r="AK145" s="28" t="s">
        <v>1300</v>
      </c>
      <c r="AL145" s="28" t="s">
        <v>1297</v>
      </c>
      <c r="AM145" s="28" t="s">
        <v>1274</v>
      </c>
      <c r="AN145" s="30" t="s">
        <v>1297</v>
      </c>
    </row>
    <row r="146" spans="4:40" x14ac:dyDescent="0.25">
      <c r="D146">
        <v>10</v>
      </c>
      <c r="E146" s="29" t="s">
        <v>1146</v>
      </c>
      <c r="F146" s="28">
        <v>0</v>
      </c>
      <c r="G146" s="28" t="s">
        <v>1286</v>
      </c>
      <c r="H146" s="28" t="s">
        <v>1274</v>
      </c>
      <c r="I146" s="28" t="s">
        <v>1274</v>
      </c>
      <c r="J146" s="36" t="s">
        <v>1274</v>
      </c>
      <c r="K146" s="29" t="s">
        <v>1147</v>
      </c>
      <c r="L146" s="28">
        <v>0</v>
      </c>
      <c r="M146" s="28" t="s">
        <v>400</v>
      </c>
      <c r="N146" s="28" t="s">
        <v>1297</v>
      </c>
      <c r="O146" s="28" t="s">
        <v>1274</v>
      </c>
      <c r="P146" s="36" t="s">
        <v>1274</v>
      </c>
      <c r="Q146" s="29" t="s">
        <v>1148</v>
      </c>
      <c r="R146" s="28">
        <v>0</v>
      </c>
      <c r="S146" s="28" t="s">
        <v>1298</v>
      </c>
      <c r="T146" s="28" t="s">
        <v>1274</v>
      </c>
      <c r="U146" s="28" t="s">
        <v>1274</v>
      </c>
      <c r="V146" s="36" t="s">
        <v>1274</v>
      </c>
      <c r="W146" s="29" t="s">
        <v>1189</v>
      </c>
      <c r="X146" s="28" t="s">
        <v>1310</v>
      </c>
      <c r="Y146" s="28" t="s">
        <v>400</v>
      </c>
      <c r="Z146" s="28" t="s">
        <v>1297</v>
      </c>
      <c r="AA146" s="28" t="s">
        <v>1274</v>
      </c>
      <c r="AB146" s="36" t="s">
        <v>1274</v>
      </c>
      <c r="AC146" s="29" t="s">
        <v>1190</v>
      </c>
      <c r="AD146" s="28" t="s">
        <v>1318</v>
      </c>
      <c r="AE146" s="28" t="s">
        <v>1300</v>
      </c>
      <c r="AF146" s="28" t="s">
        <v>1297</v>
      </c>
      <c r="AG146" s="28" t="s">
        <v>1274</v>
      </c>
      <c r="AH146" s="36" t="s">
        <v>1297</v>
      </c>
      <c r="AI146" s="29" t="s">
        <v>1191</v>
      </c>
      <c r="AJ146" s="28" t="s">
        <v>1312</v>
      </c>
      <c r="AK146" s="28" t="s">
        <v>1412</v>
      </c>
      <c r="AL146" s="28" t="s">
        <v>1274</v>
      </c>
      <c r="AM146" s="28" t="s">
        <v>1297</v>
      </c>
      <c r="AN146" s="30" t="s">
        <v>1274</v>
      </c>
    </row>
    <row r="147" spans="4:40" x14ac:dyDescent="0.25">
      <c r="D147">
        <v>11</v>
      </c>
      <c r="E147" s="29" t="s">
        <v>650</v>
      </c>
      <c r="F147" s="28" t="s">
        <v>1313</v>
      </c>
      <c r="G147" s="28" t="s">
        <v>1298</v>
      </c>
      <c r="H147" s="28" t="s">
        <v>1274</v>
      </c>
      <c r="I147" s="28" t="s">
        <v>1274</v>
      </c>
      <c r="J147" s="36" t="s">
        <v>1297</v>
      </c>
      <c r="K147" s="29" t="s">
        <v>1149</v>
      </c>
      <c r="L147" s="28" t="s">
        <v>1318</v>
      </c>
      <c r="M147" s="28" t="s">
        <v>1337</v>
      </c>
      <c r="N147" s="28" t="s">
        <v>1274</v>
      </c>
      <c r="O147" s="28" t="s">
        <v>1274</v>
      </c>
      <c r="P147" s="36" t="s">
        <v>1297</v>
      </c>
      <c r="Q147" s="29" t="s">
        <v>1150</v>
      </c>
      <c r="R147" s="28" t="s">
        <v>1310</v>
      </c>
      <c r="S147" s="28" t="s">
        <v>400</v>
      </c>
      <c r="T147" s="28" t="s">
        <v>1274</v>
      </c>
      <c r="U147" s="28" t="s">
        <v>1274</v>
      </c>
      <c r="V147" s="36" t="s">
        <v>1274</v>
      </c>
      <c r="W147" s="29" t="s">
        <v>1048</v>
      </c>
      <c r="X147" s="28" t="s">
        <v>1310</v>
      </c>
      <c r="Y147" s="28" t="s">
        <v>400</v>
      </c>
      <c r="Z147" s="28" t="s">
        <v>1274</v>
      </c>
      <c r="AA147" s="28" t="s">
        <v>1274</v>
      </c>
      <c r="AB147" s="36" t="s">
        <v>1297</v>
      </c>
      <c r="AC147" s="29" t="s">
        <v>1192</v>
      </c>
      <c r="AD147" s="28" t="s">
        <v>400</v>
      </c>
      <c r="AE147" s="28" t="s">
        <v>400</v>
      </c>
      <c r="AF147" s="28" t="s">
        <v>1415</v>
      </c>
      <c r="AG147" s="28" t="s">
        <v>1415</v>
      </c>
      <c r="AH147" s="36" t="s">
        <v>1415</v>
      </c>
      <c r="AI147" s="29" t="s">
        <v>829</v>
      </c>
      <c r="AJ147" s="28" t="s">
        <v>1221</v>
      </c>
      <c r="AK147" s="28" t="s">
        <v>1300</v>
      </c>
      <c r="AL147" s="28" t="s">
        <v>1274</v>
      </c>
      <c r="AM147" s="28" t="s">
        <v>1274</v>
      </c>
      <c r="AN147" s="30" t="s">
        <v>1297</v>
      </c>
    </row>
    <row r="148" spans="4:40" ht="15.75" thickBot="1" x14ac:dyDescent="0.3">
      <c r="D148">
        <v>12</v>
      </c>
      <c r="E148" s="29" t="s">
        <v>956</v>
      </c>
      <c r="F148" s="28" t="s">
        <v>1309</v>
      </c>
      <c r="G148" s="28" t="s">
        <v>1286</v>
      </c>
      <c r="H148" s="28" t="s">
        <v>1274</v>
      </c>
      <c r="I148" s="28" t="s">
        <v>1274</v>
      </c>
      <c r="J148" s="36" t="s">
        <v>1297</v>
      </c>
      <c r="K148" s="29" t="s">
        <v>1151</v>
      </c>
      <c r="L148" s="28" t="s">
        <v>1313</v>
      </c>
      <c r="M148" s="28" t="s">
        <v>400</v>
      </c>
      <c r="N148" s="28" t="s">
        <v>1274</v>
      </c>
      <c r="O148" s="28" t="s">
        <v>1274</v>
      </c>
      <c r="P148" s="36" t="s">
        <v>1274</v>
      </c>
      <c r="Q148" s="29" t="s">
        <v>971</v>
      </c>
      <c r="R148" s="28" t="s">
        <v>1312</v>
      </c>
      <c r="S148" s="28" t="s">
        <v>1412</v>
      </c>
      <c r="T148" s="28" t="s">
        <v>1274</v>
      </c>
      <c r="U148" s="28" t="s">
        <v>1297</v>
      </c>
      <c r="V148" s="36" t="s">
        <v>1274</v>
      </c>
      <c r="W148" s="31" t="s">
        <v>1193</v>
      </c>
      <c r="X148" s="32" t="s">
        <v>1364</v>
      </c>
      <c r="Y148" s="32" t="s">
        <v>1300</v>
      </c>
      <c r="Z148" s="32" t="s">
        <v>1274</v>
      </c>
      <c r="AA148" s="32" t="s">
        <v>1274</v>
      </c>
      <c r="AB148" s="43" t="s">
        <v>1297</v>
      </c>
      <c r="AC148" s="31" t="s">
        <v>1194</v>
      </c>
      <c r="AD148" s="32">
        <v>0</v>
      </c>
      <c r="AE148" s="32" t="s">
        <v>1394</v>
      </c>
      <c r="AF148" s="32" t="s">
        <v>1274</v>
      </c>
      <c r="AG148" s="32" t="s">
        <v>1274</v>
      </c>
      <c r="AH148" s="43" t="s">
        <v>1297</v>
      </c>
      <c r="AI148" s="31" t="s">
        <v>1195</v>
      </c>
      <c r="AJ148" s="32" t="s">
        <v>1310</v>
      </c>
      <c r="AK148" s="32" t="s">
        <v>1298</v>
      </c>
      <c r="AL148" s="32" t="s">
        <v>1274</v>
      </c>
      <c r="AM148" s="32" t="s">
        <v>1274</v>
      </c>
      <c r="AN148" s="33" t="s">
        <v>1297</v>
      </c>
    </row>
    <row r="149" spans="4:40" x14ac:dyDescent="0.25">
      <c r="D149">
        <v>13</v>
      </c>
      <c r="E149" s="29" t="s">
        <v>1152</v>
      </c>
      <c r="F149" s="28" t="s">
        <v>1312</v>
      </c>
      <c r="G149" s="28" t="s">
        <v>1316</v>
      </c>
      <c r="H149" s="28" t="s">
        <v>1274</v>
      </c>
      <c r="I149" s="28" t="s">
        <v>1274</v>
      </c>
      <c r="J149" s="36" t="s">
        <v>1274</v>
      </c>
      <c r="K149" s="29" t="s">
        <v>1153</v>
      </c>
      <c r="L149" s="28">
        <v>0</v>
      </c>
      <c r="M149" s="28" t="s">
        <v>1383</v>
      </c>
      <c r="N149" s="28" t="s">
        <v>1274</v>
      </c>
      <c r="O149" s="28" t="s">
        <v>1274</v>
      </c>
      <c r="P149" s="36" t="s">
        <v>1297</v>
      </c>
      <c r="Q149" s="29" t="s">
        <v>1154</v>
      </c>
      <c r="R149" s="28" t="s">
        <v>1313</v>
      </c>
      <c r="S149" s="28" t="s">
        <v>1275</v>
      </c>
      <c r="T149" s="28" t="s">
        <v>1274</v>
      </c>
      <c r="U149" s="28" t="s">
        <v>1297</v>
      </c>
      <c r="V149" s="30" t="s">
        <v>1274</v>
      </c>
    </row>
    <row r="150" spans="4:40" x14ac:dyDescent="0.25">
      <c r="D150">
        <v>14</v>
      </c>
      <c r="E150" s="29" t="s">
        <v>1155</v>
      </c>
      <c r="F150" s="28">
        <v>30</v>
      </c>
      <c r="G150" s="28" t="s">
        <v>400</v>
      </c>
      <c r="H150" s="28" t="s">
        <v>1274</v>
      </c>
      <c r="I150" s="28" t="s">
        <v>1274</v>
      </c>
      <c r="J150" s="36" t="s">
        <v>1274</v>
      </c>
      <c r="K150" s="29" t="s">
        <v>1065</v>
      </c>
      <c r="L150" s="28" t="s">
        <v>1221</v>
      </c>
      <c r="M150" s="28" t="s">
        <v>1354</v>
      </c>
      <c r="N150" s="28" t="s">
        <v>1274</v>
      </c>
      <c r="O150" s="28" t="s">
        <v>1274</v>
      </c>
      <c r="P150" s="36" t="s">
        <v>1274</v>
      </c>
      <c r="Q150" s="29" t="s">
        <v>1064</v>
      </c>
      <c r="R150" s="28" t="s">
        <v>1411</v>
      </c>
      <c r="S150" s="28" t="s">
        <v>400</v>
      </c>
      <c r="T150" s="28" t="s">
        <v>1274</v>
      </c>
      <c r="U150" s="28" t="s">
        <v>1274</v>
      </c>
      <c r="V150" s="30" t="s">
        <v>1274</v>
      </c>
    </row>
    <row r="151" spans="4:40" x14ac:dyDescent="0.25">
      <c r="D151">
        <v>15</v>
      </c>
      <c r="E151" s="29" t="s">
        <v>1156</v>
      </c>
      <c r="F151" s="28">
        <v>0</v>
      </c>
      <c r="G151" s="28" t="s">
        <v>1288</v>
      </c>
      <c r="H151" s="28" t="s">
        <v>1274</v>
      </c>
      <c r="I151" s="28" t="s">
        <v>1274</v>
      </c>
      <c r="J151" s="36" t="s">
        <v>1297</v>
      </c>
      <c r="K151" s="29" t="s">
        <v>1157</v>
      </c>
      <c r="L151" s="28" t="s">
        <v>400</v>
      </c>
      <c r="M151" s="28" t="s">
        <v>400</v>
      </c>
      <c r="N151" s="28" t="s">
        <v>1274</v>
      </c>
      <c r="O151" s="28" t="s">
        <v>1274</v>
      </c>
      <c r="P151" s="36" t="s">
        <v>1274</v>
      </c>
      <c r="Q151" s="29" t="s">
        <v>1158</v>
      </c>
      <c r="R151" s="28">
        <v>0</v>
      </c>
      <c r="S151" s="28" t="s">
        <v>1298</v>
      </c>
      <c r="T151" s="28" t="s">
        <v>1274</v>
      </c>
      <c r="U151" s="28" t="s">
        <v>1274</v>
      </c>
      <c r="V151" s="30" t="s">
        <v>1297</v>
      </c>
    </row>
    <row r="152" spans="4:40" ht="15.75" thickBot="1" x14ac:dyDescent="0.3">
      <c r="D152">
        <v>16</v>
      </c>
      <c r="E152" s="31" t="s">
        <v>1159</v>
      </c>
      <c r="F152" s="32" t="s">
        <v>1311</v>
      </c>
      <c r="G152" s="32" t="s">
        <v>1317</v>
      </c>
      <c r="H152" s="32" t="s">
        <v>1274</v>
      </c>
      <c r="I152" s="32" t="s">
        <v>1274</v>
      </c>
      <c r="J152" s="43" t="s">
        <v>1297</v>
      </c>
      <c r="K152" s="31" t="s">
        <v>986</v>
      </c>
      <c r="L152" s="32" t="s">
        <v>1310</v>
      </c>
      <c r="M152" s="32" t="s">
        <v>1337</v>
      </c>
      <c r="N152" s="32" t="s">
        <v>1274</v>
      </c>
      <c r="O152" s="32" t="s">
        <v>1297</v>
      </c>
      <c r="P152" s="43" t="s">
        <v>1274</v>
      </c>
      <c r="Q152" s="31" t="s">
        <v>1160</v>
      </c>
      <c r="R152" s="32" t="s">
        <v>1310</v>
      </c>
      <c r="S152" s="32" t="s">
        <v>1300</v>
      </c>
      <c r="T152" s="32" t="s">
        <v>1274</v>
      </c>
      <c r="U152" s="32" t="s">
        <v>1274</v>
      </c>
      <c r="V152" s="33" t="s">
        <v>1297</v>
      </c>
    </row>
  </sheetData>
  <hyperlinks>
    <hyperlink ref="E4" r:id="rId1" xr:uid="{B6538689-307C-4AD8-A455-B80AC6532F37}"/>
    <hyperlink ref="E5" r:id="rId2" xr:uid="{CEB54E82-B294-473D-9397-F0C9FD8395FE}"/>
    <hyperlink ref="E6" r:id="rId3" xr:uid="{96AECFDC-E1D2-4F5D-AE7B-0857641FC2EA}"/>
  </hyperlinks>
  <pageMargins left="0.7" right="0.7" top="0.75" bottom="0.75" header="0.3" footer="0.3"/>
  <pageSetup paperSize="9" orientation="portrait"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EAEDEF-333D-42A6-9123-96B55BF497DB}">
  <dimension ref="B2:L107"/>
  <sheetViews>
    <sheetView topLeftCell="A3" workbookViewId="0">
      <selection activeCell="J38" sqref="J38"/>
    </sheetView>
  </sheetViews>
  <sheetFormatPr baseColWidth="10" defaultRowHeight="15" x14ac:dyDescent="0.25"/>
  <cols>
    <col min="2" max="2" width="22.28515625" bestFit="1" customWidth="1"/>
  </cols>
  <sheetData>
    <row r="2" spans="2:4" ht="15.75" thickBot="1" x14ac:dyDescent="0.3"/>
    <row r="3" spans="2:4" s="26" customFormat="1" ht="15.75" thickBot="1" x14ac:dyDescent="0.3">
      <c r="B3" s="243" t="s">
        <v>250</v>
      </c>
      <c r="D3" s="243" t="s">
        <v>320</v>
      </c>
    </row>
    <row r="4" spans="2:4" x14ac:dyDescent="0.25">
      <c r="B4" s="316" t="s">
        <v>227</v>
      </c>
      <c r="D4" s="316" t="s">
        <v>311</v>
      </c>
    </row>
    <row r="5" spans="2:4" x14ac:dyDescent="0.25">
      <c r="B5" s="314" t="s">
        <v>251</v>
      </c>
      <c r="D5" s="314" t="s">
        <v>312</v>
      </c>
    </row>
    <row r="6" spans="2:4" x14ac:dyDescent="0.25">
      <c r="B6" s="314" t="s">
        <v>252</v>
      </c>
      <c r="D6" s="314" t="s">
        <v>313</v>
      </c>
    </row>
    <row r="7" spans="2:4" x14ac:dyDescent="0.25">
      <c r="B7" s="314" t="s">
        <v>253</v>
      </c>
      <c r="D7" s="314" t="s">
        <v>314</v>
      </c>
    </row>
    <row r="8" spans="2:4" x14ac:dyDescent="0.25">
      <c r="B8" s="314" t="s">
        <v>90</v>
      </c>
      <c r="D8" s="314" t="s">
        <v>315</v>
      </c>
    </row>
    <row r="9" spans="2:4" x14ac:dyDescent="0.25">
      <c r="B9" s="314" t="s">
        <v>254</v>
      </c>
      <c r="D9" s="314" t="s">
        <v>316</v>
      </c>
    </row>
    <row r="10" spans="2:4" x14ac:dyDescent="0.25">
      <c r="B10" s="314" t="s">
        <v>255</v>
      </c>
      <c r="D10" s="314" t="s">
        <v>317</v>
      </c>
    </row>
    <row r="11" spans="2:4" x14ac:dyDescent="0.25">
      <c r="B11" s="314" t="s">
        <v>256</v>
      </c>
      <c r="D11" s="314" t="s">
        <v>318</v>
      </c>
    </row>
    <row r="12" spans="2:4" ht="15.75" thickBot="1" x14ac:dyDescent="0.3">
      <c r="B12" s="314" t="s">
        <v>257</v>
      </c>
      <c r="D12" s="315" t="s">
        <v>319</v>
      </c>
    </row>
    <row r="13" spans="2:4" x14ac:dyDescent="0.25">
      <c r="B13" s="314" t="s">
        <v>258</v>
      </c>
    </row>
    <row r="14" spans="2:4" x14ac:dyDescent="0.25">
      <c r="B14" s="314" t="s">
        <v>259</v>
      </c>
    </row>
    <row r="15" spans="2:4" x14ac:dyDescent="0.25">
      <c r="B15" s="314" t="s">
        <v>260</v>
      </c>
    </row>
    <row r="16" spans="2:4" x14ac:dyDescent="0.25">
      <c r="B16" s="314" t="s">
        <v>261</v>
      </c>
    </row>
    <row r="17" spans="2:9" x14ac:dyDescent="0.25">
      <c r="B17" s="314" t="s">
        <v>262</v>
      </c>
    </row>
    <row r="18" spans="2:9" x14ac:dyDescent="0.25">
      <c r="B18" s="314" t="s">
        <v>263</v>
      </c>
    </row>
    <row r="19" spans="2:9" x14ac:dyDescent="0.25">
      <c r="B19" s="314" t="s">
        <v>264</v>
      </c>
    </row>
    <row r="20" spans="2:9" x14ac:dyDescent="0.25">
      <c r="B20" s="314" t="s">
        <v>265</v>
      </c>
    </row>
    <row r="21" spans="2:9" x14ac:dyDescent="0.25">
      <c r="B21" s="314" t="s">
        <v>87</v>
      </c>
    </row>
    <row r="22" spans="2:9" x14ac:dyDescent="0.25">
      <c r="B22" s="314" t="s">
        <v>266</v>
      </c>
    </row>
    <row r="23" spans="2:9" ht="15.75" thickBot="1" x14ac:dyDescent="0.3">
      <c r="B23" s="315" t="s">
        <v>267</v>
      </c>
    </row>
    <row r="25" spans="2:9" ht="15.75" thickBot="1" x14ac:dyDescent="0.3"/>
    <row r="26" spans="2:9" s="26" customFormat="1" ht="15.75" thickBot="1" x14ac:dyDescent="0.3">
      <c r="B26" s="233" t="s">
        <v>1270</v>
      </c>
      <c r="C26" s="138" t="s">
        <v>1262</v>
      </c>
      <c r="D26" s="138" t="s">
        <v>1263</v>
      </c>
      <c r="E26" s="138" t="s">
        <v>1264</v>
      </c>
      <c r="F26" s="139" t="s">
        <v>1265</v>
      </c>
      <c r="G26" s="42"/>
      <c r="H26" s="42" t="s">
        <v>1261</v>
      </c>
      <c r="I26" s="42"/>
    </row>
    <row r="27" spans="2:9" x14ac:dyDescent="0.25">
      <c r="B27" s="317">
        <v>0</v>
      </c>
      <c r="C27" s="133">
        <v>5</v>
      </c>
      <c r="D27" s="133">
        <v>1</v>
      </c>
      <c r="E27" s="133">
        <v>2</v>
      </c>
      <c r="F27" s="136">
        <v>25</v>
      </c>
      <c r="G27" s="27"/>
      <c r="H27" s="27">
        <v>0</v>
      </c>
      <c r="I27" s="27">
        <v>20</v>
      </c>
    </row>
    <row r="28" spans="2:9" x14ac:dyDescent="0.25">
      <c r="B28" s="299">
        <v>1</v>
      </c>
      <c r="C28" s="28">
        <v>10</v>
      </c>
      <c r="D28" s="28">
        <v>1</v>
      </c>
      <c r="E28" s="28">
        <v>4</v>
      </c>
      <c r="F28" s="30">
        <v>35</v>
      </c>
      <c r="G28" s="27"/>
      <c r="H28" s="27">
        <v>1</v>
      </c>
      <c r="I28" s="27">
        <v>19</v>
      </c>
    </row>
    <row r="29" spans="2:9" x14ac:dyDescent="0.25">
      <c r="B29" s="299">
        <v>2</v>
      </c>
      <c r="C29" s="28">
        <v>20</v>
      </c>
      <c r="D29" s="28">
        <v>2</v>
      </c>
      <c r="E29" s="28">
        <v>8</v>
      </c>
      <c r="F29" s="30">
        <v>45</v>
      </c>
      <c r="G29" s="27"/>
      <c r="H29" s="27">
        <v>2</v>
      </c>
      <c r="I29" s="27">
        <v>16</v>
      </c>
    </row>
    <row r="30" spans="2:9" x14ac:dyDescent="0.25">
      <c r="B30" s="299">
        <v>3</v>
      </c>
      <c r="C30" s="28">
        <v>35</v>
      </c>
      <c r="D30" s="28">
        <v>3</v>
      </c>
      <c r="E30" s="28">
        <v>15</v>
      </c>
      <c r="F30" s="30">
        <v>55</v>
      </c>
      <c r="G30" s="27"/>
      <c r="H30" s="27">
        <v>3</v>
      </c>
      <c r="I30" s="27">
        <v>16</v>
      </c>
    </row>
    <row r="31" spans="2:9" x14ac:dyDescent="0.25">
      <c r="B31" s="299">
        <v>4</v>
      </c>
      <c r="C31" s="28">
        <v>60</v>
      </c>
      <c r="D31" s="28">
        <v>4</v>
      </c>
      <c r="E31" s="28">
        <v>25</v>
      </c>
      <c r="F31" s="30">
        <v>65</v>
      </c>
      <c r="G31" s="27"/>
      <c r="H31" s="27">
        <v>4</v>
      </c>
      <c r="I31" s="27">
        <v>15</v>
      </c>
    </row>
    <row r="32" spans="2:9" x14ac:dyDescent="0.25">
      <c r="B32" s="299">
        <v>5</v>
      </c>
      <c r="C32" s="28">
        <v>90</v>
      </c>
      <c r="D32" s="28">
        <v>5</v>
      </c>
      <c r="E32" s="28">
        <v>40</v>
      </c>
      <c r="F32" s="30">
        <v>75</v>
      </c>
      <c r="G32" s="27"/>
      <c r="H32" s="27">
        <v>5</v>
      </c>
      <c r="I32" s="27">
        <v>15</v>
      </c>
    </row>
    <row r="33" spans="2:9" x14ac:dyDescent="0.25">
      <c r="B33" s="299">
        <v>6</v>
      </c>
      <c r="C33" s="28">
        <v>150</v>
      </c>
      <c r="D33" s="28">
        <v>6</v>
      </c>
      <c r="E33" s="28">
        <v>75</v>
      </c>
      <c r="F33" s="30">
        <v>125</v>
      </c>
      <c r="G33" s="27"/>
      <c r="H33" s="27">
        <v>6</v>
      </c>
      <c r="I33" s="27">
        <v>13</v>
      </c>
    </row>
    <row r="34" spans="2:9" x14ac:dyDescent="0.25">
      <c r="B34" s="299">
        <v>7</v>
      </c>
      <c r="C34" s="28">
        <v>225</v>
      </c>
      <c r="D34" s="28">
        <v>8</v>
      </c>
      <c r="E34" s="28">
        <v>125</v>
      </c>
      <c r="F34" s="30">
        <v>175</v>
      </c>
      <c r="G34" s="27"/>
      <c r="H34" s="27">
        <v>7</v>
      </c>
      <c r="I34" s="27">
        <v>13</v>
      </c>
    </row>
    <row r="35" spans="2:9" x14ac:dyDescent="0.25">
      <c r="B35" s="299">
        <v>8</v>
      </c>
      <c r="C35" s="28">
        <v>375</v>
      </c>
      <c r="D35" s="28">
        <v>10</v>
      </c>
      <c r="E35" s="28">
        <v>175</v>
      </c>
      <c r="F35" s="30">
        <v>275</v>
      </c>
      <c r="G35" s="27"/>
      <c r="H35" s="27">
        <v>8</v>
      </c>
      <c r="I35" s="27">
        <v>12</v>
      </c>
    </row>
    <row r="36" spans="2:9" x14ac:dyDescent="0.25">
      <c r="B36" s="299">
        <v>9</v>
      </c>
      <c r="C36" s="28">
        <v>600</v>
      </c>
      <c r="D36" s="28">
        <v>12</v>
      </c>
      <c r="E36" s="28">
        <v>300</v>
      </c>
      <c r="F36" s="30">
        <v>400</v>
      </c>
      <c r="G36" s="27"/>
      <c r="H36" s="27">
        <v>9</v>
      </c>
      <c r="I36" s="27">
        <v>12</v>
      </c>
    </row>
    <row r="37" spans="2:9" x14ac:dyDescent="0.25">
      <c r="B37" s="299">
        <v>10</v>
      </c>
      <c r="C37" s="28">
        <v>900</v>
      </c>
      <c r="D37" s="28">
        <v>14</v>
      </c>
      <c r="E37" s="28">
        <v>450</v>
      </c>
      <c r="F37" s="30">
        <v>600</v>
      </c>
      <c r="G37" s="27"/>
      <c r="H37" s="27">
        <v>10</v>
      </c>
      <c r="I37" s="27">
        <v>10</v>
      </c>
    </row>
    <row r="38" spans="2:9" x14ac:dyDescent="0.25">
      <c r="B38" s="299">
        <v>11</v>
      </c>
      <c r="C38" s="28">
        <v>1300</v>
      </c>
      <c r="D38" s="28">
        <v>16</v>
      </c>
      <c r="E38" s="28">
        <v>700</v>
      </c>
      <c r="F38" s="30">
        <v>850</v>
      </c>
      <c r="G38" s="27"/>
      <c r="H38" s="27">
        <v>11</v>
      </c>
      <c r="I38" s="27">
        <v>10</v>
      </c>
    </row>
    <row r="39" spans="2:9" x14ac:dyDescent="0.25">
      <c r="B39" s="299">
        <v>12</v>
      </c>
      <c r="C39" s="28">
        <v>1300</v>
      </c>
      <c r="D39" s="28">
        <v>16</v>
      </c>
      <c r="E39" s="28">
        <v>700</v>
      </c>
      <c r="F39" s="30">
        <v>850</v>
      </c>
      <c r="G39" s="27"/>
      <c r="H39" s="27">
        <v>12</v>
      </c>
      <c r="I39" s="27">
        <v>9</v>
      </c>
    </row>
    <row r="40" spans="2:9" x14ac:dyDescent="0.25">
      <c r="B40" s="299">
        <v>13</v>
      </c>
      <c r="C40" s="28">
        <v>1800</v>
      </c>
      <c r="D40" s="28">
        <v>18</v>
      </c>
      <c r="E40" s="28">
        <v>950</v>
      </c>
      <c r="F40" s="30">
        <v>1200</v>
      </c>
      <c r="G40" s="27"/>
      <c r="H40" s="27">
        <v>13</v>
      </c>
      <c r="I40" s="27">
        <v>9</v>
      </c>
    </row>
    <row r="41" spans="2:9" x14ac:dyDescent="0.25">
      <c r="B41" s="299">
        <v>14</v>
      </c>
      <c r="C41" s="28">
        <v>1800</v>
      </c>
      <c r="D41" s="28">
        <v>18</v>
      </c>
      <c r="E41" s="28">
        <v>950</v>
      </c>
      <c r="F41" s="30">
        <v>1200</v>
      </c>
      <c r="G41" s="27"/>
      <c r="H41" s="27">
        <v>14</v>
      </c>
      <c r="I41" s="27">
        <v>8</v>
      </c>
    </row>
    <row r="42" spans="2:9" x14ac:dyDescent="0.25">
      <c r="B42" s="299">
        <v>15</v>
      </c>
      <c r="C42" s="28">
        <v>2400</v>
      </c>
      <c r="D42" s="28">
        <v>20</v>
      </c>
      <c r="E42" s="28">
        <v>1250</v>
      </c>
      <c r="F42" s="30">
        <v>1600</v>
      </c>
      <c r="G42" s="27"/>
      <c r="H42" s="27">
        <v>15</v>
      </c>
      <c r="I42" s="27">
        <v>8</v>
      </c>
    </row>
    <row r="43" spans="2:9" x14ac:dyDescent="0.25">
      <c r="B43" s="299">
        <v>16</v>
      </c>
      <c r="C43" s="28">
        <v>2400</v>
      </c>
      <c r="D43" s="28">
        <v>20</v>
      </c>
      <c r="E43" s="28">
        <v>1250</v>
      </c>
      <c r="F43" s="30">
        <v>1600</v>
      </c>
      <c r="G43" s="27"/>
      <c r="H43" s="27">
        <v>16</v>
      </c>
      <c r="I43" s="27">
        <v>7</v>
      </c>
    </row>
    <row r="44" spans="2:9" x14ac:dyDescent="0.25">
      <c r="B44" s="299">
        <v>17</v>
      </c>
      <c r="C44" s="28">
        <v>3000</v>
      </c>
      <c r="D44" s="28">
        <v>25</v>
      </c>
      <c r="E44" s="28">
        <v>1550</v>
      </c>
      <c r="F44" s="30">
        <v>2000</v>
      </c>
      <c r="G44" s="27"/>
      <c r="H44" s="27">
        <v>17</v>
      </c>
      <c r="I44" s="27">
        <v>7</v>
      </c>
    </row>
    <row r="45" spans="2:9" x14ac:dyDescent="0.25">
      <c r="B45" s="299">
        <v>18</v>
      </c>
      <c r="C45" s="28">
        <v>3000</v>
      </c>
      <c r="D45" s="28">
        <v>25</v>
      </c>
      <c r="E45" s="28">
        <v>1550</v>
      </c>
      <c r="F45" s="30">
        <v>2000</v>
      </c>
      <c r="G45" s="27"/>
      <c r="H45" s="27">
        <v>18</v>
      </c>
      <c r="I45" s="27">
        <v>6</v>
      </c>
    </row>
    <row r="46" spans="2:9" x14ac:dyDescent="0.25">
      <c r="B46" s="299">
        <v>19</v>
      </c>
      <c r="C46" s="28">
        <v>4000</v>
      </c>
      <c r="D46" s="28">
        <v>30</v>
      </c>
      <c r="E46" s="28">
        <v>2100</v>
      </c>
      <c r="F46" s="30">
        <v>2500</v>
      </c>
      <c r="G46" s="27"/>
      <c r="H46" s="27">
        <v>19</v>
      </c>
      <c r="I46" s="27">
        <v>6</v>
      </c>
    </row>
    <row r="47" spans="2:9" x14ac:dyDescent="0.25">
      <c r="B47" s="299">
        <v>20</v>
      </c>
      <c r="C47" s="28">
        <v>4000</v>
      </c>
      <c r="D47" s="28">
        <v>30</v>
      </c>
      <c r="E47" s="28">
        <v>2100</v>
      </c>
      <c r="F47" s="30">
        <v>2500</v>
      </c>
      <c r="G47" s="27"/>
      <c r="H47" s="27">
        <v>20</v>
      </c>
      <c r="I47" s="27">
        <v>5</v>
      </c>
    </row>
    <row r="48" spans="2:9" x14ac:dyDescent="0.25">
      <c r="B48" s="299">
        <v>21</v>
      </c>
      <c r="C48" s="28">
        <v>5000</v>
      </c>
      <c r="D48" s="28">
        <v>35</v>
      </c>
      <c r="E48" s="28">
        <v>2600</v>
      </c>
      <c r="F48" s="30">
        <v>3000</v>
      </c>
      <c r="G48" s="27"/>
      <c r="H48" s="27">
        <v>21</v>
      </c>
      <c r="I48" s="27">
        <v>5</v>
      </c>
    </row>
    <row r="49" spans="2:9" x14ac:dyDescent="0.25">
      <c r="B49" s="299">
        <v>22</v>
      </c>
      <c r="C49" s="28">
        <v>5000</v>
      </c>
      <c r="D49" s="28">
        <v>35</v>
      </c>
      <c r="E49" s="28">
        <v>2600</v>
      </c>
      <c r="F49" s="30"/>
      <c r="G49" s="27"/>
      <c r="H49" s="27">
        <v>22</v>
      </c>
      <c r="I49" s="27">
        <v>5</v>
      </c>
    </row>
    <row r="50" spans="2:9" x14ac:dyDescent="0.25">
      <c r="B50" s="299">
        <v>23</v>
      </c>
      <c r="C50" s="28">
        <v>6000</v>
      </c>
      <c r="D50" s="28">
        <v>40</v>
      </c>
      <c r="E50" s="28">
        <v>3100</v>
      </c>
      <c r="F50" s="30"/>
      <c r="G50" s="27"/>
      <c r="H50" s="27">
        <v>23</v>
      </c>
      <c r="I50" s="27">
        <v>5</v>
      </c>
    </row>
    <row r="51" spans="2:9" x14ac:dyDescent="0.25">
      <c r="B51" s="299">
        <v>24</v>
      </c>
      <c r="C51" s="28">
        <v>6000</v>
      </c>
      <c r="D51" s="28">
        <v>40</v>
      </c>
      <c r="E51" s="28">
        <v>3800</v>
      </c>
      <c r="F51" s="30"/>
      <c r="G51" s="27"/>
      <c r="H51" s="27">
        <v>24</v>
      </c>
      <c r="I51" s="27">
        <v>5</v>
      </c>
    </row>
    <row r="52" spans="2:9" x14ac:dyDescent="0.25">
      <c r="B52" s="299">
        <v>25</v>
      </c>
      <c r="C52" s="28">
        <v>7000</v>
      </c>
      <c r="D52" s="28">
        <v>45</v>
      </c>
      <c r="E52" s="28">
        <v>3800</v>
      </c>
      <c r="F52" s="30"/>
      <c r="G52" s="27"/>
      <c r="H52" s="27">
        <v>25</v>
      </c>
      <c r="I52" s="27">
        <v>5</v>
      </c>
    </row>
    <row r="53" spans="2:9" x14ac:dyDescent="0.25">
      <c r="B53" s="299">
        <v>26</v>
      </c>
      <c r="C53" s="28">
        <v>7000</v>
      </c>
      <c r="D53" s="28">
        <v>45</v>
      </c>
      <c r="E53" s="28"/>
      <c r="F53" s="30"/>
      <c r="G53" s="27"/>
      <c r="H53" s="27">
        <v>26</v>
      </c>
      <c r="I53" s="27">
        <v>5</v>
      </c>
    </row>
    <row r="54" spans="2:9" x14ac:dyDescent="0.25">
      <c r="B54" s="299">
        <v>27</v>
      </c>
      <c r="C54" s="28">
        <v>8000</v>
      </c>
      <c r="D54" s="28">
        <v>50</v>
      </c>
      <c r="E54" s="28"/>
      <c r="F54" s="30"/>
      <c r="G54" s="27"/>
      <c r="H54" s="27">
        <v>27</v>
      </c>
      <c r="I54" s="27">
        <v>5</v>
      </c>
    </row>
    <row r="55" spans="2:9" x14ac:dyDescent="0.25">
      <c r="B55" s="299">
        <v>28</v>
      </c>
      <c r="C55" s="28">
        <v>8000</v>
      </c>
      <c r="D55" s="28">
        <v>50</v>
      </c>
      <c r="E55" s="28"/>
      <c r="F55" s="30"/>
      <c r="G55" s="27"/>
      <c r="H55" s="27">
        <v>28</v>
      </c>
      <c r="I55" s="27">
        <v>5</v>
      </c>
    </row>
    <row r="56" spans="2:9" x14ac:dyDescent="0.25">
      <c r="B56" s="299">
        <v>29</v>
      </c>
      <c r="C56" s="28">
        <v>9000</v>
      </c>
      <c r="D56" s="28">
        <v>55</v>
      </c>
      <c r="E56" s="28"/>
      <c r="F56" s="30"/>
      <c r="G56" s="27"/>
      <c r="H56" s="27">
        <v>29</v>
      </c>
      <c r="I56" s="27">
        <v>5</v>
      </c>
    </row>
    <row r="57" spans="2:9" x14ac:dyDescent="0.25">
      <c r="B57" s="299">
        <v>30</v>
      </c>
      <c r="C57" s="28">
        <v>9000</v>
      </c>
      <c r="D57" s="28">
        <v>55</v>
      </c>
      <c r="E57" s="28"/>
      <c r="F57" s="30"/>
      <c r="G57" s="27"/>
      <c r="H57" s="27">
        <v>30</v>
      </c>
      <c r="I57" s="27">
        <v>5</v>
      </c>
    </row>
    <row r="58" spans="2:9" x14ac:dyDescent="0.25">
      <c r="B58" s="299">
        <v>31</v>
      </c>
      <c r="C58" s="28">
        <v>10000</v>
      </c>
      <c r="D58" s="28">
        <v>60</v>
      </c>
      <c r="E58" s="28"/>
      <c r="F58" s="30"/>
      <c r="G58" s="27"/>
      <c r="H58" s="27">
        <v>31</v>
      </c>
      <c r="I58" s="27">
        <v>5</v>
      </c>
    </row>
    <row r="59" spans="2:9" x14ac:dyDescent="0.25">
      <c r="B59" s="299">
        <v>32</v>
      </c>
      <c r="C59" s="28">
        <v>10000</v>
      </c>
      <c r="D59" s="28">
        <v>60</v>
      </c>
      <c r="E59" s="28"/>
      <c r="F59" s="30"/>
      <c r="G59" s="27"/>
      <c r="H59" s="27">
        <v>32</v>
      </c>
      <c r="I59" s="27">
        <v>5</v>
      </c>
    </row>
    <row r="60" spans="2:9" x14ac:dyDescent="0.25">
      <c r="B60" s="299">
        <v>33</v>
      </c>
      <c r="C60" s="28"/>
      <c r="D60" s="28"/>
      <c r="E60" s="28"/>
      <c r="F60" s="30"/>
      <c r="G60" s="27"/>
      <c r="H60" s="27">
        <v>33</v>
      </c>
      <c r="I60" s="27">
        <v>5</v>
      </c>
    </row>
    <row r="61" spans="2:9" x14ac:dyDescent="0.25">
      <c r="B61" s="299">
        <v>34</v>
      </c>
      <c r="C61" s="28"/>
      <c r="D61" s="28"/>
      <c r="E61" s="28"/>
      <c r="F61" s="30"/>
      <c r="G61" s="27"/>
      <c r="H61" s="27">
        <v>34</v>
      </c>
      <c r="I61" s="27">
        <v>5</v>
      </c>
    </row>
    <row r="62" spans="2:9" x14ac:dyDescent="0.25">
      <c r="B62" s="299">
        <v>35</v>
      </c>
      <c r="C62" s="28"/>
      <c r="D62" s="28"/>
      <c r="E62" s="28"/>
      <c r="F62" s="30"/>
      <c r="G62" s="27"/>
      <c r="H62" s="27">
        <v>35</v>
      </c>
      <c r="I62" s="27">
        <v>5</v>
      </c>
    </row>
    <row r="63" spans="2:9" ht="15.75" thickBot="1" x14ac:dyDescent="0.3">
      <c r="B63" s="300">
        <v>36</v>
      </c>
      <c r="C63" s="32"/>
      <c r="D63" s="32"/>
      <c r="E63" s="32"/>
      <c r="F63" s="33"/>
      <c r="G63" s="27"/>
      <c r="H63" s="27">
        <v>36</v>
      </c>
      <c r="I63" s="27">
        <v>5</v>
      </c>
    </row>
    <row r="65" spans="2:12" ht="15.75" thickBot="1" x14ac:dyDescent="0.3"/>
    <row r="66" spans="2:12" s="26" customFormat="1" ht="15.75" thickBot="1" x14ac:dyDescent="0.3">
      <c r="B66" s="243" t="s">
        <v>270</v>
      </c>
      <c r="D66" s="137" t="s">
        <v>311</v>
      </c>
      <c r="E66" s="395" t="s">
        <v>312</v>
      </c>
      <c r="F66" s="395" t="s">
        <v>313</v>
      </c>
      <c r="G66" s="395" t="s">
        <v>314</v>
      </c>
      <c r="H66" s="395" t="s">
        <v>315</v>
      </c>
      <c r="I66" s="395" t="s">
        <v>316</v>
      </c>
      <c r="J66" s="395" t="s">
        <v>317</v>
      </c>
      <c r="K66" s="395" t="s">
        <v>318</v>
      </c>
      <c r="L66" s="396" t="s">
        <v>319</v>
      </c>
    </row>
    <row r="67" spans="2:12" x14ac:dyDescent="0.25">
      <c r="B67" s="316" t="s">
        <v>227</v>
      </c>
      <c r="D67" s="132" t="s">
        <v>227</v>
      </c>
      <c r="E67" s="393" t="s">
        <v>227</v>
      </c>
      <c r="F67" s="393" t="s">
        <v>227</v>
      </c>
      <c r="G67" s="393" t="s">
        <v>227</v>
      </c>
      <c r="H67" s="393" t="s">
        <v>227</v>
      </c>
      <c r="I67" s="393" t="s">
        <v>227</v>
      </c>
      <c r="J67" s="393" t="s">
        <v>227</v>
      </c>
      <c r="K67" s="393" t="s">
        <v>227</v>
      </c>
      <c r="L67" s="394" t="s">
        <v>227</v>
      </c>
    </row>
    <row r="68" spans="2:12" x14ac:dyDescent="0.25">
      <c r="B68" s="314" t="s">
        <v>271</v>
      </c>
      <c r="D68" s="29" t="s">
        <v>287</v>
      </c>
      <c r="E68" s="388" t="s">
        <v>274</v>
      </c>
      <c r="F68" s="388" t="s">
        <v>286</v>
      </c>
      <c r="G68" s="388" t="s">
        <v>283</v>
      </c>
      <c r="H68" s="388" t="s">
        <v>273</v>
      </c>
      <c r="I68" s="388" t="s">
        <v>272</v>
      </c>
      <c r="J68" s="388" t="s">
        <v>281</v>
      </c>
      <c r="K68" s="388" t="s">
        <v>276</v>
      </c>
      <c r="L68" s="390" t="s">
        <v>271</v>
      </c>
    </row>
    <row r="69" spans="2:12" x14ac:dyDescent="0.25">
      <c r="B69" s="314" t="s">
        <v>272</v>
      </c>
      <c r="D69" s="29" t="s">
        <v>298</v>
      </c>
      <c r="E69" s="388" t="s">
        <v>277</v>
      </c>
      <c r="F69" s="388" t="s">
        <v>291</v>
      </c>
      <c r="G69" s="388" t="s">
        <v>295</v>
      </c>
      <c r="H69" s="388" t="s">
        <v>280</v>
      </c>
      <c r="I69" s="388" t="s">
        <v>282</v>
      </c>
      <c r="J69" s="388" t="s">
        <v>296</v>
      </c>
      <c r="K69" s="388" t="s">
        <v>278</v>
      </c>
      <c r="L69" s="390" t="s">
        <v>275</v>
      </c>
    </row>
    <row r="70" spans="2:12" x14ac:dyDescent="0.25">
      <c r="B70" s="314" t="s">
        <v>273</v>
      </c>
      <c r="D70" s="29" t="s">
        <v>300</v>
      </c>
      <c r="E70" s="388" t="s">
        <v>290</v>
      </c>
      <c r="F70" s="388" t="s">
        <v>304</v>
      </c>
      <c r="G70" s="388" t="s">
        <v>306</v>
      </c>
      <c r="H70" s="388" t="s">
        <v>288</v>
      </c>
      <c r="I70" s="388" t="s">
        <v>284</v>
      </c>
      <c r="J70" s="388" t="s">
        <v>301</v>
      </c>
      <c r="K70" s="388" t="s">
        <v>279</v>
      </c>
      <c r="L70" s="390" t="s">
        <v>293</v>
      </c>
    </row>
    <row r="71" spans="2:12" x14ac:dyDescent="0.25">
      <c r="B71" s="314" t="s">
        <v>274</v>
      </c>
      <c r="D71" s="29" t="s">
        <v>307</v>
      </c>
      <c r="E71" s="388" t="s">
        <v>302</v>
      </c>
      <c r="F71" s="388"/>
      <c r="G71" s="388" t="s">
        <v>308</v>
      </c>
      <c r="H71" s="388" t="s">
        <v>305</v>
      </c>
      <c r="I71" s="388" t="s">
        <v>297</v>
      </c>
      <c r="J71" s="388" t="s">
        <v>310</v>
      </c>
      <c r="K71" s="388" t="s">
        <v>285</v>
      </c>
      <c r="L71" s="390" t="s">
        <v>299</v>
      </c>
    </row>
    <row r="72" spans="2:12" x14ac:dyDescent="0.25">
      <c r="B72" s="314" t="s">
        <v>275</v>
      </c>
      <c r="D72" s="29"/>
      <c r="E72" s="388" t="s">
        <v>303</v>
      </c>
      <c r="F72" s="388"/>
      <c r="G72" s="388"/>
      <c r="H72" s="388"/>
      <c r="I72" s="388"/>
      <c r="J72" s="388"/>
      <c r="K72" s="388" t="s">
        <v>289</v>
      </c>
      <c r="L72" s="390"/>
    </row>
    <row r="73" spans="2:12" x14ac:dyDescent="0.25">
      <c r="B73" s="314" t="s">
        <v>276</v>
      </c>
      <c r="D73" s="29"/>
      <c r="E73" s="388" t="s">
        <v>309</v>
      </c>
      <c r="F73" s="388"/>
      <c r="G73" s="388"/>
      <c r="H73" s="388"/>
      <c r="I73" s="388"/>
      <c r="J73" s="388"/>
      <c r="K73" s="388" t="s">
        <v>292</v>
      </c>
      <c r="L73" s="390"/>
    </row>
    <row r="74" spans="2:12" ht="15.75" thickBot="1" x14ac:dyDescent="0.3">
      <c r="B74" s="314" t="s">
        <v>277</v>
      </c>
      <c r="D74" s="31"/>
      <c r="E74" s="391"/>
      <c r="F74" s="391"/>
      <c r="G74" s="391"/>
      <c r="H74" s="391"/>
      <c r="I74" s="391"/>
      <c r="J74" s="391"/>
      <c r="K74" s="391" t="s">
        <v>294</v>
      </c>
      <c r="L74" s="392"/>
    </row>
    <row r="75" spans="2:12" x14ac:dyDescent="0.25">
      <c r="B75" s="314" t="s">
        <v>278</v>
      </c>
    </row>
    <row r="76" spans="2:12" x14ac:dyDescent="0.25">
      <c r="B76" s="314" t="s">
        <v>279</v>
      </c>
    </row>
    <row r="77" spans="2:12" x14ac:dyDescent="0.25">
      <c r="B77" s="314" t="s">
        <v>280</v>
      </c>
    </row>
    <row r="78" spans="2:12" x14ac:dyDescent="0.25">
      <c r="B78" s="314" t="s">
        <v>281</v>
      </c>
    </row>
    <row r="79" spans="2:12" x14ac:dyDescent="0.25">
      <c r="B79" s="314" t="s">
        <v>282</v>
      </c>
    </row>
    <row r="80" spans="2:12" x14ac:dyDescent="0.25">
      <c r="B80" s="314" t="s">
        <v>283</v>
      </c>
    </row>
    <row r="81" spans="2:2" x14ac:dyDescent="0.25">
      <c r="B81" s="314" t="s">
        <v>284</v>
      </c>
    </row>
    <row r="82" spans="2:2" x14ac:dyDescent="0.25">
      <c r="B82" s="314" t="s">
        <v>285</v>
      </c>
    </row>
    <row r="83" spans="2:2" x14ac:dyDescent="0.25">
      <c r="B83" s="314" t="s">
        <v>286</v>
      </c>
    </row>
    <row r="84" spans="2:2" x14ac:dyDescent="0.25">
      <c r="B84" s="314" t="s">
        <v>287</v>
      </c>
    </row>
    <row r="85" spans="2:2" x14ac:dyDescent="0.25">
      <c r="B85" s="314" t="s">
        <v>288</v>
      </c>
    </row>
    <row r="86" spans="2:2" x14ac:dyDescent="0.25">
      <c r="B86" s="314" t="s">
        <v>289</v>
      </c>
    </row>
    <row r="87" spans="2:2" x14ac:dyDescent="0.25">
      <c r="B87" s="314" t="s">
        <v>290</v>
      </c>
    </row>
    <row r="88" spans="2:2" x14ac:dyDescent="0.25">
      <c r="B88" s="314" t="s">
        <v>291</v>
      </c>
    </row>
    <row r="89" spans="2:2" x14ac:dyDescent="0.25">
      <c r="B89" s="314" t="s">
        <v>292</v>
      </c>
    </row>
    <row r="90" spans="2:2" x14ac:dyDescent="0.25">
      <c r="B90" s="314" t="s">
        <v>293</v>
      </c>
    </row>
    <row r="91" spans="2:2" x14ac:dyDescent="0.25">
      <c r="B91" s="314" t="s">
        <v>294</v>
      </c>
    </row>
    <row r="92" spans="2:2" x14ac:dyDescent="0.25">
      <c r="B92" s="314" t="s">
        <v>295</v>
      </c>
    </row>
    <row r="93" spans="2:2" x14ac:dyDescent="0.25">
      <c r="B93" s="314" t="s">
        <v>296</v>
      </c>
    </row>
    <row r="94" spans="2:2" x14ac:dyDescent="0.25">
      <c r="B94" s="314" t="s">
        <v>297</v>
      </c>
    </row>
    <row r="95" spans="2:2" x14ac:dyDescent="0.25">
      <c r="B95" s="314" t="s">
        <v>298</v>
      </c>
    </row>
    <row r="96" spans="2:2" x14ac:dyDescent="0.25">
      <c r="B96" s="314" t="s">
        <v>299</v>
      </c>
    </row>
    <row r="97" spans="2:2" x14ac:dyDescent="0.25">
      <c r="B97" s="314" t="s">
        <v>300</v>
      </c>
    </row>
    <row r="98" spans="2:2" x14ac:dyDescent="0.25">
      <c r="B98" s="314" t="s">
        <v>301</v>
      </c>
    </row>
    <row r="99" spans="2:2" x14ac:dyDescent="0.25">
      <c r="B99" s="314" t="s">
        <v>302</v>
      </c>
    </row>
    <row r="100" spans="2:2" x14ac:dyDescent="0.25">
      <c r="B100" s="314" t="s">
        <v>303</v>
      </c>
    </row>
    <row r="101" spans="2:2" x14ac:dyDescent="0.25">
      <c r="B101" s="314" t="s">
        <v>304</v>
      </c>
    </row>
    <row r="102" spans="2:2" x14ac:dyDescent="0.25">
      <c r="B102" s="314" t="s">
        <v>305</v>
      </c>
    </row>
    <row r="103" spans="2:2" x14ac:dyDescent="0.25">
      <c r="B103" s="314" t="s">
        <v>306</v>
      </c>
    </row>
    <row r="104" spans="2:2" x14ac:dyDescent="0.25">
      <c r="B104" s="314" t="s">
        <v>307</v>
      </c>
    </row>
    <row r="105" spans="2:2" x14ac:dyDescent="0.25">
      <c r="B105" s="314" t="s">
        <v>308</v>
      </c>
    </row>
    <row r="106" spans="2:2" x14ac:dyDescent="0.25">
      <c r="B106" s="314" t="s">
        <v>309</v>
      </c>
    </row>
    <row r="107" spans="2:2" ht="15.75" thickBot="1" x14ac:dyDescent="0.3">
      <c r="B107" s="315" t="s">
        <v>310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16</vt:i4>
      </vt:variant>
    </vt:vector>
  </HeadingPairs>
  <TitlesOfParts>
    <vt:vector size="25" baseType="lpstr">
      <vt:lpstr>EXPLICATIONS</vt:lpstr>
      <vt:lpstr>Joueur 1</vt:lpstr>
      <vt:lpstr>Race</vt:lpstr>
      <vt:lpstr>Classe</vt:lpstr>
      <vt:lpstr>Niveau</vt:lpstr>
      <vt:lpstr>Caractéristiques</vt:lpstr>
      <vt:lpstr>Armures-Armes</vt:lpstr>
      <vt:lpstr>Sorts</vt:lpstr>
      <vt:lpstr>Divers</vt:lpstr>
      <vt:lpstr>CHA</vt:lpstr>
      <vt:lpstr>Classe1</vt:lpstr>
      <vt:lpstr>Classe2</vt:lpstr>
      <vt:lpstr>Classe3</vt:lpstr>
      <vt:lpstr>Code_Classe</vt:lpstr>
      <vt:lpstr>CON</vt:lpstr>
      <vt:lpstr>DEX</vt:lpstr>
      <vt:lpstr>FOR</vt:lpstr>
      <vt:lpstr>INT</vt:lpstr>
      <vt:lpstr>NivC1</vt:lpstr>
      <vt:lpstr>NivC2</vt:lpstr>
      <vt:lpstr>NivC3</vt:lpstr>
      <vt:lpstr>RACE</vt:lpstr>
      <vt:lpstr>SAG</vt:lpstr>
      <vt:lpstr>Spec1</vt:lpstr>
      <vt:lpstr>Spec2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LAURENCE</dc:creator>
  <cp:lastModifiedBy>Etienne Genin</cp:lastModifiedBy>
  <cp:lastPrinted>2022-03-20T14:36:38Z</cp:lastPrinted>
  <dcterms:created xsi:type="dcterms:W3CDTF">2019-09-24T10:16:12Z</dcterms:created>
  <dcterms:modified xsi:type="dcterms:W3CDTF">2023-02-22T21:59:18Z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f666666-579e-4c80-8bd7-42ec62fad65d_Enabled">
    <vt:lpwstr>true</vt:lpwstr>
  </property>
  <property fmtid="{D5CDD505-2E9C-101B-9397-08002B2CF9AE}" pid="3" name="MSIP_Label_bf666666-579e-4c80-8bd7-42ec62fad65d_SetDate">
    <vt:lpwstr>2023-02-04T14:17:44Z</vt:lpwstr>
  </property>
  <property fmtid="{D5CDD505-2E9C-101B-9397-08002B2CF9AE}" pid="4" name="MSIP_Label_bf666666-579e-4c80-8bd7-42ec62fad65d_Method">
    <vt:lpwstr>Privileged</vt:lpwstr>
  </property>
  <property fmtid="{D5CDD505-2E9C-101B-9397-08002B2CF9AE}" pid="5" name="MSIP_Label_bf666666-579e-4c80-8bd7-42ec62fad65d_Name">
    <vt:lpwstr>C1 - public</vt:lpwstr>
  </property>
  <property fmtid="{D5CDD505-2E9C-101B-9397-08002B2CF9AE}" pid="6" name="MSIP_Label_bf666666-579e-4c80-8bd7-42ec62fad65d_SiteId">
    <vt:lpwstr>d52b49b7-0c8f-4d89-8c4f-f20517306e08</vt:lpwstr>
  </property>
  <property fmtid="{D5CDD505-2E9C-101B-9397-08002B2CF9AE}" pid="7" name="MSIP_Label_bf666666-579e-4c80-8bd7-42ec62fad65d_ActionId">
    <vt:lpwstr>2df5edea-b7f8-462c-9868-ee74e1f12d89</vt:lpwstr>
  </property>
  <property fmtid="{D5CDD505-2E9C-101B-9397-08002B2CF9AE}" pid="8" name="MSIP_Label_bf666666-579e-4c80-8bd7-42ec62fad65d_ContentBits">
    <vt:lpwstr>0</vt:lpwstr>
  </property>
</Properties>
</file>