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minsc\Downloads\"/>
    </mc:Choice>
  </mc:AlternateContent>
  <xr:revisionPtr revIDLastSave="0" documentId="8_{A6092EE2-FF9F-43CF-A507-88F0B80D5D0A}" xr6:coauthVersionLast="47" xr6:coauthVersionMax="47" xr10:uidLastSave="{00000000-0000-0000-0000-000000000000}"/>
  <bookViews>
    <workbookView xWindow="-98" yWindow="-98" windowWidth="27796" windowHeight="16395" activeTab="1" xr2:uid="{00000000-000D-0000-FFFF-FFFF00000000}"/>
  </bookViews>
  <sheets>
    <sheet name="Trésor" sheetId="1" r:id="rId1"/>
    <sheet name="DATA" sheetId="2" r:id="rId2"/>
  </sheets>
  <definedNames>
    <definedName name="SHARED_FORMULA_1_62_1_62_1">"RANDBETWEEN(1;60)"</definedName>
    <definedName name="SHARED_FORMULA_1_80_1_80_1">"VLOOKUP([.B63];[.$Y$10:.$Z$69];2;FALSE())"</definedName>
    <definedName name="SHARED_FORMULA_10_33_10_33_1">"RANDBETWEEN(1;100)"</definedName>
    <definedName name="SHARED_FORMULA_10_4_10_4_1">"RANDBETWEEN(1;100)"</definedName>
    <definedName name="SHARED_FORMULA_100_22_100_22_1">"RANDBETWEEN(1;20)"</definedName>
    <definedName name="SHARED_FORMULA_100_42_100_42_1">"RANDBETWEEN(1;20)"</definedName>
    <definedName name="SHARED_FORMULA_100_62_100_62_1">"RANDBETWEEN(1;20)"</definedName>
    <definedName name="SHARED_FORMULA_104_22_104_22_1">"RANDBETWEEN(1;20)"</definedName>
    <definedName name="SHARED_FORMULA_104_42_104_42_1">"RANDBETWEEN(1;20)"</definedName>
    <definedName name="SHARED_FORMULA_13_33_13_33_1">"IF([.Q34]&lt;=[.P34];[.O34];0)"</definedName>
    <definedName name="SHARED_FORMULA_13_5_13_5_1">"IF([.Q6]&lt;=[.P6];[.O6];0)"</definedName>
    <definedName name="SHARED_FORMULA_13_51_13_51_1">"IF([.Q52]&lt;=[.P52];[.O52];0)"</definedName>
    <definedName name="SHARED_FORMULA_16_33_16_33_1">"RANDBETWEEN(1;100)"</definedName>
    <definedName name="SHARED_FORMULA_16_4_16_4_1">"RANDBETWEEN(1;100)"</definedName>
    <definedName name="SHARED_FORMULA_16_51_16_51_1">"RANDBETWEEN(1;100)"</definedName>
    <definedName name="SHARED_FORMULA_19_6_19_6_1">"IF([.W7]&lt;=[.V7];[.U7];0)"</definedName>
    <definedName name="SHARED_FORMULA_2_63_2_63_1">"RANDBETWEEN(1;60)"</definedName>
    <definedName name="SHARED_FORMULA_2_81_2_81_1">"VLOOKUP([.C64];[.$Y$10:.$Z$69];2;FALSE())"</definedName>
    <definedName name="SHARED_FORMULA_20_35_20_35_1">"VLOOKUP([.T36];[.$BU$4:.$BV$104];2;FALSE())"</definedName>
    <definedName name="SHARED_FORMULA_22_5_22_5_1">"RANDBETWEEN(1;100)"</definedName>
    <definedName name="SHARED_FORMULA_3_64_3_64_1">"RANDBETWEEN(1;60)"</definedName>
    <definedName name="SHARED_FORMULA_3_82_3_82_1">"VLOOKUP([.D65];[.$Y$10:.$Z$69];2;FALSE())"</definedName>
    <definedName name="SHARED_FORMULA_35_55_35_55_1">"CONCATENATE([.AJ80];[.AL80])"</definedName>
    <definedName name="SHARED_FORMULA_36_80_36_80_1">"RANDBETWEEN(10;100)"</definedName>
    <definedName name="SHARED_FORMULA_37_80_37_80_1">"VLOOKUP([.AK81];[.$AM$80:.$AN$170];2;FALSE())"</definedName>
    <definedName name="SHARED_FORMULA_51_111_51_111_1">"CONCATENATE([.BA112];[.BC112])"</definedName>
    <definedName name="SHARED_FORMULA_51_12_51_12_1">"CONCATENATE([.BA13];[.BC13])"</definedName>
    <definedName name="SHARED_FORMULA_51_33_51_33_1">"CONCATENATE([.BA34];[.BC34])"</definedName>
    <definedName name="SHARED_FORMULA_51_52_51_52_1">"CONCATENATE([.BA53];[.BC53])"</definedName>
    <definedName name="SHARED_FORMULA_53_10_53_10_1">"RANDBETWEEN(1;20)"</definedName>
    <definedName name="SHARED_FORMULA_53_107_53_107_1">"RANDBETWEEN(1;18)"</definedName>
    <definedName name="SHARED_FORMULA_53_31_53_31_1">"RANDBETWEEN(1;18)"</definedName>
    <definedName name="SHARED_FORMULA_53_63_53_63_1">"RANDBETWEEN(1;18)"</definedName>
    <definedName name="SHARED_FORMULA_54_10_54_10_1">"VLOOKUP([.BB11];[.$BD$10:.$BE$29];2;FALSE())"</definedName>
    <definedName name="SHARED_FORMULA_54_107_54_107_1">"VLOOKUP([.BB108];[.$BD$32:.$BE$49];2;FALSE())"</definedName>
    <definedName name="SHARED_FORMULA_54_31_54_31_1">"VLOOKUP([.BB32];[.$BD$32:.$BE$49];2;FALSE())"</definedName>
    <definedName name="SHARED_FORMULA_54_63_54_63_1">"VLOOKUP([.BB64];[.$BD$32:.$BE$49];2;FALSE())"</definedName>
    <definedName name="SHARED_FORMULA_60_11_60_11_1">"CONCATENATE([.BJ12];[.BK12])"</definedName>
    <definedName name="SHARED_FORMULA_60_139_60_139_1">"CONCATENATE([.BJ140];[.BL140])"</definedName>
    <definedName name="SHARED_FORMULA_60_154_60_154_1">"CONCATENATE([.BJ155];[.BL155])"</definedName>
    <definedName name="SHARED_FORMULA_62_10_62_10_1">"VLOOKUP([.BL11];[.$BM$11:.$BN$30];2;FALSE())"</definedName>
    <definedName name="SHARED_FORMULA_62_139_62_139_1">"RANDBETWEEN(1;10)"</definedName>
    <definedName name="SHARED_FORMULA_62_154_62_154_1">"RANDBETWEEN(1;20)"</definedName>
    <definedName name="SHARED_FORMULA_62_42_62_42_1">"VLOOKUP([.BL43];[.$BM$11:.$BN$30];2;FALSE())"</definedName>
    <definedName name="SHARED_FORMULA_63_10_63_10_1">"RANDBETWEEN(1;20)"</definedName>
    <definedName name="SHARED_FORMULA_63_139_63_139_1">"VLOOKUP([.BK140];[.$BR$138:.$BS$147];2;FALSE())"</definedName>
    <definedName name="SHARED_FORMULA_63_154_63_154_1">"VLOOKUP([.BK155];[.$BR$150:.$BS$169];2;FALSE())"</definedName>
    <definedName name="SHARED_FORMULA_63_42_63_42_1">"RANDBETWEEN(1;20)"</definedName>
    <definedName name="SHARED_FORMULA_7_33_7_33_1">"IF([.K34]&lt;=[.J34];[.I34];0)"</definedName>
    <definedName name="SHARED_FORMULA_7_4_7_4_1">"IF([.K5]&lt;=[.J5];[.I5];0)"</definedName>
    <definedName name="SHARED_FORMULA_76_15_76_15_1">"RANDBETWEEN(1;20)"</definedName>
    <definedName name="SHARED_FORMULA_76_36_76_36_1">"RANDBETWEEN(1;20)"</definedName>
    <definedName name="SHARED_FORMULA_76_57_76_57_1">"RANDBETWEEN(1;20)"</definedName>
    <definedName name="SHARED_FORMULA_80_15_80_15_1">"RANDBETWEEN(1;20)"</definedName>
    <definedName name="SHARED_FORMULA_80_36_80_36_1">"RANDBETWEEN(1;20)"</definedName>
    <definedName name="SHARED_FORMULA_80_57_80_57_1">"RANDBETWEEN(1;20)"</definedName>
    <definedName name="SHARED_FORMULA_84_15_84_15_1">"RANDBETWEEN(1;20)"</definedName>
    <definedName name="SHARED_FORMULA_84_36_84_36_1">"RANDBETWEEN(1;20)"</definedName>
    <definedName name="SHARED_FORMULA_84_57_84_57_1">"RANDBETWEEN(1;20)"</definedName>
    <definedName name="SHARED_FORMULA_88_15_88_15_1">"RANDBETWEEN(1;20)"</definedName>
    <definedName name="SHARED_FORMULA_88_36_88_36_1">"RANDBETWEEN(1;20)"</definedName>
    <definedName name="SHARED_FORMULA_88_57_88_57_1">"RANDBETWEEN(1;20)"</definedName>
    <definedName name="SHARED_FORMULA_92_15_92_15_1">"RANDBETWEEN(1;20)"</definedName>
    <definedName name="SHARED_FORMULA_92_36_92_36_1">"RANDBETWEEN(1;20)"</definedName>
    <definedName name="SHARED_FORMULA_92_57_92_57_1">"RANDBETWEEN(1;20)"</definedName>
    <definedName name="SHARED_FORMULA_96_15_96_15_1">"RANDBETWEEN(1;20)"</definedName>
    <definedName name="SHARED_FORMULA_96_36_96_36_1">"RANDBETWEEN(1;20)"</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R47" i="2" l="1"/>
  <c r="CR46" i="2"/>
  <c r="CR43" i="2"/>
  <c r="CR42" i="2"/>
  <c r="CR39" i="2"/>
  <c r="CR38" i="2"/>
  <c r="CR35" i="2"/>
  <c r="CR34" i="2"/>
  <c r="CR31" i="2"/>
  <c r="CR30" i="2"/>
  <c r="CN68" i="2"/>
  <c r="CN67" i="2"/>
  <c r="CN66" i="2"/>
  <c r="CN65" i="2"/>
  <c r="CN64" i="2"/>
  <c r="CN63" i="2"/>
  <c r="CN62" i="2"/>
  <c r="CN61" i="2"/>
  <c r="CN60" i="2"/>
  <c r="CN59" i="2"/>
  <c r="CN58" i="2"/>
  <c r="CN57" i="2"/>
  <c r="CN56" i="2"/>
  <c r="CN55" i="2"/>
  <c r="CN54" i="2"/>
  <c r="CN53" i="2"/>
  <c r="CN52" i="2"/>
  <c r="CN51" i="2"/>
  <c r="CN50" i="2"/>
  <c r="CN47" i="2"/>
  <c r="CN46" i="2"/>
  <c r="CN45" i="2"/>
  <c r="CR45" i="2" s="1"/>
  <c r="CN44" i="2"/>
  <c r="CR44" i="2" s="1"/>
  <c r="CN43" i="2"/>
  <c r="CN42" i="2"/>
  <c r="CN41" i="2"/>
  <c r="CR41" i="2" s="1"/>
  <c r="CN40" i="2"/>
  <c r="CR40" i="2" s="1"/>
  <c r="CN39" i="2"/>
  <c r="CN38" i="2"/>
  <c r="CN37" i="2"/>
  <c r="CR37" i="2" s="1"/>
  <c r="CN36" i="2"/>
  <c r="CR36" i="2" s="1"/>
  <c r="CN35" i="2"/>
  <c r="CN34" i="2"/>
  <c r="CN33" i="2"/>
  <c r="CR33" i="2" s="1"/>
  <c r="CN32" i="2"/>
  <c r="CR32" i="2" s="1"/>
  <c r="CN31" i="2"/>
  <c r="CN30" i="2"/>
  <c r="CN29" i="2"/>
  <c r="CR29" i="2" s="1"/>
  <c r="CN26" i="2"/>
  <c r="CR26" i="2" s="1"/>
  <c r="CN25" i="2"/>
  <c r="CR25" i="2" s="1"/>
  <c r="CN24" i="2"/>
  <c r="CR24" i="2" s="1"/>
  <c r="CN23" i="2"/>
  <c r="CR23" i="2" s="1"/>
  <c r="CN22" i="2"/>
  <c r="CR22" i="2" s="1"/>
  <c r="CN21" i="2"/>
  <c r="CR21" i="2" s="1"/>
  <c r="CN20" i="2"/>
  <c r="CR20" i="2" s="1"/>
  <c r="CN19" i="2"/>
  <c r="CR19" i="2" s="1"/>
  <c r="CN18" i="2"/>
  <c r="CR18" i="2" s="1"/>
  <c r="CN17" i="2"/>
  <c r="CR17" i="2" s="1"/>
  <c r="CN16" i="2"/>
  <c r="CR16" i="2" s="1"/>
  <c r="CN15" i="2"/>
  <c r="CR15" i="2" s="1"/>
  <c r="CN14" i="2"/>
  <c r="CR14" i="2" s="1"/>
  <c r="CN13" i="2"/>
  <c r="CR13" i="2" s="1"/>
  <c r="CN12" i="2"/>
  <c r="CR12" i="2" s="1"/>
  <c r="CN11" i="2"/>
  <c r="CR11" i="2" s="1"/>
  <c r="CN10" i="2"/>
  <c r="CR10" i="2" s="1"/>
  <c r="CN9" i="2"/>
  <c r="CR9" i="2" s="1"/>
  <c r="CN8" i="2"/>
  <c r="CR8" i="2" s="1"/>
  <c r="CJ66" i="2"/>
  <c r="CJ65" i="2"/>
  <c r="CJ62" i="2"/>
  <c r="CJ61" i="2"/>
  <c r="CJ58" i="2"/>
  <c r="CJ57" i="2"/>
  <c r="CJ54" i="2"/>
  <c r="CJ53" i="2"/>
  <c r="CJ50" i="2"/>
  <c r="CJ47" i="2"/>
  <c r="CJ44" i="2"/>
  <c r="CJ43" i="2"/>
  <c r="CJ40" i="2"/>
  <c r="CJ39" i="2"/>
  <c r="CJ36" i="2"/>
  <c r="CJ35" i="2"/>
  <c r="CJ32" i="2"/>
  <c r="CJ31" i="2"/>
  <c r="CJ26" i="2"/>
  <c r="CJ25" i="2"/>
  <c r="CJ22" i="2"/>
  <c r="CJ21" i="2"/>
  <c r="CJ18" i="2"/>
  <c r="CJ17" i="2"/>
  <c r="CJ14" i="2"/>
  <c r="CJ13" i="2"/>
  <c r="CJ10" i="2"/>
  <c r="CJ9" i="2"/>
  <c r="CF68" i="2"/>
  <c r="CJ68" i="2" s="1"/>
  <c r="CF67" i="2"/>
  <c r="CJ67" i="2" s="1"/>
  <c r="CF66" i="2"/>
  <c r="CF65" i="2"/>
  <c r="CF64" i="2"/>
  <c r="CJ64" i="2" s="1"/>
  <c r="CF63" i="2"/>
  <c r="CJ63" i="2" s="1"/>
  <c r="CF62" i="2"/>
  <c r="CF61" i="2"/>
  <c r="CF60" i="2"/>
  <c r="CJ60" i="2" s="1"/>
  <c r="CF59" i="2"/>
  <c r="CJ59" i="2" s="1"/>
  <c r="CF58" i="2"/>
  <c r="CF57" i="2"/>
  <c r="CF56" i="2"/>
  <c r="CJ56" i="2" s="1"/>
  <c r="CF55" i="2"/>
  <c r="CJ55" i="2" s="1"/>
  <c r="CF54" i="2"/>
  <c r="CF53" i="2"/>
  <c r="CF52" i="2"/>
  <c r="CJ52" i="2" s="1"/>
  <c r="CF51" i="2"/>
  <c r="CJ51" i="2" s="1"/>
  <c r="CF50" i="2"/>
  <c r="CF47" i="2"/>
  <c r="CF46" i="2"/>
  <c r="CJ46" i="2" s="1"/>
  <c r="CF45" i="2"/>
  <c r="CJ45" i="2" s="1"/>
  <c r="CF44" i="2"/>
  <c r="CF43" i="2"/>
  <c r="CF42" i="2"/>
  <c r="CJ42" i="2" s="1"/>
  <c r="CF41" i="2"/>
  <c r="CJ41" i="2" s="1"/>
  <c r="CF40" i="2"/>
  <c r="CF39" i="2"/>
  <c r="CF38" i="2"/>
  <c r="CJ38" i="2" s="1"/>
  <c r="CF37" i="2"/>
  <c r="CJ37" i="2" s="1"/>
  <c r="CF36" i="2"/>
  <c r="CF35" i="2"/>
  <c r="CF34" i="2"/>
  <c r="CJ34" i="2" s="1"/>
  <c r="CF33" i="2"/>
  <c r="CJ33" i="2" s="1"/>
  <c r="CF32" i="2"/>
  <c r="CF31" i="2"/>
  <c r="CF30" i="2"/>
  <c r="CJ30" i="2" s="1"/>
  <c r="CF29" i="2"/>
  <c r="CJ29" i="2" s="1"/>
  <c r="CF26" i="2"/>
  <c r="CF25" i="2"/>
  <c r="CF24" i="2"/>
  <c r="CJ24" i="2" s="1"/>
  <c r="CF23" i="2"/>
  <c r="CJ23" i="2" s="1"/>
  <c r="CF22" i="2"/>
  <c r="CF21" i="2"/>
  <c r="CF20" i="2"/>
  <c r="CJ20" i="2" s="1"/>
  <c r="CF19" i="2"/>
  <c r="CJ19" i="2" s="1"/>
  <c r="CF18" i="2"/>
  <c r="CF17" i="2"/>
  <c r="CF16" i="2"/>
  <c r="CJ16" i="2" s="1"/>
  <c r="CF15" i="2"/>
  <c r="CJ15" i="2" s="1"/>
  <c r="CF14" i="2"/>
  <c r="CF13" i="2"/>
  <c r="CF12" i="2"/>
  <c r="CJ12" i="2" s="1"/>
  <c r="CF11" i="2"/>
  <c r="CJ11" i="2" s="1"/>
  <c r="CF10" i="2"/>
  <c r="CF9" i="2"/>
  <c r="CF8" i="2"/>
  <c r="CJ8" i="2" s="1"/>
  <c r="CB68" i="2"/>
  <c r="CB67" i="2"/>
  <c r="CB66" i="2"/>
  <c r="CB65" i="2"/>
  <c r="CB64" i="2"/>
  <c r="CB63" i="2"/>
  <c r="CB62" i="2"/>
  <c r="CB61" i="2"/>
  <c r="CB60" i="2"/>
  <c r="CB59" i="2"/>
  <c r="CB58" i="2"/>
  <c r="CB57" i="2"/>
  <c r="CB56" i="2"/>
  <c r="CB55" i="2"/>
  <c r="CB54" i="2"/>
  <c r="CB53" i="2"/>
  <c r="CB52" i="2"/>
  <c r="CB51" i="2"/>
  <c r="CB50" i="2"/>
  <c r="CB47" i="2"/>
  <c r="CB46" i="2"/>
  <c r="CB45" i="2"/>
  <c r="CB44" i="2"/>
  <c r="CB43" i="2"/>
  <c r="CB42" i="2"/>
  <c r="CB41" i="2"/>
  <c r="CB40" i="2"/>
  <c r="CB39" i="2"/>
  <c r="CB38" i="2"/>
  <c r="CB37" i="2"/>
  <c r="CB36" i="2"/>
  <c r="CB35" i="2"/>
  <c r="CB34" i="2"/>
  <c r="CB33" i="2"/>
  <c r="CB32" i="2"/>
  <c r="CB31" i="2"/>
  <c r="CB30" i="2"/>
  <c r="CB29" i="2"/>
  <c r="CB26" i="2"/>
  <c r="CB25" i="2"/>
  <c r="CB24" i="2"/>
  <c r="CB23" i="2"/>
  <c r="CB22" i="2"/>
  <c r="CB21" i="2"/>
  <c r="CB20" i="2"/>
  <c r="CB19" i="2"/>
  <c r="CB18" i="2"/>
  <c r="CB17" i="2"/>
  <c r="CB16" i="2"/>
  <c r="CB15" i="2"/>
  <c r="CB14" i="2"/>
  <c r="CB13" i="2"/>
  <c r="CB12" i="2"/>
  <c r="CB11" i="2"/>
  <c r="CB10" i="2"/>
  <c r="CB9" i="2"/>
  <c r="CB8" i="2"/>
  <c r="BY49" i="2"/>
  <c r="BX67" i="2"/>
  <c r="BX65" i="2"/>
  <c r="BX63" i="2"/>
  <c r="BX61" i="2"/>
  <c r="BX59" i="2"/>
  <c r="BX57" i="2"/>
  <c r="BX55" i="2"/>
  <c r="BX53" i="2"/>
  <c r="BX51" i="2"/>
  <c r="BX47" i="2"/>
  <c r="BX68" i="2" s="1"/>
  <c r="BX46" i="2"/>
  <c r="BX45" i="2"/>
  <c r="BX66" i="2" s="1"/>
  <c r="BX44" i="2"/>
  <c r="BX43" i="2"/>
  <c r="BX64" i="2" s="1"/>
  <c r="BX42" i="2"/>
  <c r="BX41" i="2"/>
  <c r="BX62" i="2" s="1"/>
  <c r="BX40" i="2"/>
  <c r="BX39" i="2"/>
  <c r="BX60" i="2" s="1"/>
  <c r="BX38" i="2"/>
  <c r="BX37" i="2"/>
  <c r="BX58" i="2" s="1"/>
  <c r="BX36" i="2"/>
  <c r="BX35" i="2"/>
  <c r="BX56" i="2" s="1"/>
  <c r="BX34" i="2"/>
  <c r="BX33" i="2"/>
  <c r="BX54" i="2" s="1"/>
  <c r="BX32" i="2"/>
  <c r="BX31" i="2"/>
  <c r="BX52" i="2" s="1"/>
  <c r="BX30" i="2"/>
  <c r="BX29" i="2"/>
  <c r="BX50" i="2" s="1"/>
  <c r="BX25" i="2"/>
  <c r="BX26" i="2" s="1"/>
  <c r="BX24" i="2"/>
  <c r="BX23" i="2"/>
  <c r="BX22" i="2"/>
  <c r="BX21" i="2"/>
  <c r="BX20" i="2"/>
  <c r="BX19" i="2"/>
  <c r="BX18" i="2"/>
  <c r="BX17" i="2"/>
  <c r="BX16" i="2"/>
  <c r="BX15" i="2"/>
  <c r="BX14" i="2"/>
  <c r="BX13" i="2"/>
  <c r="BX12" i="2"/>
  <c r="BX11" i="2"/>
  <c r="BX10" i="2"/>
  <c r="BX9" i="2"/>
  <c r="BX8" i="2"/>
  <c r="BK69" i="2"/>
  <c r="BK68" i="2"/>
  <c r="BK67" i="2"/>
  <c r="B31" i="2"/>
  <c r="D38" i="2" s="1"/>
  <c r="BI244" i="2"/>
  <c r="BI243" i="2"/>
  <c r="BI242" i="2"/>
  <c r="BK241" i="2"/>
  <c r="BL241" i="2" s="1"/>
  <c r="BI241" i="2" s="1"/>
  <c r="BK240" i="2"/>
  <c r="BL240" i="2" s="1"/>
  <c r="BI240" i="2" s="1"/>
  <c r="BK239" i="2"/>
  <c r="BL239" i="2" s="1"/>
  <c r="BI239" i="2" s="1"/>
  <c r="L187" i="2"/>
  <c r="L179" i="2"/>
  <c r="L171" i="2"/>
  <c r="BK160" i="2"/>
  <c r="BL160" i="2" s="1"/>
  <c r="BI160" i="2" s="1"/>
  <c r="BK159" i="2"/>
  <c r="BL159" i="2" s="1"/>
  <c r="BI159" i="2" s="1"/>
  <c r="L159" i="2"/>
  <c r="BK158" i="2"/>
  <c r="BL158" i="2" s="1"/>
  <c r="BI158" i="2" s="1"/>
  <c r="BK157" i="2"/>
  <c r="BL157" i="2" s="1"/>
  <c r="BI157" i="2" s="1"/>
  <c r="BK156" i="2"/>
  <c r="BL156" i="2" s="1"/>
  <c r="BI156" i="2" s="1"/>
  <c r="BK155" i="2"/>
  <c r="BL155" i="2" s="1"/>
  <c r="BI155" i="2" s="1"/>
  <c r="BK145" i="2"/>
  <c r="BL145" i="2" s="1"/>
  <c r="BI145" i="2" s="1"/>
  <c r="BK144" i="2"/>
  <c r="BL144" i="2" s="1"/>
  <c r="BI144" i="2" s="1"/>
  <c r="L144" i="2"/>
  <c r="BK143" i="2"/>
  <c r="BL143" i="2" s="1"/>
  <c r="BI143" i="2" s="1"/>
  <c r="BK142" i="2"/>
  <c r="BL142" i="2" s="1"/>
  <c r="BI142" i="2" s="1"/>
  <c r="BK141" i="2"/>
  <c r="BL141" i="2" s="1"/>
  <c r="BI141" i="2" s="1"/>
  <c r="BK140" i="2"/>
  <c r="BL140" i="2" s="1"/>
  <c r="BI140" i="2" s="1"/>
  <c r="L130" i="2"/>
  <c r="BB127" i="2"/>
  <c r="BC127" i="2" s="1"/>
  <c r="AZ127" i="2" s="1"/>
  <c r="BB126" i="2"/>
  <c r="BC126" i="2" s="1"/>
  <c r="AZ126" i="2" s="1"/>
  <c r="BB125" i="2"/>
  <c r="BC125" i="2" s="1"/>
  <c r="AZ125" i="2" s="1"/>
  <c r="BB124" i="2"/>
  <c r="BC124" i="2" s="1"/>
  <c r="AZ124" i="2" s="1"/>
  <c r="BB123" i="2"/>
  <c r="BC123" i="2" s="1"/>
  <c r="AZ123" i="2" s="1"/>
  <c r="L123" i="2"/>
  <c r="BB122" i="2"/>
  <c r="BC122" i="2" s="1"/>
  <c r="AZ122" i="2" s="1"/>
  <c r="L122" i="2"/>
  <c r="BB121" i="2"/>
  <c r="BC121" i="2" s="1"/>
  <c r="AZ121" i="2" s="1"/>
  <c r="BB120" i="2"/>
  <c r="BC120" i="2" s="1"/>
  <c r="AZ120" i="2" s="1"/>
  <c r="BB119" i="2"/>
  <c r="BC119" i="2" s="1"/>
  <c r="AZ119" i="2" s="1"/>
  <c r="L119" i="2"/>
  <c r="C119" i="2"/>
  <c r="BB118" i="2"/>
  <c r="BC118" i="2" s="1"/>
  <c r="AZ118" i="2" s="1"/>
  <c r="BB117" i="2"/>
  <c r="BC117" i="2" s="1"/>
  <c r="AZ117" i="2" s="1"/>
  <c r="BB116" i="2"/>
  <c r="BC116" i="2" s="1"/>
  <c r="AZ116" i="2" s="1"/>
  <c r="BK115" i="2"/>
  <c r="BL115" i="2" s="1"/>
  <c r="BI115" i="2" s="1"/>
  <c r="BB115" i="2"/>
  <c r="BC115" i="2" s="1"/>
  <c r="AZ115" i="2" s="1"/>
  <c r="BK114" i="2"/>
  <c r="BL114" i="2" s="1"/>
  <c r="BI114" i="2" s="1"/>
  <c r="BB114" i="2"/>
  <c r="BC114" i="2" s="1"/>
  <c r="AZ114" i="2" s="1"/>
  <c r="BK113" i="2"/>
  <c r="BL113" i="2" s="1"/>
  <c r="BI113" i="2" s="1"/>
  <c r="BB113" i="2"/>
  <c r="BC113" i="2" s="1"/>
  <c r="AZ113" i="2" s="1"/>
  <c r="BB112" i="2"/>
  <c r="BC112" i="2" s="1"/>
  <c r="AZ112" i="2" s="1"/>
  <c r="BB111" i="2"/>
  <c r="BC111" i="2" s="1"/>
  <c r="AZ111" i="2" s="1"/>
  <c r="BB110" i="2"/>
  <c r="BC110" i="2" s="1"/>
  <c r="AZ110" i="2" s="1"/>
  <c r="BB109" i="2"/>
  <c r="BC109" i="2" s="1"/>
  <c r="AZ109" i="2" s="1"/>
  <c r="BB108" i="2"/>
  <c r="BC108" i="2" s="1"/>
  <c r="AZ108" i="2" s="1"/>
  <c r="AK99" i="2"/>
  <c r="AL99" i="2" s="1"/>
  <c r="AK98" i="2"/>
  <c r="AL98" i="2" s="1"/>
  <c r="AJ74" i="2" s="1"/>
  <c r="AK97" i="2"/>
  <c r="AL97" i="2" s="1"/>
  <c r="AJ73" i="2" s="1"/>
  <c r="AK96" i="2"/>
  <c r="AL96" i="2" s="1"/>
  <c r="AJ72" i="2" s="1"/>
  <c r="AK95" i="2"/>
  <c r="AL95" i="2" s="1"/>
  <c r="AJ71" i="2" s="1"/>
  <c r="AK94" i="2"/>
  <c r="AL94" i="2" s="1"/>
  <c r="AJ70" i="2" s="1"/>
  <c r="AK93" i="2"/>
  <c r="AL93" i="2" s="1"/>
  <c r="AJ69" i="2" s="1"/>
  <c r="AK92" i="2"/>
  <c r="AL92" i="2" s="1"/>
  <c r="AJ68" i="2" s="1"/>
  <c r="AK91" i="2"/>
  <c r="AL91" i="2" s="1"/>
  <c r="AJ67" i="2" s="1"/>
  <c r="AK90" i="2"/>
  <c r="AL90" i="2" s="1"/>
  <c r="AJ66" i="2" s="1"/>
  <c r="AK89" i="2"/>
  <c r="AL89" i="2" s="1"/>
  <c r="AJ65" i="2" s="1"/>
  <c r="BB88" i="2"/>
  <c r="BC88" i="2" s="1"/>
  <c r="AZ88" i="2" s="1"/>
  <c r="AK88" i="2"/>
  <c r="AL88" i="2" s="1"/>
  <c r="AJ64" i="2" s="1"/>
  <c r="BB87" i="2"/>
  <c r="BC87" i="2" s="1"/>
  <c r="AZ87" i="2" s="1"/>
  <c r="AK87" i="2"/>
  <c r="AL87" i="2" s="1"/>
  <c r="AJ63" i="2" s="1"/>
  <c r="BB86" i="2"/>
  <c r="BC86" i="2" s="1"/>
  <c r="AZ86" i="2" s="1"/>
  <c r="AK86" i="2"/>
  <c r="AL86" i="2" s="1"/>
  <c r="AJ62" i="2" s="1"/>
  <c r="BB85" i="2"/>
  <c r="BC85" i="2" s="1"/>
  <c r="AZ85" i="2" s="1"/>
  <c r="AK85" i="2"/>
  <c r="AL85" i="2" s="1"/>
  <c r="AJ61" i="2" s="1"/>
  <c r="BB84" i="2"/>
  <c r="BC84" i="2" s="1"/>
  <c r="AZ84" i="2" s="1"/>
  <c r="AK84" i="2"/>
  <c r="AL84" i="2" s="1"/>
  <c r="AJ60" i="2" s="1"/>
  <c r="BB83" i="2"/>
  <c r="BC83" i="2" s="1"/>
  <c r="AZ83" i="2" s="1"/>
  <c r="AK83" i="2"/>
  <c r="AL83" i="2" s="1"/>
  <c r="AJ59" i="2" s="1"/>
  <c r="BL82" i="2"/>
  <c r="BK82" i="2" s="1"/>
  <c r="BB82" i="2"/>
  <c r="BC82" i="2" s="1"/>
  <c r="AZ82" i="2" s="1"/>
  <c r="AK82" i="2"/>
  <c r="AL82" i="2" s="1"/>
  <c r="AJ58" i="2" s="1"/>
  <c r="BL81" i="2"/>
  <c r="BK81" i="2" s="1"/>
  <c r="BB81" i="2"/>
  <c r="BC81" i="2" s="1"/>
  <c r="AZ81" i="2" s="1"/>
  <c r="AK81" i="2"/>
  <c r="AL81" i="2" s="1"/>
  <c r="AJ57" i="2" s="1"/>
  <c r="BL80" i="2"/>
  <c r="BK80" i="2" s="1"/>
  <c r="BB80" i="2"/>
  <c r="BC80" i="2" s="1"/>
  <c r="AZ80" i="2" s="1"/>
  <c r="AK80" i="2"/>
  <c r="AL80" i="2" s="1"/>
  <c r="AJ56" i="2" s="1"/>
  <c r="BB79" i="2"/>
  <c r="BC79" i="2" s="1"/>
  <c r="AZ79" i="2" s="1"/>
  <c r="G79" i="2"/>
  <c r="T52" i="2" s="1"/>
  <c r="U52" i="2" s="1"/>
  <c r="F79" i="2"/>
  <c r="T51" i="2" s="1"/>
  <c r="U51" i="2" s="1"/>
  <c r="E79" i="2"/>
  <c r="T50" i="2" s="1"/>
  <c r="U50" i="2" s="1"/>
  <c r="D79" i="2"/>
  <c r="T49" i="2" s="1"/>
  <c r="U49" i="2" s="1"/>
  <c r="C79" i="2"/>
  <c r="T48" i="2" s="1"/>
  <c r="U48" i="2" s="1"/>
  <c r="B79" i="2"/>
  <c r="T47" i="2" s="1"/>
  <c r="U47" i="2" s="1"/>
  <c r="BB78" i="2"/>
  <c r="BC78" i="2" s="1"/>
  <c r="AZ78" i="2" s="1"/>
  <c r="F78" i="2"/>
  <c r="T46" i="2" s="1"/>
  <c r="U46" i="2" s="1"/>
  <c r="E78" i="2"/>
  <c r="T45" i="2" s="1"/>
  <c r="U45" i="2" s="1"/>
  <c r="D78" i="2"/>
  <c r="T44" i="2" s="1"/>
  <c r="U44" i="2" s="1"/>
  <c r="C78" i="2"/>
  <c r="T43" i="2" s="1"/>
  <c r="U43" i="2" s="1"/>
  <c r="B78" i="2"/>
  <c r="T42" i="2" s="1"/>
  <c r="U42" i="2" s="1"/>
  <c r="BB77" i="2"/>
  <c r="BC77" i="2" s="1"/>
  <c r="AZ77" i="2" s="1"/>
  <c r="D77" i="2"/>
  <c r="T41" i="2" s="1"/>
  <c r="U41" i="2" s="1"/>
  <c r="C77" i="2"/>
  <c r="T40" i="2" s="1"/>
  <c r="U40" i="2" s="1"/>
  <c r="B77" i="2"/>
  <c r="T39" i="2" s="1"/>
  <c r="U39" i="2" s="1"/>
  <c r="BK76" i="2"/>
  <c r="BL76" i="2" s="1"/>
  <c r="BI76" i="2" s="1"/>
  <c r="BB76" i="2"/>
  <c r="BC76" i="2" s="1"/>
  <c r="AZ76" i="2" s="1"/>
  <c r="C76" i="2"/>
  <c r="T38" i="2" s="1"/>
  <c r="U38" i="2" s="1"/>
  <c r="B76" i="2"/>
  <c r="T37" i="2" s="1"/>
  <c r="U37" i="2" s="1"/>
  <c r="BK75" i="2"/>
  <c r="BL75" i="2" s="1"/>
  <c r="BI75" i="2" s="1"/>
  <c r="BB75" i="2"/>
  <c r="BC75" i="2" s="1"/>
  <c r="AZ75" i="2" s="1"/>
  <c r="B75" i="2"/>
  <c r="T36" i="2" s="1"/>
  <c r="U36" i="2" s="1"/>
  <c r="BK74" i="2"/>
  <c r="BL74" i="2" s="1"/>
  <c r="BI74" i="2" s="1"/>
  <c r="BB74" i="2"/>
  <c r="BC74" i="2" s="1"/>
  <c r="AZ74" i="2" s="1"/>
  <c r="E74" i="2"/>
  <c r="E92" i="2" s="1"/>
  <c r="D74" i="2"/>
  <c r="D92" i="2" s="1"/>
  <c r="C74" i="2"/>
  <c r="C92" i="2" s="1"/>
  <c r="B74" i="2"/>
  <c r="B92" i="2" s="1"/>
  <c r="BB73" i="2"/>
  <c r="BC73" i="2" s="1"/>
  <c r="AZ73" i="2" s="1"/>
  <c r="D73" i="2"/>
  <c r="D91" i="2" s="1"/>
  <c r="C73" i="2"/>
  <c r="C91" i="2" s="1"/>
  <c r="B73" i="2"/>
  <c r="B91" i="2" s="1"/>
  <c r="BB72" i="2"/>
  <c r="BC72" i="2" s="1"/>
  <c r="AZ72" i="2" s="1"/>
  <c r="C72" i="2"/>
  <c r="C90" i="2" s="1"/>
  <c r="B72" i="2"/>
  <c r="B90" i="2" s="1"/>
  <c r="CW71" i="2"/>
  <c r="BB71" i="2"/>
  <c r="BC71" i="2" s="1"/>
  <c r="AZ71" i="2" s="1"/>
  <c r="B71" i="2"/>
  <c r="B89" i="2" s="1"/>
  <c r="E99" i="2" s="1"/>
  <c r="CW70" i="2"/>
  <c r="CX70" i="2" s="1"/>
  <c r="BB70" i="2"/>
  <c r="BC70" i="2" s="1"/>
  <c r="AZ70" i="2" s="1"/>
  <c r="I70" i="2"/>
  <c r="I88" i="2" s="1"/>
  <c r="H70" i="2"/>
  <c r="H88" i="2" s="1"/>
  <c r="G70" i="2"/>
  <c r="G88" i="2" s="1"/>
  <c r="F70" i="2"/>
  <c r="F88" i="2" s="1"/>
  <c r="E70" i="2"/>
  <c r="E88" i="2" s="1"/>
  <c r="D70" i="2"/>
  <c r="D88" i="2" s="1"/>
  <c r="C70" i="2"/>
  <c r="C88" i="2" s="1"/>
  <c r="B70" i="2"/>
  <c r="B88" i="2" s="1"/>
  <c r="CW69" i="2"/>
  <c r="CX69" i="2" s="1"/>
  <c r="BB69" i="2"/>
  <c r="BC69" i="2" s="1"/>
  <c r="AZ69" i="2" s="1"/>
  <c r="H69" i="2"/>
  <c r="H87" i="2" s="1"/>
  <c r="G69" i="2"/>
  <c r="G87" i="2" s="1"/>
  <c r="F69" i="2"/>
  <c r="F87" i="2" s="1"/>
  <c r="E69" i="2"/>
  <c r="E87" i="2" s="1"/>
  <c r="D69" i="2"/>
  <c r="D87" i="2" s="1"/>
  <c r="C69" i="2"/>
  <c r="C87" i="2" s="1"/>
  <c r="B69" i="2"/>
  <c r="B87" i="2" s="1"/>
  <c r="CW68" i="2"/>
  <c r="CX68" i="2" s="1"/>
  <c r="BB68" i="2"/>
  <c r="BC68" i="2" s="1"/>
  <c r="AZ68" i="2" s="1"/>
  <c r="G68" i="2"/>
  <c r="G86" i="2" s="1"/>
  <c r="F68" i="2"/>
  <c r="F86" i="2" s="1"/>
  <c r="E68" i="2"/>
  <c r="E86" i="2" s="1"/>
  <c r="D68" i="2"/>
  <c r="D86" i="2" s="1"/>
  <c r="C68" i="2"/>
  <c r="C86" i="2" s="1"/>
  <c r="B68" i="2"/>
  <c r="B86" i="2" s="1"/>
  <c r="CW67" i="2"/>
  <c r="CX67" i="2" s="1"/>
  <c r="CO67" i="2"/>
  <c r="CK67" i="2"/>
  <c r="CG67" i="2"/>
  <c r="CC67" i="2"/>
  <c r="BY67" i="2"/>
  <c r="BB67" i="2"/>
  <c r="BC67" i="2" s="1"/>
  <c r="AZ67" i="2" s="1"/>
  <c r="F67" i="2"/>
  <c r="F85" i="2" s="1"/>
  <c r="E67" i="2"/>
  <c r="E85" i="2" s="1"/>
  <c r="D67" i="2"/>
  <c r="D85" i="2" s="1"/>
  <c r="C67" i="2"/>
  <c r="C85" i="2" s="1"/>
  <c r="B67" i="2"/>
  <c r="B85" i="2" s="1"/>
  <c r="CW66" i="2"/>
  <c r="CX66" i="2" s="1"/>
  <c r="CO66" i="2"/>
  <c r="CK66" i="2"/>
  <c r="CG66" i="2"/>
  <c r="CC66" i="2"/>
  <c r="BY66" i="2"/>
  <c r="BL66" i="2"/>
  <c r="BK66" i="2" s="1"/>
  <c r="BI66" i="2" s="1"/>
  <c r="BB66" i="2"/>
  <c r="BC66" i="2" s="1"/>
  <c r="AZ66" i="2" s="1"/>
  <c r="E66" i="2"/>
  <c r="E84" i="2" s="1"/>
  <c r="D66" i="2"/>
  <c r="D84" i="2" s="1"/>
  <c r="C66" i="2"/>
  <c r="C84" i="2" s="1"/>
  <c r="B66" i="2"/>
  <c r="B84" i="2" s="1"/>
  <c r="CW65" i="2"/>
  <c r="CX65" i="2" s="1"/>
  <c r="CO65" i="2"/>
  <c r="CP65" i="2" s="1"/>
  <c r="CK65" i="2"/>
  <c r="CL65" i="2" s="1"/>
  <c r="CG65" i="2"/>
  <c r="CH65" i="2" s="1"/>
  <c r="CC65" i="2"/>
  <c r="CD65" i="2" s="1"/>
  <c r="BY65" i="2"/>
  <c r="BZ65" i="2" s="1"/>
  <c r="BL65" i="2"/>
  <c r="BK65" i="2" s="1"/>
  <c r="BI65" i="2" s="1"/>
  <c r="BB65" i="2"/>
  <c r="BC65" i="2" s="1"/>
  <c r="AZ65" i="2" s="1"/>
  <c r="D65" i="2"/>
  <c r="D83" i="2" s="1"/>
  <c r="C65" i="2"/>
  <c r="C83" i="2" s="1"/>
  <c r="B65" i="2"/>
  <c r="B83" i="2" s="1"/>
  <c r="CW64" i="2"/>
  <c r="CX64" i="2" s="1"/>
  <c r="CO64" i="2"/>
  <c r="CP64" i="2" s="1"/>
  <c r="CK64" i="2"/>
  <c r="CL64" i="2" s="1"/>
  <c r="CG64" i="2"/>
  <c r="CH64" i="2" s="1"/>
  <c r="CC64" i="2"/>
  <c r="CD64" i="2" s="1"/>
  <c r="BY64" i="2"/>
  <c r="BZ64" i="2" s="1"/>
  <c r="BL64" i="2"/>
  <c r="BK64" i="2" s="1"/>
  <c r="BI64" i="2" s="1"/>
  <c r="BB64" i="2"/>
  <c r="BC64" i="2" s="1"/>
  <c r="AZ64" i="2" s="1"/>
  <c r="C64" i="2"/>
  <c r="C82" i="2" s="1"/>
  <c r="B64" i="2"/>
  <c r="B82" i="2" s="1"/>
  <c r="CW63" i="2"/>
  <c r="CX63" i="2" s="1"/>
  <c r="CO63" i="2"/>
  <c r="CP63" i="2" s="1"/>
  <c r="CK63" i="2"/>
  <c r="CL63" i="2" s="1"/>
  <c r="CG63" i="2"/>
  <c r="CH63" i="2" s="1"/>
  <c r="CC63" i="2"/>
  <c r="CD63" i="2" s="1"/>
  <c r="BY63" i="2"/>
  <c r="BZ63" i="2" s="1"/>
  <c r="BL63" i="2"/>
  <c r="BK63" i="2" s="1"/>
  <c r="BI63" i="2" s="1"/>
  <c r="BB63" i="2"/>
  <c r="BC63" i="2" s="1"/>
  <c r="AZ63" i="2" s="1"/>
  <c r="B63" i="2"/>
  <c r="B81" i="2" s="1"/>
  <c r="D98" i="2" s="1"/>
  <c r="CW62" i="2"/>
  <c r="CX62" i="2" s="1"/>
  <c r="CO62" i="2"/>
  <c r="CP62" i="2" s="1"/>
  <c r="CK62" i="2"/>
  <c r="CL62" i="2" s="1"/>
  <c r="CG62" i="2"/>
  <c r="CH62" i="2" s="1"/>
  <c r="CC62" i="2"/>
  <c r="CD62" i="2" s="1"/>
  <c r="BY62" i="2"/>
  <c r="BZ62" i="2" s="1"/>
  <c r="BL62" i="2"/>
  <c r="BK62" i="2" s="1"/>
  <c r="BI62" i="2" s="1"/>
  <c r="BB62" i="2"/>
  <c r="BC62" i="2" s="1"/>
  <c r="AZ62" i="2" s="1"/>
  <c r="CW61" i="2"/>
  <c r="CX61" i="2" s="1"/>
  <c r="CO61" i="2"/>
  <c r="CP61" i="2" s="1"/>
  <c r="CK61" i="2"/>
  <c r="CL61" i="2" s="1"/>
  <c r="CG61" i="2"/>
  <c r="CH61" i="2" s="1"/>
  <c r="CC61" i="2"/>
  <c r="CD61" i="2" s="1"/>
  <c r="BY61" i="2"/>
  <c r="BZ61" i="2" s="1"/>
  <c r="BL61" i="2"/>
  <c r="BK61" i="2" s="1"/>
  <c r="BI61" i="2" s="1"/>
  <c r="BB61" i="2"/>
  <c r="BC61" i="2" s="1"/>
  <c r="AZ61" i="2" s="1"/>
  <c r="CW60" i="2"/>
  <c r="CO60" i="2"/>
  <c r="CP60" i="2" s="1"/>
  <c r="CK60" i="2"/>
  <c r="CL60" i="2" s="1"/>
  <c r="CG60" i="2"/>
  <c r="CH60" i="2" s="1"/>
  <c r="CC60" i="2"/>
  <c r="CD60" i="2" s="1"/>
  <c r="BY60" i="2"/>
  <c r="BZ60" i="2" s="1"/>
  <c r="BL60" i="2"/>
  <c r="BK60" i="2" s="1"/>
  <c r="BI60" i="2" s="1"/>
  <c r="BB60" i="2"/>
  <c r="BC60" i="2" s="1"/>
  <c r="AZ60" i="2" s="1"/>
  <c r="CW59" i="2"/>
  <c r="CX59" i="2" s="1"/>
  <c r="CO59" i="2"/>
  <c r="CP59" i="2" s="1"/>
  <c r="CK59" i="2"/>
  <c r="CL59" i="2" s="1"/>
  <c r="CG59" i="2"/>
  <c r="CH59" i="2" s="1"/>
  <c r="CC59" i="2"/>
  <c r="CD59" i="2" s="1"/>
  <c r="BY59" i="2"/>
  <c r="BZ59" i="2" s="1"/>
  <c r="BL59" i="2"/>
  <c r="BK59" i="2" s="1"/>
  <c r="BI59" i="2" s="1"/>
  <c r="BB59" i="2"/>
  <c r="BC59" i="2" s="1"/>
  <c r="AZ59" i="2" s="1"/>
  <c r="Q59" i="2"/>
  <c r="I59" i="2"/>
  <c r="H59" i="2" s="1"/>
  <c r="C59" i="2"/>
  <c r="B59" i="2" s="1"/>
  <c r="CW58" i="2"/>
  <c r="CX58" i="2" s="1"/>
  <c r="CO58" i="2"/>
  <c r="CP58" i="2" s="1"/>
  <c r="CK58" i="2"/>
  <c r="CL58" i="2" s="1"/>
  <c r="CG58" i="2"/>
  <c r="CH58" i="2" s="1"/>
  <c r="CC58" i="2"/>
  <c r="CD58" i="2" s="1"/>
  <c r="BY58" i="2"/>
  <c r="BZ58" i="2" s="1"/>
  <c r="BL58" i="2"/>
  <c r="BK58" i="2" s="1"/>
  <c r="BI58" i="2" s="1"/>
  <c r="BB58" i="2"/>
  <c r="BC58" i="2" s="1"/>
  <c r="AZ58" i="2" s="1"/>
  <c r="C58" i="2"/>
  <c r="B58" i="2" s="1"/>
  <c r="CW57" i="2"/>
  <c r="CX57" i="2" s="1"/>
  <c r="CO57" i="2"/>
  <c r="CP57" i="2" s="1"/>
  <c r="CK57" i="2"/>
  <c r="CL57" i="2" s="1"/>
  <c r="CG57" i="2"/>
  <c r="CH57" i="2" s="1"/>
  <c r="CC57" i="2"/>
  <c r="CD57" i="2" s="1"/>
  <c r="BY57" i="2"/>
  <c r="BZ57" i="2" s="1"/>
  <c r="BL57" i="2"/>
  <c r="BK57" i="2" s="1"/>
  <c r="BI57" i="2" s="1"/>
  <c r="BB57" i="2"/>
  <c r="BC57" i="2" s="1"/>
  <c r="AZ57" i="2" s="1"/>
  <c r="Q57" i="2"/>
  <c r="N57" i="2" s="1"/>
  <c r="CW56" i="2"/>
  <c r="CX56" i="2" s="1"/>
  <c r="CO56" i="2"/>
  <c r="CP56" i="2" s="1"/>
  <c r="CK56" i="2"/>
  <c r="CL56" i="2" s="1"/>
  <c r="CG56" i="2"/>
  <c r="CH56" i="2" s="1"/>
  <c r="CC56" i="2"/>
  <c r="CD56" i="2" s="1"/>
  <c r="BY56" i="2"/>
  <c r="BZ56" i="2" s="1"/>
  <c r="BL56" i="2"/>
  <c r="BK56" i="2" s="1"/>
  <c r="BI56" i="2" s="1"/>
  <c r="BB56" i="2"/>
  <c r="BC56" i="2" s="1"/>
  <c r="AZ56" i="2" s="1"/>
  <c r="Q56" i="2"/>
  <c r="I56" i="2"/>
  <c r="H56" i="2" s="1"/>
  <c r="C56" i="2"/>
  <c r="B56" i="2" s="1"/>
  <c r="CW55" i="2"/>
  <c r="CX55" i="2" s="1"/>
  <c r="CO55" i="2"/>
  <c r="CK55" i="2"/>
  <c r="CG55" i="2"/>
  <c r="CC55" i="2"/>
  <c r="BY55" i="2"/>
  <c r="BL55" i="2"/>
  <c r="BK55" i="2" s="1"/>
  <c r="BI55" i="2" s="1"/>
  <c r="BB55" i="2"/>
  <c r="BC55" i="2" s="1"/>
  <c r="AZ55" i="2" s="1"/>
  <c r="Q55" i="2"/>
  <c r="N55" i="2" s="1"/>
  <c r="CO54" i="2"/>
  <c r="CP54" i="2" s="1"/>
  <c r="CK54" i="2"/>
  <c r="CL54" i="2" s="1"/>
  <c r="CG54" i="2"/>
  <c r="CH54" i="2" s="1"/>
  <c r="CC54" i="2"/>
  <c r="CD54" i="2" s="1"/>
  <c r="BY54" i="2"/>
  <c r="BZ54" i="2" s="1"/>
  <c r="BL54" i="2"/>
  <c r="BK54" i="2" s="1"/>
  <c r="BI54" i="2" s="1"/>
  <c r="BB54" i="2"/>
  <c r="BC54" i="2" s="1"/>
  <c r="AZ54" i="2" s="1"/>
  <c r="Q54" i="2"/>
  <c r="CO53" i="2"/>
  <c r="CP53" i="2" s="1"/>
  <c r="CK53" i="2"/>
  <c r="CL53" i="2" s="1"/>
  <c r="CG53" i="2"/>
  <c r="CH53" i="2" s="1"/>
  <c r="CC53" i="2"/>
  <c r="CD53" i="2" s="1"/>
  <c r="BY53" i="2"/>
  <c r="BZ53" i="2" s="1"/>
  <c r="BL53" i="2"/>
  <c r="BK53" i="2" s="1"/>
  <c r="BI53" i="2" s="1"/>
  <c r="BB53" i="2"/>
  <c r="BC53" i="2" s="1"/>
  <c r="AZ53" i="2" s="1"/>
  <c r="Q53" i="2"/>
  <c r="O53" i="2"/>
  <c r="CO52" i="2"/>
  <c r="CP52" i="2" s="1"/>
  <c r="CK52" i="2"/>
  <c r="CL52" i="2" s="1"/>
  <c r="CG52" i="2"/>
  <c r="CH52" i="2" s="1"/>
  <c r="CC52" i="2"/>
  <c r="CD52" i="2" s="1"/>
  <c r="BY52" i="2"/>
  <c r="BZ52" i="2" s="1"/>
  <c r="BL52" i="2"/>
  <c r="BK52" i="2" s="1"/>
  <c r="BI52" i="2" s="1"/>
  <c r="BB52" i="2"/>
  <c r="BC52" i="2" s="1"/>
  <c r="AZ52" i="2" s="1"/>
  <c r="Q52" i="2"/>
  <c r="O52" i="2"/>
  <c r="DA51" i="2"/>
  <c r="CW51" i="2"/>
  <c r="CO51" i="2"/>
  <c r="CP51" i="2" s="1"/>
  <c r="CK51" i="2"/>
  <c r="CL51" i="2" s="1"/>
  <c r="CG51" i="2"/>
  <c r="CH51" i="2" s="1"/>
  <c r="CC51" i="2"/>
  <c r="CD51" i="2" s="1"/>
  <c r="BY51" i="2"/>
  <c r="BZ51" i="2" s="1"/>
  <c r="BL51" i="2"/>
  <c r="BK51" i="2" s="1"/>
  <c r="BI51" i="2" s="1"/>
  <c r="BB51" i="2"/>
  <c r="BC51" i="2" s="1"/>
  <c r="AZ51" i="2" s="1"/>
  <c r="I51" i="2"/>
  <c r="H51" i="2" s="1"/>
  <c r="C51" i="2"/>
  <c r="B51" i="2" s="1"/>
  <c r="DA50" i="2"/>
  <c r="DB50" i="2" s="1"/>
  <c r="CW50" i="2"/>
  <c r="CX50" i="2" s="1"/>
  <c r="CO50" i="2"/>
  <c r="CP50" i="2" s="1"/>
  <c r="CK50" i="2"/>
  <c r="CL50" i="2" s="1"/>
  <c r="CG50" i="2"/>
  <c r="CH50" i="2" s="1"/>
  <c r="CC50" i="2"/>
  <c r="CD50" i="2" s="1"/>
  <c r="BY50" i="2"/>
  <c r="BZ50" i="2" s="1"/>
  <c r="BL50" i="2"/>
  <c r="BK50" i="2" s="1"/>
  <c r="BI50" i="2" s="1"/>
  <c r="BB50" i="2"/>
  <c r="BC50" i="2" s="1"/>
  <c r="AZ50" i="2" s="1"/>
  <c r="DA49" i="2"/>
  <c r="DB49" i="2" s="1"/>
  <c r="CW49" i="2"/>
  <c r="CX49" i="2" s="1"/>
  <c r="BL49" i="2"/>
  <c r="BK49" i="2" s="1"/>
  <c r="BI49" i="2" s="1"/>
  <c r="BB49" i="2"/>
  <c r="BC49" i="2" s="1"/>
  <c r="AZ49" i="2" s="1"/>
  <c r="I49" i="2"/>
  <c r="H49" i="2" s="1"/>
  <c r="DA48" i="2"/>
  <c r="DB48" i="2" s="1"/>
  <c r="CW48" i="2"/>
  <c r="CX48" i="2" s="1"/>
  <c r="BL48" i="2"/>
  <c r="BK48" i="2" s="1"/>
  <c r="BI48" i="2" s="1"/>
  <c r="BB48" i="2"/>
  <c r="BC48" i="2" s="1"/>
  <c r="AZ48" i="2" s="1"/>
  <c r="DA47" i="2"/>
  <c r="DB47" i="2" s="1"/>
  <c r="CW47" i="2"/>
  <c r="CX47" i="2" s="1"/>
  <c r="BL47" i="2"/>
  <c r="BK47" i="2" s="1"/>
  <c r="BI47" i="2" s="1"/>
  <c r="BB47" i="2"/>
  <c r="BC47" i="2" s="1"/>
  <c r="AZ47" i="2" s="1"/>
  <c r="I47" i="2"/>
  <c r="H47" i="2" s="1"/>
  <c r="DA46" i="2"/>
  <c r="DB46" i="2" s="1"/>
  <c r="CW46" i="2"/>
  <c r="CX46" i="2" s="1"/>
  <c r="CS46" i="2"/>
  <c r="CO46" i="2"/>
  <c r="CK46" i="2"/>
  <c r="CG46" i="2"/>
  <c r="CC46" i="2"/>
  <c r="BY46" i="2"/>
  <c r="BL46" i="2"/>
  <c r="BK46" i="2" s="1"/>
  <c r="BI46" i="2" s="1"/>
  <c r="BB46" i="2"/>
  <c r="BC46" i="2" s="1"/>
  <c r="AZ46" i="2" s="1"/>
  <c r="C46" i="2"/>
  <c r="B46" i="2" s="1"/>
  <c r="DA45" i="2"/>
  <c r="DB45" i="2" s="1"/>
  <c r="CW45" i="2"/>
  <c r="CX45" i="2" s="1"/>
  <c r="CS45" i="2"/>
  <c r="CO45" i="2"/>
  <c r="CK45" i="2"/>
  <c r="CG45" i="2"/>
  <c r="CC45" i="2"/>
  <c r="BY45" i="2"/>
  <c r="BL45" i="2"/>
  <c r="BK45" i="2" s="1"/>
  <c r="BI45" i="2" s="1"/>
  <c r="BB45" i="2"/>
  <c r="BC45" i="2" s="1"/>
  <c r="AZ45" i="2" s="1"/>
  <c r="I45" i="2"/>
  <c r="H45" i="2" s="1"/>
  <c r="DA44" i="2"/>
  <c r="DB44" i="2" s="1"/>
  <c r="CW44" i="2"/>
  <c r="CX44" i="2" s="1"/>
  <c r="CS44" i="2"/>
  <c r="CT44" i="2" s="1"/>
  <c r="CO44" i="2"/>
  <c r="CP44" i="2" s="1"/>
  <c r="CK44" i="2"/>
  <c r="CL44" i="2" s="1"/>
  <c r="CG44" i="2"/>
  <c r="CH44" i="2" s="1"/>
  <c r="CC44" i="2"/>
  <c r="CD44" i="2" s="1"/>
  <c r="BY44" i="2"/>
  <c r="BZ44" i="2" s="1"/>
  <c r="BL44" i="2"/>
  <c r="BK44" i="2" s="1"/>
  <c r="BI44" i="2" s="1"/>
  <c r="BB44" i="2"/>
  <c r="BC44" i="2" s="1"/>
  <c r="AZ44" i="2" s="1"/>
  <c r="DA43" i="2"/>
  <c r="DB43" i="2" s="1"/>
  <c r="CW43" i="2"/>
  <c r="CX43" i="2" s="1"/>
  <c r="CS43" i="2"/>
  <c r="CT43" i="2" s="1"/>
  <c r="CO43" i="2"/>
  <c r="CP43" i="2" s="1"/>
  <c r="CK43" i="2"/>
  <c r="CL43" i="2" s="1"/>
  <c r="CG43" i="2"/>
  <c r="CH43" i="2" s="1"/>
  <c r="CC43" i="2"/>
  <c r="CD43" i="2" s="1"/>
  <c r="BY43" i="2"/>
  <c r="BZ43" i="2" s="1"/>
  <c r="BL43" i="2"/>
  <c r="BK43" i="2" s="1"/>
  <c r="BI43" i="2" s="1"/>
  <c r="BB43" i="2"/>
  <c r="BC43" i="2" s="1"/>
  <c r="AZ43" i="2" s="1"/>
  <c r="DA42" i="2"/>
  <c r="DB42" i="2" s="1"/>
  <c r="CW42" i="2"/>
  <c r="CX42" i="2" s="1"/>
  <c r="CS42" i="2"/>
  <c r="CT42" i="2" s="1"/>
  <c r="CO42" i="2"/>
  <c r="CP42" i="2" s="1"/>
  <c r="CK42" i="2"/>
  <c r="CL42" i="2" s="1"/>
  <c r="CG42" i="2"/>
  <c r="CH42" i="2" s="1"/>
  <c r="CC42" i="2"/>
  <c r="CD42" i="2" s="1"/>
  <c r="BY42" i="2"/>
  <c r="BZ42" i="2" s="1"/>
  <c r="BL42" i="2"/>
  <c r="BK42" i="2" s="1"/>
  <c r="BI42" i="2" s="1"/>
  <c r="BB42" i="2"/>
  <c r="BC42" i="2" s="1"/>
  <c r="AZ42" i="2" s="1"/>
  <c r="Q42" i="2"/>
  <c r="K42" i="2"/>
  <c r="I42" i="2"/>
  <c r="DA41" i="2"/>
  <c r="DB41" i="2" s="1"/>
  <c r="CW41" i="2"/>
  <c r="CX41" i="2" s="1"/>
  <c r="CS41" i="2"/>
  <c r="CT41" i="2" s="1"/>
  <c r="CO41" i="2"/>
  <c r="CP41" i="2" s="1"/>
  <c r="CK41" i="2"/>
  <c r="CL41" i="2" s="1"/>
  <c r="CG41" i="2"/>
  <c r="CH41" i="2" s="1"/>
  <c r="CC41" i="2"/>
  <c r="CD41" i="2" s="1"/>
  <c r="BY41" i="2"/>
  <c r="BZ41" i="2" s="1"/>
  <c r="BL41" i="2"/>
  <c r="BK41" i="2" s="1"/>
  <c r="BI41" i="2" s="1"/>
  <c r="BB41" i="2"/>
  <c r="BC41" i="2" s="1"/>
  <c r="AZ41" i="2" s="1"/>
  <c r="Q41" i="2"/>
  <c r="K41" i="2"/>
  <c r="I41" i="2"/>
  <c r="E41" i="2"/>
  <c r="C41" i="2"/>
  <c r="DA40" i="2"/>
  <c r="CW40" i="2"/>
  <c r="CS40" i="2"/>
  <c r="CT40" i="2" s="1"/>
  <c r="CO40" i="2"/>
  <c r="CP40" i="2" s="1"/>
  <c r="CK40" i="2"/>
  <c r="CL40" i="2" s="1"/>
  <c r="CG40" i="2"/>
  <c r="CH40" i="2" s="1"/>
  <c r="CC40" i="2"/>
  <c r="CD40" i="2" s="1"/>
  <c r="BY40" i="2"/>
  <c r="BZ40" i="2" s="1"/>
  <c r="BL40" i="2"/>
  <c r="BK40" i="2" s="1"/>
  <c r="BI40" i="2" s="1"/>
  <c r="BB40" i="2"/>
  <c r="BC40" i="2" s="1"/>
  <c r="AZ40" i="2" s="1"/>
  <c r="Q40" i="2"/>
  <c r="K40" i="2"/>
  <c r="I40" i="2"/>
  <c r="E40" i="2"/>
  <c r="C40" i="2"/>
  <c r="DA39" i="2"/>
  <c r="DB39" i="2" s="1"/>
  <c r="CW39" i="2"/>
  <c r="CX39" i="2" s="1"/>
  <c r="CS39" i="2"/>
  <c r="CT39" i="2" s="1"/>
  <c r="CO39" i="2"/>
  <c r="CP39" i="2" s="1"/>
  <c r="CK39" i="2"/>
  <c r="CL39" i="2" s="1"/>
  <c r="CG39" i="2"/>
  <c r="CH39" i="2" s="1"/>
  <c r="CC39" i="2"/>
  <c r="CD39" i="2" s="1"/>
  <c r="BY39" i="2"/>
  <c r="BZ39" i="2" s="1"/>
  <c r="BL39" i="2"/>
  <c r="BK39" i="2" s="1"/>
  <c r="BI39" i="2" s="1"/>
  <c r="BB39" i="2"/>
  <c r="BC39" i="2" s="1"/>
  <c r="AZ39" i="2" s="1"/>
  <c r="Q39" i="2"/>
  <c r="K39" i="2"/>
  <c r="I39" i="2"/>
  <c r="E39" i="2"/>
  <c r="C39" i="2"/>
  <c r="DA38" i="2"/>
  <c r="DB38" i="2" s="1"/>
  <c r="CW38" i="2"/>
  <c r="CX38" i="2" s="1"/>
  <c r="CS38" i="2"/>
  <c r="CT38" i="2" s="1"/>
  <c r="CO38" i="2"/>
  <c r="CP38" i="2" s="1"/>
  <c r="CK38" i="2"/>
  <c r="CL38" i="2" s="1"/>
  <c r="CG38" i="2"/>
  <c r="CH38" i="2" s="1"/>
  <c r="CC38" i="2"/>
  <c r="CD38" i="2" s="1"/>
  <c r="BY38" i="2"/>
  <c r="BZ38" i="2" s="1"/>
  <c r="BL38" i="2"/>
  <c r="BK38" i="2" s="1"/>
  <c r="BI38" i="2" s="1"/>
  <c r="BB38" i="2"/>
  <c r="BC38" i="2" s="1"/>
  <c r="AZ38" i="2" s="1"/>
  <c r="Q38" i="2"/>
  <c r="K38" i="2"/>
  <c r="I38" i="2"/>
  <c r="E38" i="2"/>
  <c r="C38" i="2"/>
  <c r="DA37" i="2"/>
  <c r="DB37" i="2" s="1"/>
  <c r="CW37" i="2"/>
  <c r="CX37" i="2" s="1"/>
  <c r="CS37" i="2"/>
  <c r="CT37" i="2" s="1"/>
  <c r="CO37" i="2"/>
  <c r="CP37" i="2" s="1"/>
  <c r="CK37" i="2"/>
  <c r="CL37" i="2" s="1"/>
  <c r="CG37" i="2"/>
  <c r="CH37" i="2" s="1"/>
  <c r="CC37" i="2"/>
  <c r="CD37" i="2" s="1"/>
  <c r="BY37" i="2"/>
  <c r="BZ37" i="2" s="1"/>
  <c r="BL37" i="2"/>
  <c r="BK37" i="2" s="1"/>
  <c r="BI37" i="2" s="1"/>
  <c r="BB37" i="2"/>
  <c r="BC37" i="2" s="1"/>
  <c r="AZ37" i="2" s="1"/>
  <c r="Q37" i="2"/>
  <c r="K37" i="2"/>
  <c r="I37" i="2"/>
  <c r="E37" i="2"/>
  <c r="C37" i="2"/>
  <c r="DA36" i="2"/>
  <c r="DB36" i="2" s="1"/>
  <c r="CW36" i="2"/>
  <c r="CX36" i="2" s="1"/>
  <c r="CS36" i="2"/>
  <c r="CT36" i="2" s="1"/>
  <c r="CO36" i="2"/>
  <c r="CP36" i="2" s="1"/>
  <c r="CK36" i="2"/>
  <c r="CL36" i="2" s="1"/>
  <c r="CG36" i="2"/>
  <c r="CH36" i="2" s="1"/>
  <c r="CC36" i="2"/>
  <c r="CD36" i="2" s="1"/>
  <c r="BY36" i="2"/>
  <c r="BZ36" i="2" s="1"/>
  <c r="BL36" i="2"/>
  <c r="BK36" i="2" s="1"/>
  <c r="BI36" i="2" s="1"/>
  <c r="BB36" i="2"/>
  <c r="BC36" i="2" s="1"/>
  <c r="AZ36" i="2" s="1"/>
  <c r="Q36" i="2"/>
  <c r="K36" i="2"/>
  <c r="I36" i="2"/>
  <c r="DA35" i="2"/>
  <c r="DB35" i="2" s="1"/>
  <c r="CW35" i="2"/>
  <c r="CX35" i="2" s="1"/>
  <c r="CS35" i="2"/>
  <c r="CT35" i="2" s="1"/>
  <c r="CO35" i="2"/>
  <c r="CP35" i="2" s="1"/>
  <c r="CK35" i="2"/>
  <c r="CL35" i="2" s="1"/>
  <c r="CG35" i="2"/>
  <c r="CH35" i="2" s="1"/>
  <c r="CC35" i="2"/>
  <c r="CD35" i="2" s="1"/>
  <c r="BY35" i="2"/>
  <c r="BZ35" i="2" s="1"/>
  <c r="BL35" i="2"/>
  <c r="BK35" i="2" s="1"/>
  <c r="BI35" i="2" s="1"/>
  <c r="BB35" i="2"/>
  <c r="BC35" i="2" s="1"/>
  <c r="AZ35" i="2" s="1"/>
  <c r="Q35" i="2"/>
  <c r="K35" i="2"/>
  <c r="I35" i="2"/>
  <c r="E35" i="2"/>
  <c r="C35" i="2"/>
  <c r="CS34" i="2"/>
  <c r="CO34" i="2"/>
  <c r="CK34" i="2"/>
  <c r="CG34" i="2"/>
  <c r="CC34" i="2"/>
  <c r="BY34" i="2"/>
  <c r="BL34" i="2"/>
  <c r="BK34" i="2" s="1"/>
  <c r="BI34" i="2" s="1"/>
  <c r="BB34" i="2"/>
  <c r="BC34" i="2" s="1"/>
  <c r="AZ34" i="2" s="1"/>
  <c r="Q34" i="2"/>
  <c r="K34" i="2"/>
  <c r="I34" i="2"/>
  <c r="E34" i="2"/>
  <c r="C34" i="2"/>
  <c r="CS33" i="2"/>
  <c r="CT33" i="2" s="1"/>
  <c r="CO33" i="2"/>
  <c r="CP33" i="2" s="1"/>
  <c r="CK33" i="2"/>
  <c r="CL33" i="2" s="1"/>
  <c r="CG33" i="2"/>
  <c r="CH33" i="2" s="1"/>
  <c r="CC33" i="2"/>
  <c r="CD33" i="2" s="1"/>
  <c r="BY33" i="2"/>
  <c r="BZ33" i="2" s="1"/>
  <c r="BL33" i="2"/>
  <c r="BK33" i="2" s="1"/>
  <c r="BI33" i="2" s="1"/>
  <c r="BB33" i="2"/>
  <c r="BC33" i="2" s="1"/>
  <c r="AZ33" i="2" s="1"/>
  <c r="CS32" i="2"/>
  <c r="CT32" i="2" s="1"/>
  <c r="CO32" i="2"/>
  <c r="CP32" i="2" s="1"/>
  <c r="CK32" i="2"/>
  <c r="CL32" i="2" s="1"/>
  <c r="CG32" i="2"/>
  <c r="CH32" i="2" s="1"/>
  <c r="CC32" i="2"/>
  <c r="CD32" i="2" s="1"/>
  <c r="BY32" i="2"/>
  <c r="BZ32" i="2" s="1"/>
  <c r="BL32" i="2"/>
  <c r="BK32" i="2" s="1"/>
  <c r="BI32" i="2" s="1"/>
  <c r="BB32" i="2"/>
  <c r="BC32" i="2" s="1"/>
  <c r="AZ32" i="2" s="1"/>
  <c r="DA31" i="2"/>
  <c r="CW31" i="2"/>
  <c r="CS31" i="2"/>
  <c r="CT31" i="2" s="1"/>
  <c r="CO31" i="2"/>
  <c r="CP31" i="2" s="1"/>
  <c r="CK31" i="2"/>
  <c r="CL31" i="2" s="1"/>
  <c r="CG31" i="2"/>
  <c r="CH31" i="2" s="1"/>
  <c r="CC31" i="2"/>
  <c r="CD31" i="2" s="1"/>
  <c r="BY31" i="2"/>
  <c r="BZ31" i="2" s="1"/>
  <c r="BL31" i="2"/>
  <c r="BK31" i="2" s="1"/>
  <c r="BI31" i="2" s="1"/>
  <c r="W31" i="2"/>
  <c r="U31" i="2"/>
  <c r="DA30" i="2"/>
  <c r="DB30" i="2" s="1"/>
  <c r="CW30" i="2"/>
  <c r="CX30" i="2" s="1"/>
  <c r="CS30" i="2"/>
  <c r="CT30" i="2" s="1"/>
  <c r="CO30" i="2"/>
  <c r="CP30" i="2" s="1"/>
  <c r="CK30" i="2"/>
  <c r="CL30" i="2" s="1"/>
  <c r="CG30" i="2"/>
  <c r="CH30" i="2" s="1"/>
  <c r="CC30" i="2"/>
  <c r="CD30" i="2" s="1"/>
  <c r="BY30" i="2"/>
  <c r="BZ30" i="2" s="1"/>
  <c r="BL30" i="2"/>
  <c r="BK30" i="2" s="1"/>
  <c r="BI30" i="2" s="1"/>
  <c r="BB30" i="2"/>
  <c r="Q30" i="2"/>
  <c r="O30" i="2"/>
  <c r="I30" i="2"/>
  <c r="H30" i="2" s="1"/>
  <c r="E30" i="2"/>
  <c r="C30" i="2"/>
  <c r="DA29" i="2"/>
  <c r="DB29" i="2" s="1"/>
  <c r="CW29" i="2"/>
  <c r="CX29" i="2" s="1"/>
  <c r="CS29" i="2"/>
  <c r="CT29" i="2" s="1"/>
  <c r="CO29" i="2"/>
  <c r="CP29" i="2" s="1"/>
  <c r="CK29" i="2"/>
  <c r="CL29" i="2" s="1"/>
  <c r="CG29" i="2"/>
  <c r="CH29" i="2" s="1"/>
  <c r="CC29" i="2"/>
  <c r="CD29" i="2" s="1"/>
  <c r="BY29" i="2"/>
  <c r="BZ29" i="2" s="1"/>
  <c r="BL29" i="2"/>
  <c r="BK29" i="2" s="1"/>
  <c r="BI29" i="2" s="1"/>
  <c r="BB29" i="2"/>
  <c r="BC29" i="2" s="1"/>
  <c r="AZ29" i="2" s="1"/>
  <c r="DA28" i="2"/>
  <c r="DB28" i="2" s="1"/>
  <c r="CW28" i="2"/>
  <c r="CX28" i="2" s="1"/>
  <c r="BL28" i="2"/>
  <c r="BK28" i="2" s="1"/>
  <c r="BI28" i="2" s="1"/>
  <c r="BB28" i="2"/>
  <c r="BC28" i="2" s="1"/>
  <c r="AZ28" i="2" s="1"/>
  <c r="W28" i="2"/>
  <c r="U28" i="2"/>
  <c r="DA27" i="2"/>
  <c r="DB27" i="2" s="1"/>
  <c r="CW27" i="2"/>
  <c r="CX27" i="2" s="1"/>
  <c r="BL27" i="2"/>
  <c r="BK27" i="2" s="1"/>
  <c r="BI27" i="2" s="1"/>
  <c r="BB27" i="2"/>
  <c r="BC27" i="2" s="1"/>
  <c r="AZ27" i="2" s="1"/>
  <c r="Q27" i="2"/>
  <c r="O27" i="2"/>
  <c r="DA26" i="2"/>
  <c r="DB26" i="2" s="1"/>
  <c r="CW26" i="2"/>
  <c r="CX26" i="2" s="1"/>
  <c r="BL26" i="2"/>
  <c r="BK26" i="2" s="1"/>
  <c r="BI26" i="2" s="1"/>
  <c r="BB26" i="2"/>
  <c r="BC26" i="2" s="1"/>
  <c r="AZ26" i="2" s="1"/>
  <c r="W26" i="2"/>
  <c r="U26" i="2"/>
  <c r="DA25" i="2"/>
  <c r="DB25" i="2" s="1"/>
  <c r="CW25" i="2"/>
  <c r="CX25" i="2" s="1"/>
  <c r="CS25" i="2"/>
  <c r="CO25" i="2"/>
  <c r="CK25" i="2"/>
  <c r="CG25" i="2"/>
  <c r="CC25" i="2"/>
  <c r="BY25" i="2"/>
  <c r="BL25" i="2"/>
  <c r="BK25" i="2" s="1"/>
  <c r="BI25" i="2" s="1"/>
  <c r="BB25" i="2"/>
  <c r="BC25" i="2" s="1"/>
  <c r="AZ25" i="2" s="1"/>
  <c r="W25" i="2"/>
  <c r="U25" i="2"/>
  <c r="Q25" i="2"/>
  <c r="O25" i="2"/>
  <c r="DA24" i="2"/>
  <c r="DB24" i="2" s="1"/>
  <c r="CW24" i="2"/>
  <c r="CX24" i="2" s="1"/>
  <c r="CS24" i="2"/>
  <c r="CO24" i="2"/>
  <c r="CK24" i="2"/>
  <c r="CG24" i="2"/>
  <c r="CC24" i="2"/>
  <c r="BY24" i="2"/>
  <c r="BL24" i="2"/>
  <c r="BK24" i="2" s="1"/>
  <c r="BI24" i="2" s="1"/>
  <c r="BB24" i="2"/>
  <c r="BC24" i="2" s="1"/>
  <c r="AZ24" i="2" s="1"/>
  <c r="W24" i="2"/>
  <c r="U24" i="2"/>
  <c r="DA23" i="2"/>
  <c r="DB23" i="2" s="1"/>
  <c r="CW23" i="2"/>
  <c r="CX23" i="2" s="1"/>
  <c r="CS23" i="2"/>
  <c r="CT23" i="2" s="1"/>
  <c r="CO23" i="2"/>
  <c r="CP23" i="2" s="1"/>
  <c r="CK23" i="2"/>
  <c r="CL23" i="2" s="1"/>
  <c r="CG23" i="2"/>
  <c r="CH23" i="2" s="1"/>
  <c r="CC23" i="2"/>
  <c r="CD23" i="2" s="1"/>
  <c r="BY23" i="2"/>
  <c r="BZ23" i="2" s="1"/>
  <c r="BL23" i="2"/>
  <c r="BK23" i="2" s="1"/>
  <c r="BI23" i="2" s="1"/>
  <c r="BB23" i="2"/>
  <c r="BC23" i="2" s="1"/>
  <c r="AZ23" i="2" s="1"/>
  <c r="W23" i="2"/>
  <c r="U23" i="2"/>
  <c r="DH22" i="2"/>
  <c r="DA22" i="2"/>
  <c r="DB22" i="2" s="1"/>
  <c r="CW22" i="2"/>
  <c r="CX22" i="2" s="1"/>
  <c r="CS22" i="2"/>
  <c r="CT22" i="2" s="1"/>
  <c r="CO22" i="2"/>
  <c r="CP22" i="2" s="1"/>
  <c r="CK22" i="2"/>
  <c r="CL22" i="2" s="1"/>
  <c r="CG22" i="2"/>
  <c r="CH22" i="2" s="1"/>
  <c r="CC22" i="2"/>
  <c r="CD22" i="2" s="1"/>
  <c r="BY22" i="2"/>
  <c r="BZ22" i="2" s="1"/>
  <c r="BL22" i="2"/>
  <c r="BK22" i="2" s="1"/>
  <c r="BI22" i="2" s="1"/>
  <c r="BB22" i="2"/>
  <c r="BC22" i="2" s="1"/>
  <c r="AZ22" i="2" s="1"/>
  <c r="Q22" i="2"/>
  <c r="O22" i="2"/>
  <c r="DH21" i="2"/>
  <c r="DD21" i="2"/>
  <c r="DE21" i="2" s="1"/>
  <c r="DA21" i="2"/>
  <c r="DB21" i="2" s="1"/>
  <c r="CW21" i="2"/>
  <c r="CX21" i="2" s="1"/>
  <c r="CS21" i="2"/>
  <c r="CT21" i="2" s="1"/>
  <c r="CO21" i="2"/>
  <c r="CP21" i="2" s="1"/>
  <c r="CK21" i="2"/>
  <c r="CL21" i="2" s="1"/>
  <c r="CG21" i="2"/>
  <c r="CH21" i="2" s="1"/>
  <c r="CC21" i="2"/>
  <c r="CD21" i="2" s="1"/>
  <c r="BY21" i="2"/>
  <c r="BZ21" i="2" s="1"/>
  <c r="BL21" i="2"/>
  <c r="BK21" i="2" s="1"/>
  <c r="BI21" i="2" s="1"/>
  <c r="BB21" i="2"/>
  <c r="BC21" i="2" s="1"/>
  <c r="AZ21" i="2" s="1"/>
  <c r="Q21" i="2"/>
  <c r="O21" i="2"/>
  <c r="DA20" i="2"/>
  <c r="CW20" i="2"/>
  <c r="CS20" i="2"/>
  <c r="CT20" i="2" s="1"/>
  <c r="CO20" i="2"/>
  <c r="CP20" i="2" s="1"/>
  <c r="CK20" i="2"/>
  <c r="CL20" i="2" s="1"/>
  <c r="CG20" i="2"/>
  <c r="CH20" i="2" s="1"/>
  <c r="CC20" i="2"/>
  <c r="CD20" i="2" s="1"/>
  <c r="BY20" i="2"/>
  <c r="BZ20" i="2" s="1"/>
  <c r="BL20" i="2"/>
  <c r="BK20" i="2" s="1"/>
  <c r="BI20" i="2" s="1"/>
  <c r="BB20" i="2"/>
  <c r="BC20" i="2" s="1"/>
  <c r="AZ20" i="2" s="1"/>
  <c r="I20" i="2"/>
  <c r="H20" i="2" s="1"/>
  <c r="DA19" i="2"/>
  <c r="DB19" i="2" s="1"/>
  <c r="CW19" i="2"/>
  <c r="CX19" i="2" s="1"/>
  <c r="CS19" i="2"/>
  <c r="CT19" i="2" s="1"/>
  <c r="CO19" i="2"/>
  <c r="CP19" i="2" s="1"/>
  <c r="CK19" i="2"/>
  <c r="CL19" i="2" s="1"/>
  <c r="CG19" i="2"/>
  <c r="CH19" i="2" s="1"/>
  <c r="CC19" i="2"/>
  <c r="CD19" i="2" s="1"/>
  <c r="BY19" i="2"/>
  <c r="BZ19" i="2" s="1"/>
  <c r="BL19" i="2"/>
  <c r="BK19" i="2" s="1"/>
  <c r="BI19" i="2" s="1"/>
  <c r="BB19" i="2"/>
  <c r="BC19" i="2" s="1"/>
  <c r="AZ19" i="2" s="1"/>
  <c r="I19" i="2"/>
  <c r="H19" i="2" s="1"/>
  <c r="E19" i="2"/>
  <c r="C19" i="2"/>
  <c r="DA18" i="2"/>
  <c r="DB18" i="2" s="1"/>
  <c r="CW18" i="2"/>
  <c r="CX18" i="2" s="1"/>
  <c r="CS18" i="2"/>
  <c r="CT18" i="2" s="1"/>
  <c r="CO18" i="2"/>
  <c r="CP18" i="2" s="1"/>
  <c r="CK18" i="2"/>
  <c r="CL18" i="2" s="1"/>
  <c r="CG18" i="2"/>
  <c r="CH18" i="2" s="1"/>
  <c r="CC18" i="2"/>
  <c r="CD18" i="2" s="1"/>
  <c r="BY18" i="2"/>
  <c r="BZ18" i="2" s="1"/>
  <c r="BL18" i="2"/>
  <c r="BK18" i="2" s="1"/>
  <c r="BI18" i="2" s="1"/>
  <c r="BB18" i="2"/>
  <c r="BC18" i="2" s="1"/>
  <c r="AZ18" i="2" s="1"/>
  <c r="DA17" i="2"/>
  <c r="DB17" i="2" s="1"/>
  <c r="CW17" i="2"/>
  <c r="CX17" i="2" s="1"/>
  <c r="CS17" i="2"/>
  <c r="CT17" i="2" s="1"/>
  <c r="CO17" i="2"/>
  <c r="CP17" i="2" s="1"/>
  <c r="CK17" i="2"/>
  <c r="CL17" i="2" s="1"/>
  <c r="CG17" i="2"/>
  <c r="CH17" i="2" s="1"/>
  <c r="CC17" i="2"/>
  <c r="CD17" i="2" s="1"/>
  <c r="BY17" i="2"/>
  <c r="BZ17" i="2" s="1"/>
  <c r="BL17" i="2"/>
  <c r="BK17" i="2" s="1"/>
  <c r="BI17" i="2" s="1"/>
  <c r="BB17" i="2"/>
  <c r="BC17" i="2" s="1"/>
  <c r="AZ17" i="2" s="1"/>
  <c r="DA16" i="2"/>
  <c r="DB16" i="2" s="1"/>
  <c r="CW16" i="2"/>
  <c r="CX16" i="2" s="1"/>
  <c r="CS16" i="2"/>
  <c r="CT16" i="2" s="1"/>
  <c r="CO16" i="2"/>
  <c r="CP16" i="2" s="1"/>
  <c r="CK16" i="2"/>
  <c r="CL16" i="2" s="1"/>
  <c r="CG16" i="2"/>
  <c r="CH16" i="2" s="1"/>
  <c r="CC16" i="2"/>
  <c r="CD16" i="2" s="1"/>
  <c r="BY16" i="2"/>
  <c r="BZ16" i="2" s="1"/>
  <c r="BL16" i="2"/>
  <c r="BK16" i="2" s="1"/>
  <c r="BI16" i="2" s="1"/>
  <c r="BB16" i="2"/>
  <c r="BC16" i="2" s="1"/>
  <c r="AZ16" i="2" s="1"/>
  <c r="DA15" i="2"/>
  <c r="DB15" i="2" s="1"/>
  <c r="CW15" i="2"/>
  <c r="CX15" i="2" s="1"/>
  <c r="CS15" i="2"/>
  <c r="CT15" i="2" s="1"/>
  <c r="CO15" i="2"/>
  <c r="CP15" i="2" s="1"/>
  <c r="CK15" i="2"/>
  <c r="CL15" i="2" s="1"/>
  <c r="CG15" i="2"/>
  <c r="CH15" i="2" s="1"/>
  <c r="CC15" i="2"/>
  <c r="CD15" i="2" s="1"/>
  <c r="BY15" i="2"/>
  <c r="BZ15" i="2" s="1"/>
  <c r="BL15" i="2"/>
  <c r="BK15" i="2" s="1"/>
  <c r="BI15" i="2" s="1"/>
  <c r="BB15" i="2"/>
  <c r="BC15" i="2" s="1"/>
  <c r="AZ15" i="2" s="1"/>
  <c r="I15" i="2"/>
  <c r="H15" i="2" s="1"/>
  <c r="CS14" i="2"/>
  <c r="CT14" i="2" s="1"/>
  <c r="CO14" i="2"/>
  <c r="CP14" i="2" s="1"/>
  <c r="CK14" i="2"/>
  <c r="CL14" i="2" s="1"/>
  <c r="CG14" i="2"/>
  <c r="CH14" i="2" s="1"/>
  <c r="CC14" i="2"/>
  <c r="CD14" i="2" s="1"/>
  <c r="BY14" i="2"/>
  <c r="BZ14" i="2" s="1"/>
  <c r="BL14" i="2"/>
  <c r="BK14" i="2" s="1"/>
  <c r="BI14" i="2" s="1"/>
  <c r="BB14" i="2"/>
  <c r="BC14" i="2" s="1"/>
  <c r="AZ14" i="2" s="1"/>
  <c r="W14" i="2"/>
  <c r="U14" i="2"/>
  <c r="E14" i="2"/>
  <c r="B14" i="2" s="1"/>
  <c r="C14" i="2"/>
  <c r="CS13" i="2"/>
  <c r="CO13" i="2"/>
  <c r="CK13" i="2"/>
  <c r="CG13" i="2"/>
  <c r="CC13" i="2"/>
  <c r="BY13" i="2"/>
  <c r="BL13" i="2"/>
  <c r="BK13" i="2" s="1"/>
  <c r="BI13" i="2" s="1"/>
  <c r="BB13" i="2"/>
  <c r="BC13" i="2" s="1"/>
  <c r="AZ13" i="2" s="1"/>
  <c r="W13" i="2"/>
  <c r="U13" i="2"/>
  <c r="Q13" i="2"/>
  <c r="O13" i="2"/>
  <c r="CW12" i="2"/>
  <c r="CX12" i="2" s="1"/>
  <c r="CS12" i="2"/>
  <c r="CT12" i="2" s="1"/>
  <c r="CO12" i="2"/>
  <c r="CP12" i="2" s="1"/>
  <c r="CK12" i="2"/>
  <c r="CL12" i="2" s="1"/>
  <c r="CG12" i="2"/>
  <c r="CH12" i="2" s="1"/>
  <c r="CC12" i="2"/>
  <c r="CD12" i="2" s="1"/>
  <c r="BY12" i="2"/>
  <c r="BZ12" i="2" s="1"/>
  <c r="BL12" i="2"/>
  <c r="BK12" i="2" s="1"/>
  <c r="BI12" i="2" s="1"/>
  <c r="BB12" i="2"/>
  <c r="BC12" i="2" s="1"/>
  <c r="AZ12" i="2" s="1"/>
  <c r="W12" i="2"/>
  <c r="U12" i="2"/>
  <c r="Q12" i="2"/>
  <c r="O12" i="2"/>
  <c r="I12" i="2"/>
  <c r="E12" i="2"/>
  <c r="C12" i="2"/>
  <c r="CW11" i="2"/>
  <c r="CX11" i="2" s="1"/>
  <c r="CS11" i="2"/>
  <c r="CT11" i="2" s="1"/>
  <c r="CO11" i="2"/>
  <c r="CP11" i="2" s="1"/>
  <c r="CK11" i="2"/>
  <c r="CL11" i="2" s="1"/>
  <c r="CG11" i="2"/>
  <c r="CH11" i="2" s="1"/>
  <c r="CC11" i="2"/>
  <c r="CD11" i="2" s="1"/>
  <c r="BY11" i="2"/>
  <c r="BZ11" i="2" s="1"/>
  <c r="BL11" i="2"/>
  <c r="BK11" i="2" s="1"/>
  <c r="BI11" i="2" s="1"/>
  <c r="BB11" i="2"/>
  <c r="BC11" i="2" s="1"/>
  <c r="AZ11" i="2" s="1"/>
  <c r="W11" i="2"/>
  <c r="U11" i="2"/>
  <c r="Q11" i="2"/>
  <c r="O11" i="2"/>
  <c r="CW10" i="2"/>
  <c r="CX10" i="2" s="1"/>
  <c r="CS10" i="2"/>
  <c r="CT10" i="2" s="1"/>
  <c r="CO10" i="2"/>
  <c r="CP10" i="2" s="1"/>
  <c r="CK10" i="2"/>
  <c r="CL10" i="2" s="1"/>
  <c r="CG10" i="2"/>
  <c r="CH10" i="2" s="1"/>
  <c r="CC10" i="2"/>
  <c r="CD10" i="2" s="1"/>
  <c r="BY10" i="2"/>
  <c r="BZ10" i="2" s="1"/>
  <c r="W10" i="2"/>
  <c r="U10" i="2"/>
  <c r="Q10" i="2"/>
  <c r="O10" i="2"/>
  <c r="K10" i="2"/>
  <c r="I10" i="2"/>
  <c r="CW9" i="2"/>
  <c r="CX9" i="2" s="1"/>
  <c r="CS9" i="2"/>
  <c r="CT9" i="2" s="1"/>
  <c r="CO9" i="2"/>
  <c r="CP9" i="2" s="1"/>
  <c r="CK9" i="2"/>
  <c r="CL9" i="2" s="1"/>
  <c r="CG9" i="2"/>
  <c r="CH9" i="2" s="1"/>
  <c r="CC9" i="2"/>
  <c r="CD9" i="2" s="1"/>
  <c r="BY9" i="2"/>
  <c r="BZ9" i="2" s="1"/>
  <c r="W9" i="2"/>
  <c r="U9" i="2"/>
  <c r="Q9" i="2"/>
  <c r="O9" i="2"/>
  <c r="K9" i="2"/>
  <c r="I9" i="2"/>
  <c r="E9" i="2"/>
  <c r="C9" i="2"/>
  <c r="CW8" i="2"/>
  <c r="CX8" i="2" s="1"/>
  <c r="CS8" i="2"/>
  <c r="CT8" i="2" s="1"/>
  <c r="CO8" i="2"/>
  <c r="CP8" i="2" s="1"/>
  <c r="CK8" i="2"/>
  <c r="CL8" i="2" s="1"/>
  <c r="CG8" i="2"/>
  <c r="CH8" i="2" s="1"/>
  <c r="CC8" i="2"/>
  <c r="CD8" i="2" s="1"/>
  <c r="BY8" i="2"/>
  <c r="BZ8" i="2" s="1"/>
  <c r="W8" i="2"/>
  <c r="U8" i="2"/>
  <c r="Q8" i="2"/>
  <c r="O8" i="2"/>
  <c r="K8" i="2"/>
  <c r="I8" i="2"/>
  <c r="E8" i="2"/>
  <c r="C8" i="2"/>
  <c r="W7" i="2"/>
  <c r="U7" i="2"/>
  <c r="Q7" i="2"/>
  <c r="O7" i="2"/>
  <c r="K7" i="2"/>
  <c r="I7" i="2"/>
  <c r="E7" i="2"/>
  <c r="C7" i="2"/>
  <c r="W6" i="2"/>
  <c r="U6" i="2"/>
  <c r="Q6" i="2"/>
  <c r="O6" i="2"/>
  <c r="K6" i="2"/>
  <c r="I6" i="2"/>
  <c r="E6" i="2"/>
  <c r="C6" i="2"/>
  <c r="Q5" i="2"/>
  <c r="O5" i="2"/>
  <c r="K5" i="2"/>
  <c r="I5" i="2"/>
  <c r="E5" i="2"/>
  <c r="C5" i="2"/>
  <c r="P34" i="2" l="1"/>
  <c r="D37" i="2"/>
  <c r="B37" i="2" s="1"/>
  <c r="P6" i="2"/>
  <c r="P8" i="2"/>
  <c r="N8" i="2" s="1"/>
  <c r="J10" i="2"/>
  <c r="D41" i="2"/>
  <c r="B41" i="2" s="1"/>
  <c r="P35" i="2"/>
  <c r="N35" i="2" s="1"/>
  <c r="J5" i="2"/>
  <c r="H5" i="2" s="1"/>
  <c r="J9" i="2"/>
  <c r="H9" i="2" s="1"/>
  <c r="P11" i="2"/>
  <c r="N11" i="2" s="1"/>
  <c r="BI67" i="2"/>
  <c r="P7" i="2"/>
  <c r="N7" i="2" s="1"/>
  <c r="P12" i="2"/>
  <c r="D39" i="2"/>
  <c r="B39" i="2" s="1"/>
  <c r="P42" i="2"/>
  <c r="N42" i="2" s="1"/>
  <c r="D7" i="2"/>
  <c r="B7" i="2" s="1"/>
  <c r="D8" i="2"/>
  <c r="B8" i="2" s="1"/>
  <c r="V13" i="2"/>
  <c r="T13" i="2" s="1"/>
  <c r="J35" i="2"/>
  <c r="H35" i="2" s="1"/>
  <c r="D40" i="2"/>
  <c r="B40" i="2" s="1"/>
  <c r="J42" i="2"/>
  <c r="H42" i="2" s="1"/>
  <c r="P5" i="2"/>
  <c r="N5" i="2" s="1"/>
  <c r="V6" i="2"/>
  <c r="T6" i="2" s="1"/>
  <c r="V7" i="2"/>
  <c r="T7" i="2" s="1"/>
  <c r="V8" i="2"/>
  <c r="P9" i="2"/>
  <c r="N9" i="2" s="1"/>
  <c r="P10" i="2"/>
  <c r="N10" i="2" s="1"/>
  <c r="V11" i="2"/>
  <c r="T11" i="2" s="1"/>
  <c r="D12" i="2"/>
  <c r="B12" i="2" s="1"/>
  <c r="V12" i="2"/>
  <c r="T12" i="2" s="1"/>
  <c r="P13" i="2"/>
  <c r="N13" i="2" s="1"/>
  <c r="V14" i="2"/>
  <c r="T14" i="2" s="1"/>
  <c r="P27" i="2"/>
  <c r="V31" i="2"/>
  <c r="T31" i="2" s="1"/>
  <c r="D34" i="2"/>
  <c r="B34" i="2" s="1"/>
  <c r="D35" i="2"/>
  <c r="B35" i="2" s="1"/>
  <c r="P36" i="2"/>
  <c r="N36" i="2" s="1"/>
  <c r="J37" i="2"/>
  <c r="H37" i="2" s="1"/>
  <c r="P38" i="2"/>
  <c r="N38" i="2" s="1"/>
  <c r="J39" i="2"/>
  <c r="H39" i="2" s="1"/>
  <c r="P40" i="2"/>
  <c r="N40" i="2" s="1"/>
  <c r="J41" i="2"/>
  <c r="H41" i="2" s="1"/>
  <c r="P54" i="2"/>
  <c r="N54" i="2" s="1"/>
  <c r="P56" i="2"/>
  <c r="N56" i="2" s="1"/>
  <c r="D5" i="2"/>
  <c r="B5" i="2" s="1"/>
  <c r="J6" i="2"/>
  <c r="H6" i="2" s="1"/>
  <c r="J8" i="2"/>
  <c r="H8" i="2" s="1"/>
  <c r="N34" i="2"/>
  <c r="J36" i="2"/>
  <c r="H36" i="2" s="1"/>
  <c r="P37" i="2"/>
  <c r="N37" i="2" s="1"/>
  <c r="J38" i="2"/>
  <c r="H38" i="2" s="1"/>
  <c r="P39" i="2"/>
  <c r="N39" i="2" s="1"/>
  <c r="J40" i="2"/>
  <c r="H40" i="2" s="1"/>
  <c r="P41" i="2"/>
  <c r="N41" i="2" s="1"/>
  <c r="P59" i="2"/>
  <c r="N59" i="2" s="1"/>
  <c r="J7" i="2"/>
  <c r="H7" i="2" s="1"/>
  <c r="D9" i="2"/>
  <c r="B9" i="2" s="1"/>
  <c r="D6" i="2"/>
  <c r="B6" i="2" s="1"/>
  <c r="V9" i="2"/>
  <c r="T9" i="2" s="1"/>
  <c r="V10" i="2"/>
  <c r="T10" i="2" s="1"/>
  <c r="J12" i="2"/>
  <c r="H12" i="2" s="1"/>
  <c r="P25" i="2"/>
  <c r="N25" i="2" s="1"/>
  <c r="V28" i="2"/>
  <c r="P30" i="2"/>
  <c r="N30" i="2" s="1"/>
  <c r="J34" i="2"/>
  <c r="BZ34" i="2"/>
  <c r="N6" i="2"/>
  <c r="BI68" i="2"/>
  <c r="CD67" i="2" s="1"/>
  <c r="CD68" i="2" s="1"/>
  <c r="H34" i="2"/>
  <c r="T26" i="2"/>
  <c r="T28" i="2"/>
  <c r="BZ13" i="2"/>
  <c r="CX40" i="2"/>
  <c r="CP34" i="2"/>
  <c r="B38" i="2"/>
  <c r="BA30" i="2"/>
  <c r="AZ30" i="2" s="1"/>
  <c r="DG21" i="2" s="1"/>
  <c r="N12" i="2"/>
  <c r="BZ55" i="2"/>
  <c r="BI69" i="2"/>
  <c r="CH34" i="2"/>
  <c r="CD13" i="2"/>
  <c r="CX20" i="2"/>
  <c r="DB20" i="2"/>
  <c r="CH13" i="2"/>
  <c r="CL13" i="2"/>
  <c r="CL34" i="2"/>
  <c r="CD34" i="2"/>
  <c r="CT34" i="2"/>
  <c r="CH55" i="2"/>
  <c r="N21" i="2"/>
  <c r="T23" i="2"/>
  <c r="T25" i="2"/>
  <c r="T24" i="2"/>
  <c r="CX60" i="2"/>
  <c r="N22" i="2"/>
  <c r="CD55" i="2"/>
  <c r="T8" i="2"/>
  <c r="N27" i="2"/>
  <c r="DB40" i="2"/>
  <c r="B19" i="2"/>
  <c r="B30" i="2"/>
  <c r="N52" i="2"/>
  <c r="CP55" i="2"/>
  <c r="CL55" i="2"/>
  <c r="CT13" i="2"/>
  <c r="H10" i="2"/>
  <c r="CP13" i="2"/>
  <c r="BZ46" i="2"/>
  <c r="BZ47" i="2" s="1"/>
  <c r="N53" i="2"/>
  <c r="CL25" i="2" l="1"/>
  <c r="CL26" i="2" s="1"/>
  <c r="CL45" i="2"/>
  <c r="B11" i="1"/>
  <c r="C11" i="1" s="1"/>
  <c r="B10" i="1"/>
  <c r="C10" i="1" s="1"/>
  <c r="BZ45" i="2"/>
  <c r="V37" i="2" s="1"/>
  <c r="B94" i="2" s="1"/>
  <c r="B98" i="2" s="1"/>
  <c r="B7" i="1"/>
  <c r="B9" i="1"/>
  <c r="C9" i="1" s="1"/>
  <c r="B8" i="1"/>
  <c r="C8" i="1" s="1"/>
  <c r="CD45" i="2"/>
  <c r="CH67" i="2"/>
  <c r="CH68" i="2" s="1"/>
  <c r="BZ66" i="2"/>
  <c r="CH46" i="2"/>
  <c r="CH47" i="2" s="1"/>
  <c r="BZ24" i="2"/>
  <c r="CX71" i="2"/>
  <c r="CX72" i="2" s="1"/>
  <c r="DB51" i="2"/>
  <c r="DB52" i="2" s="1"/>
  <c r="CD46" i="2"/>
  <c r="CD47" i="2" s="1"/>
  <c r="CH25" i="2"/>
  <c r="CH26" i="2" s="1"/>
  <c r="CP66" i="2"/>
  <c r="CL46" i="2"/>
  <c r="CL47" i="2" s="1"/>
  <c r="DG22" i="2"/>
  <c r="DE22" i="2" s="1"/>
  <c r="B101" i="2" s="1"/>
  <c r="CD24" i="2"/>
  <c r="CL67" i="2"/>
  <c r="CL68" i="2" s="1"/>
  <c r="CY12" i="2"/>
  <c r="F100" i="2" s="1"/>
  <c r="DB31" i="2"/>
  <c r="DB32" i="2" s="1"/>
  <c r="CL24" i="2"/>
  <c r="CP67" i="2"/>
  <c r="CP68" i="2" s="1"/>
  <c r="CD25" i="2"/>
  <c r="CD26" i="2" s="1"/>
  <c r="BZ67" i="2"/>
  <c r="BZ68" i="2" s="1"/>
  <c r="CP46" i="2"/>
  <c r="CP47" i="2" s="1"/>
  <c r="CP45" i="2"/>
  <c r="CP25" i="2"/>
  <c r="CP26" i="2" s="1"/>
  <c r="CH24" i="2"/>
  <c r="CT25" i="2"/>
  <c r="CT26" i="2" s="1"/>
  <c r="CD66" i="2"/>
  <c r="V41" i="2" s="1"/>
  <c r="D95" i="2" s="1"/>
  <c r="D99" i="2" s="1"/>
  <c r="CP24" i="2"/>
  <c r="V48" i="2" s="1"/>
  <c r="C97" i="2" s="1"/>
  <c r="CX31" i="2"/>
  <c r="CX32" i="2" s="1"/>
  <c r="V45" i="2"/>
  <c r="E96" i="2" s="1"/>
  <c r="CT24" i="2"/>
  <c r="B5" i="1"/>
  <c r="F3" i="1" s="1"/>
  <c r="CH66" i="2"/>
  <c r="CT45" i="2"/>
  <c r="CT46" i="2"/>
  <c r="CT47" i="2" s="1"/>
  <c r="B6" i="1"/>
  <c r="CX51" i="2"/>
  <c r="CY9" i="2" s="1"/>
  <c r="BZ25" i="2"/>
  <c r="BZ26" i="2" s="1"/>
  <c r="CH45" i="2"/>
  <c r="CL66" i="2"/>
  <c r="F11" i="1" l="1"/>
  <c r="F10" i="1"/>
  <c r="V46" i="2"/>
  <c r="F96" i="2" s="1"/>
  <c r="V40" i="2"/>
  <c r="C95" i="2" s="1"/>
  <c r="C99" i="2" s="1"/>
  <c r="V43" i="2"/>
  <c r="C96" i="2" s="1"/>
  <c r="V44" i="2"/>
  <c r="D96" i="2" s="1"/>
  <c r="CY10" i="2"/>
  <c r="D100" i="2" s="1"/>
  <c r="V42" i="2"/>
  <c r="B96" i="2" s="1"/>
  <c r="CY11" i="2"/>
  <c r="E100" i="2" s="1"/>
  <c r="V47" i="2"/>
  <c r="B97" i="2" s="1"/>
  <c r="V50" i="2"/>
  <c r="E97" i="2" s="1"/>
  <c r="F7" i="1" s="1"/>
  <c r="V49" i="2"/>
  <c r="D97" i="2" s="1"/>
  <c r="F6" i="1" s="1"/>
  <c r="V39" i="2"/>
  <c r="B95" i="2" s="1"/>
  <c r="B99" i="2" s="1"/>
  <c r="V38" i="2"/>
  <c r="C94" i="2" s="1"/>
  <c r="C98" i="2" s="1"/>
  <c r="V51" i="2"/>
  <c r="F97" i="2" s="1"/>
  <c r="F8" i="1" s="1"/>
  <c r="CY8" i="2"/>
  <c r="B100" i="2" s="1"/>
  <c r="V52" i="2"/>
  <c r="G97" i="2" s="1"/>
  <c r="F9" i="1" s="1"/>
  <c r="V36" i="2"/>
  <c r="B93" i="2" s="1"/>
  <c r="CX52" i="2"/>
  <c r="C100" i="2"/>
  <c r="F5" i="1" l="1"/>
  <c r="F4" i="1"/>
</calcChain>
</file>

<file path=xl/sharedStrings.xml><?xml version="1.0" encoding="utf-8"?>
<sst xmlns="http://schemas.openxmlformats.org/spreadsheetml/2006/main" count="2041" uniqueCount="840">
  <si>
    <t>S</t>
  </si>
  <si>
    <t>Luck</t>
  </si>
  <si>
    <t>Poison</t>
  </si>
  <si>
    <t>1 Potions</t>
  </si>
  <si>
    <t>Art</t>
  </si>
  <si>
    <t>PP</t>
  </si>
  <si>
    <t>Created by oak_born</t>
  </si>
  <si>
    <t>Gemmes</t>
  </si>
  <si>
    <t>Actual Yield</t>
  </si>
  <si>
    <t>Yield</t>
  </si>
  <si>
    <t>%CHANCE</t>
  </si>
  <si>
    <t>CHANCE</t>
  </si>
  <si>
    <t>A</t>
  </si>
  <si>
    <t>B</t>
  </si>
  <si>
    <t>C</t>
  </si>
  <si>
    <t>Roll</t>
  </si>
  <si>
    <t>D</t>
  </si>
  <si>
    <t>Potions</t>
  </si>
  <si>
    <t>Parchemins</t>
  </si>
  <si>
    <t>Anneaux</t>
  </si>
  <si>
    <t>Armure</t>
  </si>
  <si>
    <t>E</t>
  </si>
  <si>
    <t>F</t>
  </si>
  <si>
    <t>1 Sorts niveau 1d4</t>
  </si>
  <si>
    <t>Concordat de Boccob</t>
  </si>
  <si>
    <t xml:space="preserve"> (-1)</t>
  </si>
  <si>
    <t>G</t>
  </si>
  <si>
    <t>Potion de Clairaudience</t>
  </si>
  <si>
    <t>Anneau d'Amitié avec les Animaux</t>
  </si>
  <si>
    <t>Banded Mail</t>
  </si>
  <si>
    <t>H</t>
  </si>
  <si>
    <t>Potion de Clairvoyance</t>
  </si>
  <si>
    <t>Brigandine</t>
  </si>
  <si>
    <t xml:space="preserve"> (+1)</t>
  </si>
  <si>
    <t>I</t>
  </si>
  <si>
    <t>Potion d'Escalade</t>
  </si>
  <si>
    <t>Anneau de Clignotement</t>
  </si>
  <si>
    <t>Chain Mail</t>
  </si>
  <si>
    <t>Baguettes</t>
  </si>
  <si>
    <t>J</t>
  </si>
  <si>
    <t>Potion de Folie</t>
  </si>
  <si>
    <t>Hache</t>
  </si>
  <si>
    <t>K</t>
  </si>
  <si>
    <t>Anneau de Caméléon</t>
  </si>
  <si>
    <t>L</t>
  </si>
  <si>
    <t>2 Sorts niveau 1d6</t>
  </si>
  <si>
    <t>Field Plate</t>
  </si>
  <si>
    <t>M</t>
  </si>
  <si>
    <t>Anneau de Contradiction</t>
  </si>
  <si>
    <t>Full Plate</t>
  </si>
  <si>
    <t>N</t>
  </si>
  <si>
    <t>Cuir</t>
  </si>
  <si>
    <t>O</t>
  </si>
  <si>
    <t>Anneau de Maladresse</t>
  </si>
  <si>
    <t>Plate Mail</t>
  </si>
  <si>
    <t>Armure ou arme</t>
  </si>
  <si>
    <t>P</t>
  </si>
  <si>
    <t>1 Sorts 1d8+1/niveau 1d6+1</t>
  </si>
  <si>
    <t xml:space="preserve"> (+2)</t>
  </si>
  <si>
    <t>Dague</t>
  </si>
  <si>
    <t>Q</t>
  </si>
  <si>
    <t>2 Sorts niveau 1d4</t>
  </si>
  <si>
    <t>Anneau de Folie</t>
  </si>
  <si>
    <t>Manuel des Golems</t>
  </si>
  <si>
    <t>R</t>
  </si>
  <si>
    <t>Potion d'ESP</t>
  </si>
  <si>
    <t>2 Sorts 1d8+1/niveau 1d6+1</t>
  </si>
  <si>
    <t>3 Sorts niveau 1d4</t>
  </si>
  <si>
    <t>T</t>
  </si>
  <si>
    <t>3 Sorts 1d8+1/niveau 1d6+1</t>
  </si>
  <si>
    <t>Scale Mail</t>
  </si>
  <si>
    <t xml:space="preserve"> (+3)</t>
  </si>
  <si>
    <t>U</t>
  </si>
  <si>
    <t>4 Sorts niveau 1d6</t>
  </si>
  <si>
    <t>Anneau de Conjuration de Djinns</t>
  </si>
  <si>
    <t>Bouclier</t>
  </si>
  <si>
    <t>V</t>
  </si>
  <si>
    <t>4 Sorts 1d8/niveau 1d6</t>
  </si>
  <si>
    <t>W</t>
  </si>
  <si>
    <t>Potion de Vol</t>
  </si>
  <si>
    <t>5 Sorts niveau 1d6</t>
  </si>
  <si>
    <t>Anneau de Commande des Élémentaux</t>
  </si>
  <si>
    <t xml:space="preserve"> (+4)</t>
  </si>
  <si>
    <t>X</t>
  </si>
  <si>
    <t>5 Sorts 1d8/niveau 1d6</t>
  </si>
  <si>
    <t>Splint Mail</t>
  </si>
  <si>
    <t>Y</t>
  </si>
  <si>
    <t>6 Sorts niveau 1d6</t>
  </si>
  <si>
    <t>Anneau de Chute de Plume</t>
  </si>
  <si>
    <t>Instrument de musique au choix du MD</t>
  </si>
  <si>
    <t>Studded Cuir</t>
  </si>
  <si>
    <t xml:space="preserve"> (+5)</t>
  </si>
  <si>
    <t>Z</t>
  </si>
  <si>
    <t>6 Sorts 1d6+2/niveau 1d4+2</t>
  </si>
  <si>
    <t>7 Sorts 1d8 level</t>
  </si>
  <si>
    <t>Anneau de Résistance au Feu</t>
  </si>
  <si>
    <t>Bâtons</t>
  </si>
  <si>
    <t>Potion de Croissance</t>
  </si>
  <si>
    <t>7 Sorts 1d8+1/niveau 1d6+1</t>
  </si>
  <si>
    <t>Potion de Soins</t>
  </si>
  <si>
    <t>7 Sorts 1d6+3/niveau 1d4+3</t>
  </si>
  <si>
    <t>Bâton Masse d'Armes</t>
  </si>
  <si>
    <t>Amulette de Détection Infaillible</t>
  </si>
  <si>
    <t>Tous 3 items</t>
  </si>
  <si>
    <t>Parchemin choix du MD</t>
  </si>
  <si>
    <t>Amulette de Protection Vitale</t>
  </si>
  <si>
    <t>Carte</t>
  </si>
  <si>
    <t>Amulette des Plans</t>
  </si>
  <si>
    <t>Flèche Tueuse</t>
  </si>
  <si>
    <t>Tous 2 items</t>
  </si>
  <si>
    <t>Objets magiques divers</t>
  </si>
  <si>
    <t>Tous 2 items + 1 potion</t>
  </si>
  <si>
    <t>Potion d'Invisibilité</t>
  </si>
  <si>
    <t>Anneau d'Invisibilité</t>
  </si>
  <si>
    <t>Amulette de Vie</t>
  </si>
  <si>
    <t>Tous 3 items + 1 Parchemin</t>
  </si>
  <si>
    <t>Bâton de Mage</t>
  </si>
  <si>
    <t>Tous 5 items except armes</t>
  </si>
  <si>
    <t>Potion de Lévitation</t>
  </si>
  <si>
    <t>Anneau de Saut</t>
  </si>
  <si>
    <t>Tous 5 items</t>
  </si>
  <si>
    <t>Potion de Longévité</t>
  </si>
  <si>
    <t>Gemme Étincelante</t>
  </si>
  <si>
    <t>Tous 6 items</t>
  </si>
  <si>
    <t>Gemme de Perspicacité</t>
  </si>
  <si>
    <t>Tout 1 item</t>
  </si>
  <si>
    <t>Gemme de Vision</t>
  </si>
  <si>
    <t>Anneau de Contrôle des Mammifères</t>
  </si>
  <si>
    <t>Joyau d'Attaque</t>
  </si>
  <si>
    <t>Joyau de Pureté</t>
  </si>
  <si>
    <t>Anneau de Bouclier Mental</t>
  </si>
  <si>
    <t>Bâton de Flétrissement</t>
  </si>
  <si>
    <t>Médaillon d'ESP</t>
  </si>
  <si>
    <t>Épée</t>
  </si>
  <si>
    <t>Médaillon de Projection des Pensées</t>
  </si>
  <si>
    <t>Anneau de Protection</t>
  </si>
  <si>
    <t>Bâton de Nuée d'Insectes</t>
  </si>
  <si>
    <t>Collier de Projectiles</t>
  </si>
  <si>
    <t>Bâton de Soins</t>
  </si>
  <si>
    <t>Bâton des Grandes Forêts</t>
  </si>
  <si>
    <t>Bâton choix du MD</t>
  </si>
  <si>
    <t>Parchemin Maudit</t>
  </si>
  <si>
    <t>Anneau de Grand Bélier</t>
  </si>
  <si>
    <t>Anneau de Régénération</t>
  </si>
  <si>
    <t>Tous 2 Items</t>
  </si>
  <si>
    <t>Anneau de Poigne Électrique</t>
  </si>
  <si>
    <t>Anneau d'Étoiles Filantes</t>
  </si>
  <si>
    <t>2 Potions</t>
  </si>
  <si>
    <t>Anneau de Sorts</t>
  </si>
  <si>
    <t>Potion de Métamorphose</t>
  </si>
  <si>
    <t>Anneau de Retour des Sorts</t>
  </si>
  <si>
    <t>Tous 3 Items</t>
  </si>
  <si>
    <t>Anneau de Subsistance</t>
  </si>
  <si>
    <t>Anneau de Nage</t>
  </si>
  <si>
    <t>Rolling Matrix</t>
  </si>
  <si>
    <t>Anneau de Télékinésie</t>
  </si>
  <si>
    <t>Anneau de Vérité</t>
  </si>
  <si>
    <t>Anneau de Chaleur</t>
  </si>
  <si>
    <t>Trident</t>
  </si>
  <si>
    <t>Anneau de Marche des Ondes</t>
  </si>
  <si>
    <t>3 Potions</t>
  </si>
  <si>
    <t>Anneau de Faiblesse</t>
  </si>
  <si>
    <t>4 Potions</t>
  </si>
  <si>
    <t>Potion de Ventriloquie</t>
  </si>
  <si>
    <t>Anneau de Souhaits</t>
  </si>
  <si>
    <t>Broche de Protection</t>
  </si>
  <si>
    <t>5 Potions</t>
  </si>
  <si>
    <t>Potion de Vitalité</t>
  </si>
  <si>
    <t>Anneau de trois Souhaits</t>
  </si>
  <si>
    <t>Spécial</t>
  </si>
  <si>
    <t>6 Potions</t>
  </si>
  <si>
    <t>Anneau des Arcanes (Magicien)</t>
  </si>
  <si>
    <t>7 Potions</t>
  </si>
  <si>
    <t>Anneau de Rayon X</t>
  </si>
  <si>
    <t>8 Potions</t>
  </si>
  <si>
    <t>----------</t>
  </si>
  <si>
    <t>1 Parchemins</t>
  </si>
  <si>
    <t>Talisman de Zagy</t>
  </si>
  <si>
    <t>2 Parchemins</t>
  </si>
  <si>
    <t>Dague de Throwing</t>
  </si>
  <si>
    <t>3 Parchemins</t>
  </si>
  <si>
    <t>4 Parchemins</t>
  </si>
  <si>
    <t>Baguette choix du MD</t>
  </si>
  <si>
    <t>Charge Generator</t>
  </si>
  <si>
    <t xml:space="preserve"> 10 Charges</t>
  </si>
  <si>
    <t>Hache de Hurling</t>
  </si>
  <si>
    <t xml:space="preserve"> 11 Charges</t>
  </si>
  <si>
    <t xml:space="preserve"> 12 Charges</t>
  </si>
  <si>
    <t xml:space="preserve"> 13 Charges</t>
  </si>
  <si>
    <t xml:space="preserve"> 14 Charges</t>
  </si>
  <si>
    <t>Baguette d'Extinction</t>
  </si>
  <si>
    <t xml:space="preserve"> 15 Charges</t>
  </si>
  <si>
    <t xml:space="preserve"> 16 Charges</t>
  </si>
  <si>
    <t xml:space="preserve"> 17 Charges</t>
  </si>
  <si>
    <t xml:space="preserve"> 18 Charges</t>
  </si>
  <si>
    <t xml:space="preserve"> 19 Charges</t>
  </si>
  <si>
    <t xml:space="preserve"> 20 Charges</t>
  </si>
  <si>
    <t xml:space="preserve"> 21 Charges</t>
  </si>
  <si>
    <t xml:space="preserve"> 22 Charges</t>
  </si>
  <si>
    <t>Baguette de Négation</t>
  </si>
  <si>
    <t xml:space="preserve"> 23 Charges</t>
  </si>
  <si>
    <t xml:space="preserve"> 24 Charges</t>
  </si>
  <si>
    <t xml:space="preserve"> 25 Charges</t>
  </si>
  <si>
    <t xml:space="preserve"> 26 Charges</t>
  </si>
  <si>
    <t>Baguette d'Altération de la taille</t>
  </si>
  <si>
    <t xml:space="preserve"> 27 Charges</t>
  </si>
  <si>
    <t>Baguette Prodigieuse</t>
  </si>
  <si>
    <t xml:space="preserve"> 28 Charges</t>
  </si>
  <si>
    <t xml:space="preserve"> </t>
  </si>
  <si>
    <t xml:space="preserve"> 29 Charges</t>
  </si>
  <si>
    <t xml:space="preserve"> 30 Charges</t>
  </si>
  <si>
    <t xml:space="preserve"> 31 Charges</t>
  </si>
  <si>
    <t xml:space="preserve"> 32 Charges</t>
  </si>
  <si>
    <t xml:space="preserve"> 33 Charges</t>
  </si>
  <si>
    <t xml:space="preserve"> 34 Charges</t>
  </si>
  <si>
    <t xml:space="preserve"> 35 Charges</t>
  </si>
  <si>
    <t xml:space="preserve"> 36 Charges</t>
  </si>
  <si>
    <t xml:space="preserve"> 37 Charges</t>
  </si>
  <si>
    <t xml:space="preserve"> 38 Charges</t>
  </si>
  <si>
    <t xml:space="preserve"> 39 Charges</t>
  </si>
  <si>
    <t xml:space="preserve"> 40 Charges</t>
  </si>
  <si>
    <t xml:space="preserve"> 41 Charges</t>
  </si>
  <si>
    <t xml:space="preserve"> 42 Charges</t>
  </si>
  <si>
    <t xml:space="preserve"> 43 Charges</t>
  </si>
  <si>
    <t xml:space="preserve"> 44 Charges</t>
  </si>
  <si>
    <t xml:space="preserve"> 45 Charges</t>
  </si>
  <si>
    <t xml:space="preserve"> 46 Charges</t>
  </si>
  <si>
    <t xml:space="preserve"> 47 Charges</t>
  </si>
  <si>
    <t xml:space="preserve"> 48 Charges</t>
  </si>
  <si>
    <t>Table des gemmes</t>
  </si>
  <si>
    <t>Variations des gemmes (10 % des gemmes)</t>
  </si>
  <si>
    <t xml:space="preserve"> 49 Charges</t>
  </si>
  <si>
    <t>Ornementale</t>
  </si>
  <si>
    <t>La valeur de la pierre augmente d'un niveau. Lancez le dé de nouveau. En ignorant les 6.</t>
  </si>
  <si>
    <t xml:space="preserve"> 50 Charges</t>
  </si>
  <si>
    <t>La valeur de base est doublée</t>
  </si>
  <si>
    <t xml:space="preserve"> 51 Charges</t>
  </si>
  <si>
    <t>La valeur augmente de 10 à 60 %</t>
  </si>
  <si>
    <t xml:space="preserve"> 52 Charges</t>
  </si>
  <si>
    <t>La valeur décroit de 10 à 40 %</t>
  </si>
  <si>
    <t xml:space="preserve"> 53 Charges</t>
  </si>
  <si>
    <t>La valeur est réduite de moitié,</t>
  </si>
  <si>
    <t xml:space="preserve"> 54 Charges</t>
  </si>
  <si>
    <t>La valeur de la pierre diminue d'un niveau, lancez le dé de nouveau. En ignorant les 1.</t>
  </si>
  <si>
    <t xml:space="preserve"> 55 Charges</t>
  </si>
  <si>
    <t xml:space="preserve"> 56 Charges</t>
  </si>
  <si>
    <t>En dessous de 10 po, les valeurs sont 5po, 1 po, 5 pa, 1 pa. La valeur ne peut passer sous 1 pa</t>
  </si>
  <si>
    <t xml:space="preserve"> 57 Charges</t>
  </si>
  <si>
    <t>au dessus de 5000, la valeur double à chaque fois.</t>
  </si>
  <si>
    <t xml:space="preserve"> 58 Charges</t>
  </si>
  <si>
    <t>Spécial arme choix du MD</t>
  </si>
  <si>
    <t xml:space="preserve"> 59 Charges</t>
  </si>
  <si>
    <t>Pierres ornementales</t>
  </si>
  <si>
    <t xml:space="preserve"> 60 Charges</t>
  </si>
  <si>
    <t>Azurite : Bleu profond tacheté, opaque.</t>
  </si>
  <si>
    <t xml:space="preserve"> 61 Charges</t>
  </si>
  <si>
    <t>Agate marbrée : Rayures brunes, bleues, rouges et blanches.</t>
  </si>
  <si>
    <t xml:space="preserve"> 62 Charges</t>
  </si>
  <si>
    <t>Quartz bleu : Bleu pâle, transparent.</t>
  </si>
  <si>
    <t xml:space="preserve"> 63 Charges</t>
  </si>
  <si>
    <t>Œil d'agate : cercles gris, blancs, bruns, bleus et verts.</t>
  </si>
  <si>
    <t xml:space="preserve"> 64 Charges</t>
  </si>
  <si>
    <t>Hématite : Gris foncé</t>
  </si>
  <si>
    <t xml:space="preserve"> 65 Charges</t>
  </si>
  <si>
    <t>Lapis-lazuli:Bleu d'azur moucheté de jaune</t>
  </si>
  <si>
    <t xml:space="preserve"> 66 Charges</t>
  </si>
  <si>
    <t>Malachite : Rayures verts pâle et vert foncé.</t>
  </si>
  <si>
    <t xml:space="preserve"> 67 Charges</t>
  </si>
  <si>
    <t>Buckle Knife</t>
  </si>
  <si>
    <t>Agate mousseuse : Rose et Jaune pâle avec des taches vertes ressemblant à de la mousse</t>
  </si>
  <si>
    <t xml:space="preserve"> 68 Charges</t>
  </si>
  <si>
    <t>Obsidienne : Noir d'encre</t>
  </si>
  <si>
    <t xml:space="preserve"> 69 Charges</t>
  </si>
  <si>
    <t>Rhodochrosite : Rose pâle</t>
  </si>
  <si>
    <t xml:space="preserve"> 70 Charges</t>
  </si>
  <si>
    <t>Agate oeil de tigre : Brun doré strié de bandes plus foncées</t>
  </si>
  <si>
    <t xml:space="preserve"> 71 Charges</t>
  </si>
  <si>
    <t>Turquoise : bleu marine</t>
  </si>
  <si>
    <t xml:space="preserve"> 72 Charges</t>
  </si>
  <si>
    <t xml:space="preserve"> 73 Charges</t>
  </si>
  <si>
    <t>Pierres semi-précieuses</t>
  </si>
  <si>
    <t xml:space="preserve"> 74 Charges</t>
  </si>
  <si>
    <t>Semi-précieuse</t>
  </si>
  <si>
    <t>Jaspe sanguin : Vert à taches rouges</t>
  </si>
  <si>
    <t xml:space="preserve"> 75 Charges</t>
  </si>
  <si>
    <t>Carmélian : Orange à brun-rouge</t>
  </si>
  <si>
    <t xml:space="preserve"> 76 Charges</t>
  </si>
  <si>
    <t xml:space="preserve"> Chalcédonie : Blanc</t>
  </si>
  <si>
    <t xml:space="preserve"> 77 Charges</t>
  </si>
  <si>
    <t>Chrysoprase : Vert pomme à vert émeraude</t>
  </si>
  <si>
    <t xml:space="preserve"> 78 Charges</t>
  </si>
  <si>
    <t>Citrine : Jaune brunâtre, pâle</t>
  </si>
  <si>
    <t xml:space="preserve"> 79 Charges</t>
  </si>
  <si>
    <t>Magical QarterBâton</t>
  </si>
  <si>
    <t>Jaspe : Vert, rouge, brun ou noir</t>
  </si>
  <si>
    <t xml:space="preserve"> 80 Charges</t>
  </si>
  <si>
    <t>Pierre de lune : Blanche avec des reflets bleu pâle</t>
  </si>
  <si>
    <t xml:space="preserve"> 81 Charges</t>
  </si>
  <si>
    <t>Onyx : Bandes concentriques noires et blanches</t>
  </si>
  <si>
    <t xml:space="preserve"> 82 Charges</t>
  </si>
  <si>
    <t>Cristal de roche : Clair et transparent</t>
  </si>
  <si>
    <t xml:space="preserve"> 83 Charges</t>
  </si>
  <si>
    <t>Sardonyx : Bandes rouges et blanches</t>
  </si>
  <si>
    <t xml:space="preserve"> 84 Charges</t>
  </si>
  <si>
    <t>Quartz enfumé : Gris pâle, jaune, brun ou bleu</t>
  </si>
  <si>
    <t xml:space="preserve"> 85 Charges</t>
  </si>
  <si>
    <t>ÉtHuilee rose : Rose fumé avec un centre étHuileé blanc</t>
  </si>
  <si>
    <t xml:space="preserve"> 86 Charges</t>
  </si>
  <si>
    <t>Zircon : Bleu marine, clair</t>
  </si>
  <si>
    <t xml:space="preserve"> 87 Charges</t>
  </si>
  <si>
    <t xml:space="preserve"> 88 Charges</t>
  </si>
  <si>
    <t>Pierres de fantaisie</t>
  </si>
  <si>
    <t xml:space="preserve"> 89 Charges</t>
  </si>
  <si>
    <t>Ambre : Jaune doré, transparent</t>
  </si>
  <si>
    <t xml:space="preserve"> 90 Charges</t>
  </si>
  <si>
    <t>Alexandrine : vert foncé</t>
  </si>
  <si>
    <t xml:space="preserve"> 91 Charges</t>
  </si>
  <si>
    <t>Améthyste : Cristal violet</t>
  </si>
  <si>
    <t xml:space="preserve"> 92 Charges</t>
  </si>
  <si>
    <t>Chrysobéryl : vert ou vert jaunâtre</t>
  </si>
  <si>
    <t xml:space="preserve"> 93 Charges</t>
  </si>
  <si>
    <t>Corail : rose à cramoisi</t>
  </si>
  <si>
    <t xml:space="preserve"> 94 Charges</t>
  </si>
  <si>
    <t>Grenat : rouge profond à violet</t>
  </si>
  <si>
    <t xml:space="preserve"> 95 Charges</t>
  </si>
  <si>
    <t>Jade : Vert pâle à vert foncé ou blanc</t>
  </si>
  <si>
    <t xml:space="preserve"> 96 Charges</t>
  </si>
  <si>
    <t>Perle : De blanc à noir, en passant par le rose</t>
  </si>
  <si>
    <t xml:space="preserve"> 97 Charges</t>
  </si>
  <si>
    <t>Spinelle : Rouge, brun-rouge ou bleu profond</t>
  </si>
  <si>
    <t xml:space="preserve"> 98 Charges</t>
  </si>
  <si>
    <t>Tourmaline : Vert, bleu, brun ou rouge pâles.</t>
  </si>
  <si>
    <t xml:space="preserve"> 99 Charges</t>
  </si>
  <si>
    <t>De fantaisie</t>
  </si>
  <si>
    <t xml:space="preserve"> 100 Charges</t>
  </si>
  <si>
    <t>Pierres précieuses</t>
  </si>
  <si>
    <t>Aigue-marine : Bleu, vert, pâle</t>
  </si>
  <si>
    <t>Péridot : Vert olive</t>
  </si>
  <si>
    <t>Topaze : Jaune dorée, transparente</t>
  </si>
  <si>
    <t>Gemme</t>
  </si>
  <si>
    <t>Opale noire : Vert foncé avec marbrure noire et mouchetures dorées</t>
  </si>
  <si>
    <t>Opale de feu : Rouge ardent</t>
  </si>
  <si>
    <t>Opale : Bleu pâle avec marbrures vertes et dorées.</t>
  </si>
  <si>
    <t>Améthyste d'Orient : Violet profond</t>
  </si>
  <si>
    <t>Topaze d'orient : Jaune ardent</t>
  </si>
  <si>
    <t>Saphir : Bleu clair à bleu moyen</t>
  </si>
  <si>
    <t>Joyaux</t>
  </si>
  <si>
    <t>Saphir noir : Noir profond avec éclats</t>
  </si>
  <si>
    <t>Diamant : Bleu pâle, bleu profond, jaune, rose ou transparent</t>
  </si>
  <si>
    <t>Précieuse</t>
  </si>
  <si>
    <t>Émeraude:Vert brillant</t>
  </si>
  <si>
    <t>Jacinthe : Orange ardent</t>
  </si>
  <si>
    <t>Émeraude d'Orient : Vert foncé</t>
  </si>
  <si>
    <t>Rubis : Cramoisi, clair à profond</t>
  </si>
  <si>
    <t>Rubis étHuileé : Rubis translucide avec étHuilee blanche.</t>
  </si>
  <si>
    <t>Joyau</t>
  </si>
  <si>
    <t>Dragon Slayer</t>
  </si>
  <si>
    <t>Entrez le type de trésor et appuyez sur "F9" pour générer un trésor de façon aléatoire. La cellule de chance donne un modificateur au % de chance d'avoir une dénomination particulière de trésor. Par exemple, si vous avez un trésor de type "H" et que vous entrez un "5", vos chances de trouver des objets magiques passeront de 15% à 20%. Ceci est utile si le PJ a une pierre de chance, est un prêtre de Tymora, ou simplement favorisé par les dieux pour une raison quelconque. Vous pourriez également ajouter un bonus arbitraire si les PCs battent un monstre exceptionnel. Si cette cellule est laissée à "0", alors le trésor sera jeté selon le GdM de la 2e édition. L'onglet de données contient toutes les informations sur chaque type de trésor pour chaque dénomination.</t>
  </si>
  <si>
    <t>Anneau d'Action Libre</t>
  </si>
  <si>
    <t>Potion d'Héroïsme (Combattant)</t>
  </si>
  <si>
    <t>Anneau d'Influence Humaine</t>
  </si>
  <si>
    <t>Collier d'Adaptation</t>
  </si>
  <si>
    <t>Ceinturons, Chapeaux, Heaumes</t>
  </si>
  <si>
    <t>Bottes, Bracelets, Gants</t>
  </si>
  <si>
    <t>Bottes de rapidité</t>
  </si>
  <si>
    <t>Bottes elfiques</t>
  </si>
  <si>
    <t>Bottes aux pas multiples</t>
  </si>
  <si>
    <t>Bottes ailées</t>
  </si>
  <si>
    <t>Bracelets de vulnérabilité</t>
  </si>
  <si>
    <t>Bâton de Commandement</t>
  </si>
  <si>
    <t>Bâton de Contrecoup</t>
  </si>
  <si>
    <t>Bâton de Puissance</t>
  </si>
  <si>
    <t>Bâton Serpent</t>
  </si>
  <si>
    <t>Bâton de Fustibale</t>
  </si>
  <si>
    <t>Bâton Epieu</t>
  </si>
  <si>
    <t>Bâton de Foudre et tonerre</t>
  </si>
  <si>
    <t>Sceptres</t>
  </si>
  <si>
    <t>Sceptre de Absorption</t>
  </si>
  <si>
    <t>Sceptre de Vigilance</t>
  </si>
  <si>
    <t>Sceptre de Suzeraineté</t>
  </si>
  <si>
    <t>Sceptre de Passage</t>
  </si>
  <si>
    <t>Sceptre de Résurrection</t>
  </si>
  <si>
    <t>Sceptre de Sécurité</t>
  </si>
  <si>
    <t>Sceptre de Châtiment</t>
  </si>
  <si>
    <t>Sceptre de Splendeur</t>
  </si>
  <si>
    <t>Sceptre de Terreur</t>
  </si>
  <si>
    <t>Sceptre d'Annulation</t>
  </si>
  <si>
    <t>Sceptre au choix du MD</t>
  </si>
  <si>
    <t>Sceptre de séduction</t>
  </si>
  <si>
    <t>Sceptre de Fléau d'armes</t>
  </si>
  <si>
    <t>Sceptre de Puissance altière</t>
  </si>
  <si>
    <t>Livre d'exaltation suprême</t>
  </si>
  <si>
    <t>Livre de sorts infinis</t>
  </si>
  <si>
    <t>Grimoire d'inappréciable conjuration</t>
  </si>
  <si>
    <t>Livre des viles ténèbres</t>
  </si>
  <si>
    <t>Grimoire d'ineffable damnation</t>
  </si>
  <si>
    <t>Grimoire de la magie d'argent</t>
  </si>
  <si>
    <t>Manuel de santé corporelle</t>
  </si>
  <si>
    <t>Manuel d'utiles exercices</t>
  </si>
  <si>
    <t>Manuel d'expertise martiale</t>
  </si>
  <si>
    <t>Manuel d'agilité</t>
  </si>
  <si>
    <t>Manuel des larcins furtifs</t>
  </si>
  <si>
    <t>Traité de pensée claire</t>
  </si>
  <si>
    <t>Traité d'autorité et d'influence</t>
  </si>
  <si>
    <t>Traité de compréhension</t>
  </si>
  <si>
    <t>Grimoire des vacuités</t>
  </si>
  <si>
    <t>Joyaux, Bijoux et Phylactères</t>
  </si>
  <si>
    <t>Amulette d'Immunité à la Détection</t>
  </si>
  <si>
    <t>Billes de Force</t>
  </si>
  <si>
    <t>Chapelet de prières (prêtre)</t>
  </si>
  <si>
    <t>Collier de strangulation</t>
  </si>
  <si>
    <t>Perle de puissance (magicien)</t>
  </si>
  <si>
    <t>Perle des sirènes</t>
  </si>
  <si>
    <t>Perle de sagesse (prêtre)</t>
  </si>
  <si>
    <t>Fétiche de putréfaction</t>
  </si>
  <si>
    <t>Fétiche de bonne santé</t>
  </si>
  <si>
    <t>Fétiche antipoison</t>
  </si>
  <si>
    <t>Fétiche de cicatrisation</t>
  </si>
  <si>
    <t>Phylactère de la foi (prêtre)</t>
  </si>
  <si>
    <t>Phylactère de longévité (prêtre)</t>
  </si>
  <si>
    <t>Phylactère d'attraction monstrueuse (prêtre)</t>
  </si>
  <si>
    <t>Broche mortelle</t>
  </si>
  <si>
    <t>Broche de rage ennemie</t>
  </si>
  <si>
    <t>Broche de folie</t>
  </si>
  <si>
    <t>Broche de protection</t>
  </si>
  <si>
    <t>Broche antigolems</t>
  </si>
  <si>
    <t>Talisman de pure sainteté (prêtre)</t>
  </si>
  <si>
    <t>Talisman des sphères (magicien)</t>
  </si>
  <si>
    <t>Talisman du mal ultime (prêtre)</t>
  </si>
  <si>
    <t>Capes et Robes</t>
  </si>
  <si>
    <t>Cape d'araignée</t>
  </si>
  <si>
    <t>Cape de déplacement</t>
  </si>
  <si>
    <t>Cape elfique</t>
  </si>
  <si>
    <t>Cape empoisonnée</t>
  </si>
  <si>
    <t>Cape de protection</t>
  </si>
  <si>
    <t>Cape chauve-souris</t>
  </si>
  <si>
    <t>Cape de la raie manta</t>
  </si>
  <si>
    <t>Robe des archimages (magicien)</t>
  </si>
  <si>
    <t>Robe de dissimulation</t>
  </si>
  <si>
    <t>Robe d'yeux (magicien)</t>
  </si>
  <si>
    <t>Robe d'impuissance (magicien)</t>
  </si>
  <si>
    <t>Robe scintillante (prêtre, magicien)</t>
  </si>
  <si>
    <t>Robe étoilée (magicien)</t>
  </si>
  <si>
    <t>Robe d'utilité (magicien)</t>
  </si>
  <si>
    <t>Robe de vermine (magicien)</t>
  </si>
  <si>
    <t>Cape ou Robe choix du MD</t>
  </si>
  <si>
    <t>Livres et Tomes</t>
  </si>
  <si>
    <t>Livre au choix du MD</t>
  </si>
  <si>
    <t>Joyaux au choix du MD</t>
  </si>
  <si>
    <t>Bottes de danse</t>
  </si>
  <si>
    <t>Bottes de lévitation</t>
  </si>
  <si>
    <t>Bottes de sept lieues</t>
  </si>
  <si>
    <t>Bottes nordiques</t>
  </si>
  <si>
    <t>Bracelets d'archer (guerrier)</t>
  </si>
  <si>
    <t>Bracelets de défense</t>
  </si>
  <si>
    <t>Bracelets des jungles</t>
  </si>
  <si>
    <t>Gantelets de dextérité</t>
  </si>
  <si>
    <t>Gantelets de maladresse</t>
  </si>
  <si>
    <t>Gantelets des ogres (prêtre, roublard, combattant)</t>
  </si>
  <si>
    <t>Gantelets de natation et d'escalade (prêtre, roublard, combattant)</t>
  </si>
  <si>
    <t>Gants antiprojectile</t>
  </si>
  <si>
    <t>Pantoufles d'araignée</t>
  </si>
  <si>
    <t>Botte, bracelet ou gant au choix du MD</t>
  </si>
  <si>
    <t>Ceinturon des nains</t>
  </si>
  <si>
    <t>Ceinturon d'hermaphrodite</t>
  </si>
  <si>
    <t>Ceinturon des géants (prêtre, roublard, combattant)</t>
  </si>
  <si>
    <t>Ceinturon à poches</t>
  </si>
  <si>
    <t>Chapeau de déguisement</t>
  </si>
  <si>
    <t>Chapeau de stupidité</t>
  </si>
  <si>
    <t>Heaume de brillance</t>
  </si>
  <si>
    <t>Heaume de compréhension</t>
  </si>
  <si>
    <t>Heaume d'alignement opposé</t>
  </si>
  <si>
    <t>Heaume de télépathie</t>
  </si>
  <si>
    <t>Heaume de téléportation</t>
  </si>
  <si>
    <t>Heaume des eaux</t>
  </si>
  <si>
    <t>Ceinturons ou chapeau ou heaume choix du MD</t>
  </si>
  <si>
    <t>Sacs, bouteilles, récipients</t>
  </si>
  <si>
    <t>Cruche d'alchimiste</t>
  </si>
  <si>
    <t>Sac de haricots</t>
  </si>
  <si>
    <t>Sac dévoreur</t>
  </si>
  <si>
    <t>Sac sans fond</t>
  </si>
  <si>
    <t>Sac de transmutation</t>
  </si>
  <si>
    <t>Sac à malice</t>
  </si>
  <si>
    <t>Becher de potions</t>
  </si>
  <si>
    <t>Bourse de Bucknard</t>
  </si>
  <si>
    <t>Carafe d'eau infinie</t>
  </si>
  <si>
    <t>Bouteille d'efrit</t>
  </si>
  <si>
    <t>Bouteille fumante</t>
  </si>
  <si>
    <t>Flacon de malédiction</t>
  </si>
  <si>
    <t>Havresac de Heward</t>
  </si>
  <si>
    <t>Flasque de fer</t>
  </si>
  <si>
    <t>Trou portable</t>
  </si>
  <si>
    <t>Bourse d'accessibilité</t>
  </si>
  <si>
    <t>Sac, bouteille ou récipient au choix du MD</t>
  </si>
  <si>
    <t>Bougies, poudres, onguents, encens et pierres</t>
  </si>
  <si>
    <t>Cierge d'invocation (prêtre)</t>
  </si>
  <si>
    <t>Poudre d'apparition</t>
  </si>
  <si>
    <t>Poudre de disparition</t>
  </si>
  <si>
    <t>Poudre de sécheresse</t>
  </si>
  <si>
    <t>Poudre d'illusion</t>
  </si>
  <si>
    <t>Poudre sans trace</t>
  </si>
  <si>
    <t>Poudre de toux et étouffement</t>
  </si>
  <si>
    <t>Encens de méditation (prêtre)</t>
  </si>
  <si>
    <t>Encens d'obsession (prêtre)</t>
  </si>
  <si>
    <t>Pierres ioun</t>
  </si>
  <si>
    <t>Onguent de Kéoghtom</t>
  </si>
  <si>
    <t>Pigments de Nolzur</t>
  </si>
  <si>
    <t>Pierre philosophale</t>
  </si>
  <si>
    <t>Poudre à fumée</t>
  </si>
  <si>
    <t>Colle suprême</t>
  </si>
  <si>
    <t>Pierre de contrôle des élémentaux de terre</t>
  </si>
  <si>
    <t>Pierre porte- bonheur</t>
  </si>
  <si>
    <t>Pierre de grand poids</t>
  </si>
  <si>
    <t>Solvant universel</t>
  </si>
  <si>
    <t>Poudre ou pierre au choix du MD</t>
  </si>
  <si>
    <t>Outils et ustensiles ménagers</t>
  </si>
  <si>
    <t>Brasero contrôlant les élémentaux de feu (magicien)</t>
  </si>
  <si>
    <t>Brasero somnifère (magicien)</t>
  </si>
  <si>
    <t>Balai frappeur</t>
  </si>
  <si>
    <t>Balai volant</t>
  </si>
  <si>
    <t>Tapis volant</t>
  </si>
  <si>
    <t>Pioche des titans (combattant)</t>
  </si>
  <si>
    <t>Maillet des titans (combattant)</t>
  </si>
  <si>
    <t>Miroir d'emprisonnement (magicien)</t>
  </si>
  <si>
    <t>Miroir de prouesse mentale</t>
  </si>
  <si>
    <t>Cuillère de Murlynd</t>
  </si>
  <si>
    <t>Miroir d'opposition</t>
  </si>
  <si>
    <t>Corde d'escalade</t>
  </si>
  <si>
    <t>Corde de constriction</t>
  </si>
  <si>
    <t>Corde d'enchevêtrement</t>
  </si>
  <si>
    <t>Tapis de suffocation</t>
  </si>
  <si>
    <t>Tapis de bienvenue (magicien)</t>
  </si>
  <si>
    <t>Scie fabuleuse (combattant)</t>
  </si>
  <si>
    <t>Bêche d'excavation (combattant)</t>
  </si>
  <si>
    <t>Outil au choix du MD</t>
  </si>
  <si>
    <t>Instruments de musique</t>
  </si>
  <si>
    <t>Carillon d'interruption</t>
  </si>
  <si>
    <t>Carillon d'ouverture</t>
  </si>
  <si>
    <t>Carillon d'immense faim</t>
  </si>
  <si>
    <t>Tambours d'assourdissement</t>
  </si>
  <si>
    <t>Tambours de panique</t>
  </si>
  <si>
    <t>Harpe de séduction</t>
  </si>
  <si>
    <t>Harpe de discorde</t>
  </si>
  <si>
    <t>Cor de destruction</t>
  </si>
  <si>
    <t>Cor à bulles</t>
  </si>
  <si>
    <t>Cor d'effondrement</t>
  </si>
  <si>
    <t>Corde brume</t>
  </si>
  <si>
    <t>Cor du bien (du mal)</t>
  </si>
  <si>
    <t>Cor du Walhalla</t>
  </si>
  <si>
    <t>Conque des tritons (prêtre, combattant)</t>
  </si>
  <si>
    <t>Lyre de construction</t>
  </si>
  <si>
    <t>Flûte de hantise</t>
  </si>
  <si>
    <t>Flûte ventriloque</t>
  </si>
  <si>
    <t>Flûte obsédante</t>
  </si>
  <si>
    <t>Flûte enchantée</t>
  </si>
  <si>
    <t>Bizarreries</t>
  </si>
  <si>
    <t>Appareil de Kwalish</t>
  </si>
  <si>
    <t>Bateau pliable</t>
  </si>
  <si>
    <t>Bol commandant les élémentaux d'eau (magicien)</t>
  </si>
  <si>
    <t>Bol de mort aqueuse (magicien)</t>
  </si>
  <si>
    <t>Encensoir contrôlant les élémentaux d'air (magicien)</t>
  </si>
  <si>
    <t>Encensoir conjurant des élémentaux d'air hostiles (magicien)</t>
  </si>
  <si>
    <t>Boule de cristal (magicien)</t>
  </si>
  <si>
    <t>Boule de cristal hypnotique (magicien)</t>
  </si>
  <si>
    <t>Cube de force</t>
  </si>
  <si>
    <t>Cube de résistance au froid</t>
  </si>
  <si>
    <t>Seuil cubique</t>
  </si>
  <si>
    <t>Forteresse de Daern</t>
  </si>
  <si>
    <t>Cartes d'illusions</t>
  </si>
  <si>
    <t>Cartes merveilleuses</t>
  </si>
  <si>
    <t>Yeux de charme</t>
  </si>
  <si>
    <t>Yeux perçants</t>
  </si>
  <si>
    <t>Bizarreries au choix du MD</t>
  </si>
  <si>
    <t>Figurine enchantée</t>
  </si>
  <si>
    <t>Fers du zéphyr</t>
  </si>
  <si>
    <t>Fers de rapidité</t>
  </si>
  <si>
    <t>Bandes de Bilarro</t>
  </si>
  <si>
    <t>Lentille de détection</t>
  </si>
  <si>
    <t>Gri-gri emplumé de Quaal</t>
  </si>
  <si>
    <t>Carquois d'Ehlonna</t>
  </si>
  <si>
    <t>Drap de petitesse</t>
  </si>
  <si>
    <t>Sphère d'annihilation</t>
  </si>
  <si>
    <t>Cheval de pierre</t>
  </si>
  <si>
    <t>Puits des mondes</t>
  </si>
  <si>
    <t>Ëventail des vents</t>
  </si>
  <si>
    <t>Ailes de vol</t>
  </si>
  <si>
    <t>Armure enragée</t>
  </si>
  <si>
    <t>Cotte de mailles elfique</t>
  </si>
  <si>
    <t>Armure de plates éthérée (+5)</t>
  </si>
  <si>
    <t>Armure de plates de terreur (+1)</t>
  </si>
  <si>
    <t>Armure de plates de vulnérabilité</t>
  </si>
  <si>
    <t>Bouclier -1, attracteur de projectiles</t>
  </si>
  <si>
    <t>Armure d'attraction</t>
  </si>
  <si>
    <t>3-5</t>
  </si>
  <si>
    <t>Leather</t>
  </si>
  <si>
    <t>9-12</t>
  </si>
  <si>
    <t>Ring Mail</t>
  </si>
  <si>
    <t>Shield</t>
  </si>
  <si>
    <t>15-17</t>
  </si>
  <si>
    <t>Cuir clouté</t>
  </si>
  <si>
    <t>Ecailles</t>
  </si>
  <si>
    <t>Harnois</t>
  </si>
  <si>
    <t>Plates</t>
  </si>
  <si>
    <t>16-19</t>
  </si>
  <si>
    <t>Harnois plain</t>
  </si>
  <si>
    <t>Cotte de mailles</t>
  </si>
  <si>
    <t>7-9</t>
  </si>
  <si>
    <t>Bandes</t>
  </si>
  <si>
    <t>Annelée</t>
  </si>
  <si>
    <t>Feuilletée</t>
  </si>
  <si>
    <t>Armure à bandes de commandement</t>
  </si>
  <si>
    <t>Brigandine de commandement</t>
  </si>
  <si>
    <t>Cotte de mailles de commandement</t>
  </si>
  <si>
    <t>Harnois de commandement</t>
  </si>
  <si>
    <t>Harnois plain de commandement</t>
  </si>
  <si>
    <t>Armure en cuir de commandement</t>
  </si>
  <si>
    <t>Plates de commandement</t>
  </si>
  <si>
    <t>Armure annelée de commandement</t>
  </si>
  <si>
    <t>Armure feuilletée de commandement</t>
  </si>
  <si>
    <t>Bouclier de commandement</t>
  </si>
  <si>
    <t>Armure d'écailles de commandement</t>
  </si>
  <si>
    <t>Armure de cuir clouté de commandement</t>
  </si>
  <si>
    <t>Armure à bandes de dissimulation</t>
  </si>
  <si>
    <t>Brigandine de dissimulation</t>
  </si>
  <si>
    <t>Cottes de maille de dissimulation</t>
  </si>
  <si>
    <t>Harnois de dissimulation</t>
  </si>
  <si>
    <t>Harnois plain de dissimulation</t>
  </si>
  <si>
    <t>Armure de cuir de dissimulation</t>
  </si>
  <si>
    <t>Plates de dissimulation</t>
  </si>
  <si>
    <t>Armure d'écailles de dissimulation</t>
  </si>
  <si>
    <t>Armure annelée de dissimulation</t>
  </si>
  <si>
    <t>Bouclier de dissimulation</t>
  </si>
  <si>
    <t>Armure feuilletée de dissimulation</t>
  </si>
  <si>
    <t>Armure de cuir clouté de dissimulation</t>
  </si>
  <si>
    <t>Flèches (2d6)</t>
  </si>
  <si>
    <t>Hache de bataille</t>
  </si>
  <si>
    <t>Carreaux (2d6)</t>
  </si>
  <si>
    <t>Carreaux (2d10)</t>
  </si>
  <si>
    <t>Billes de fronde (3d4)</t>
  </si>
  <si>
    <t>Fléchettes (3d4)</t>
  </si>
  <si>
    <t>Fléau</t>
  </si>
  <si>
    <t>Couteau</t>
  </si>
  <si>
    <t>Lance</t>
  </si>
  <si>
    <t>Masse</t>
  </si>
  <si>
    <t>Armes</t>
  </si>
  <si>
    <t>Morgenstern</t>
  </si>
  <si>
    <t>Arme d'hast</t>
  </si>
  <si>
    <t>Cimeterre</t>
  </si>
  <si>
    <t>Marteau de guerre</t>
  </si>
  <si>
    <t>Pic de guerre</t>
  </si>
  <si>
    <t>Épieu</t>
  </si>
  <si>
    <t>Flèche directionnelle</t>
  </si>
  <si>
    <t>Flèche tueuse</t>
  </si>
  <si>
    <t xml:space="preserve"> d'Arachnides</t>
  </si>
  <si>
    <t xml:space="preserve"> de Volatiles</t>
  </si>
  <si>
    <t xml:space="preserve"> de Bardes</t>
  </si>
  <si>
    <t xml:space="preserve"> de Clercs</t>
  </si>
  <si>
    <t xml:space="preserve"> de Dragons</t>
  </si>
  <si>
    <t xml:space="preserve"> de Druides</t>
  </si>
  <si>
    <t xml:space="preserve"> d'Élémentaux</t>
  </si>
  <si>
    <t xml:space="preserve"> de Guerriers</t>
  </si>
  <si>
    <t xml:space="preserve"> de Géants</t>
  </si>
  <si>
    <t xml:space="preserve"> de Golems</t>
  </si>
  <si>
    <t xml:space="preserve"> d'Illusionnistes</t>
  </si>
  <si>
    <t xml:space="preserve"> de Magiciens</t>
  </si>
  <si>
    <t xml:space="preserve"> de Mammifères</t>
  </si>
  <si>
    <t xml:space="preserve"> de Paladins</t>
  </si>
  <si>
    <t xml:space="preserve"> de Rôdeurs</t>
  </si>
  <si>
    <t xml:space="preserve"> de Monstres marins</t>
  </si>
  <si>
    <t xml:space="preserve"> de Voleurs</t>
  </si>
  <si>
    <t xml:space="preserve"> de Titans</t>
  </si>
  <si>
    <t xml:space="preserve"> de Morts-vivants</t>
  </si>
  <si>
    <t>Hache de projection</t>
  </si>
  <si>
    <t>Arc + 1</t>
  </si>
  <si>
    <t>Arbalète +3, de précision</t>
  </si>
  <si>
    <t>Arbalète de distance</t>
  </si>
  <si>
    <t>Arbalète de rapidité</t>
  </si>
  <si>
    <t>Dague +2, +3 contre les créatures de taille G ou supérieure</t>
  </si>
  <si>
    <t>Dague +2, longue-dent</t>
  </si>
  <si>
    <t>Dague de lancer</t>
  </si>
  <si>
    <t>Dague de venin</t>
  </si>
  <si>
    <t>Fléchette de précision</t>
  </si>
  <si>
    <t>Marteau +3, des nains</t>
  </si>
  <si>
    <t>Marteau de tonnerre</t>
  </si>
  <si>
    <t>Arme spécial au choix du MD</t>
  </si>
  <si>
    <t>Lame-corne</t>
  </si>
  <si>
    <t>Javelot de foudre</t>
  </si>
  <si>
    <t>Javelot perceur</t>
  </si>
  <si>
    <t>Couteau-ceinturon</t>
  </si>
  <si>
    <t>Masse de disruption</t>
  </si>
  <si>
    <t>Filet pêcheur</t>
  </si>
  <si>
    <t>Bâton magique</t>
  </si>
  <si>
    <t>Cimeterre de grande rapidité</t>
  </si>
  <si>
    <t>Épieu maudit</t>
  </si>
  <si>
    <t>Trident de domination aquatique</t>
  </si>
  <si>
    <t>Trident de soumission</t>
  </si>
  <si>
    <t>Trident d'alarme</t>
  </si>
  <si>
    <t>Trident de désir marin</t>
  </si>
  <si>
    <t>Lame soleil</t>
  </si>
  <si>
    <t>Épée +1, +2 contre les jeteurs de sorts et les créatures enchantées</t>
  </si>
  <si>
    <t>Épée +1, +3 contre les lycanthropes et les métamorphes</t>
  </si>
  <si>
    <t>Épée +1, +4 contre les reptiles</t>
  </si>
  <si>
    <t>Épée +1, maudite</t>
  </si>
  <si>
    <t>Épée +1, langue de feu</t>
  </si>
  <si>
    <t>Épée +1, porte-bonheur</t>
  </si>
  <si>
    <t>Épée +2, tueuse de dragons</t>
  </si>
  <si>
    <t>Épée +2, tueuse de géants</t>
  </si>
  <si>
    <t>Épée +3, de glace</t>
  </si>
  <si>
    <t>Épée +4, gardienne</t>
  </si>
  <si>
    <t>Épée -2, maudite</t>
  </si>
  <si>
    <t>Épée +5, sainte lame</t>
  </si>
  <si>
    <t>Épée dansante</t>
  </si>
  <si>
    <t>Épée voleuse de vie</t>
  </si>
  <si>
    <t>Épée d'acuité</t>
  </si>
  <si>
    <t>Épée des plans</t>
  </si>
  <si>
    <t>Épée sanglante</t>
  </si>
  <si>
    <t>Épée maudite, berserker</t>
  </si>
  <si>
    <t>Épée courte de rapidité</t>
  </si>
  <si>
    <t>Épée acérée (vorpale)</t>
  </si>
  <si>
    <t>Épée +2, voleuse de neuf vies</t>
  </si>
  <si>
    <t>Fronde +2, chercheuse</t>
  </si>
  <si>
    <t>Dague +1, +2 contre les créatures de taille P ou M</t>
  </si>
  <si>
    <t>Hache de lancer +2</t>
  </si>
  <si>
    <t>Épée +5, gardienne</t>
  </si>
  <si>
    <t xml:space="preserve"> noir</t>
  </si>
  <si>
    <t xml:space="preserve"> bleu</t>
  </si>
  <si>
    <t xml:space="preserve"> d'airain</t>
  </si>
  <si>
    <t xml:space="preserve"> de bronze</t>
  </si>
  <si>
    <t xml:space="preserve"> de cuivre</t>
  </si>
  <si>
    <t xml:space="preserve"> d'or</t>
  </si>
  <si>
    <t xml:space="preserve"> vert</t>
  </si>
  <si>
    <t xml:space="preserve"> rouge</t>
  </si>
  <si>
    <t xml:space="preserve"> d'argent</t>
  </si>
  <si>
    <t xml:space="preserve"> blanc</t>
  </si>
  <si>
    <t>Jet</t>
  </si>
  <si>
    <t>Enchantement</t>
  </si>
  <si>
    <t>Flèches (4d6)</t>
  </si>
  <si>
    <t>Javelot (1d2)</t>
  </si>
  <si>
    <t>Potions et huiles</t>
  </si>
  <si>
    <t>Livres et grimoires</t>
  </si>
  <si>
    <t>Joyaux et bijoux</t>
  </si>
  <si>
    <t>Capes et robes</t>
  </si>
  <si>
    <t>Bottes et gants</t>
  </si>
  <si>
    <t>Ceinturons et heaumes</t>
  </si>
  <si>
    <t>Sacs et bouteilles</t>
  </si>
  <si>
    <t>Poudres et pierres</t>
  </si>
  <si>
    <t>Armures et boucliers</t>
  </si>
  <si>
    <t>Tous sauf armes</t>
  </si>
  <si>
    <t>Objet aléatoire 1</t>
  </si>
  <si>
    <t>Objet aléatoire 2</t>
  </si>
  <si>
    <t>Objet aléatoire 3</t>
  </si>
  <si>
    <t>Objet aléatoire 4</t>
  </si>
  <si>
    <t>Objet aléatoire 5</t>
  </si>
  <si>
    <t>Élixir de folie</t>
  </si>
  <si>
    <t>Élixir de santé</t>
  </si>
  <si>
    <t>Élixir de jouvence</t>
  </si>
  <si>
    <t>Potion au choix du MD</t>
  </si>
  <si>
    <t>Potion de Contrôle des animaux</t>
  </si>
  <si>
    <t>Potion de Diminution</t>
  </si>
  <si>
    <t>Potion de Contrôle des dragons</t>
  </si>
  <si>
    <t>Potion de Grands soins</t>
  </si>
  <si>
    <t>Potion de Souffle de feu</t>
  </si>
  <si>
    <t>Potion de Résistance au feu</t>
  </si>
  <si>
    <t>Potion de Forme gazeuse</t>
  </si>
  <si>
    <t>Huile antiacide</t>
  </si>
  <si>
    <t>Huile de désenchantement</t>
  </si>
  <si>
    <t>Huile d'invulnérabilité élémentaire</t>
  </si>
  <si>
    <t>Huile éthérée</t>
  </si>
  <si>
    <t>Huile de feux ardents</t>
  </si>
  <si>
    <t>Huile de maladresse</t>
  </si>
  <si>
    <t>Huile d'impact</t>
  </si>
  <si>
    <t>Huile de glisse</t>
  </si>
  <si>
    <t>Huile d'éternité</t>
  </si>
  <si>
    <t>Philtre de faconde</t>
  </si>
  <si>
    <t>Philtre d'amour</t>
  </si>
  <si>
    <t>Philtre de persuasion</t>
  </si>
  <si>
    <t>Philtre de bègue balbutieur</t>
  </si>
  <si>
    <t>Potion d'Éclat irisé</t>
  </si>
  <si>
    <t>Eau pure</t>
  </si>
  <si>
    <t>Potion de Respiration aquatique</t>
  </si>
  <si>
    <t>Potion de Contrôle des géants</t>
  </si>
  <si>
    <t>Potion de Force de géant (combattant)</t>
  </si>
  <si>
    <t>Potion de Contrôle des personnes</t>
  </si>
  <si>
    <t>Potion d'Invulnérabilité (combattant)</t>
  </si>
  <si>
    <t>Potion de Contrôle des plantes</t>
  </si>
  <si>
    <t>Potion de Rapidité</t>
  </si>
  <si>
    <t>Potion de Super-héroïsme (combattant)</t>
  </si>
  <si>
    <t>Potion de Détection des trésors</t>
  </si>
  <si>
    <t>Potion de Contrôle des morts-vivants</t>
  </si>
  <si>
    <t>Protection contre l'acide</t>
  </si>
  <si>
    <t>Protection contre le froid</t>
  </si>
  <si>
    <t>Protection contre les souffles de dragon</t>
  </si>
  <si>
    <t>Protection contre les élémentaux</t>
  </si>
  <si>
    <t>Protection contre le feu</t>
  </si>
  <si>
    <t>Protection contre le gaz</t>
  </si>
  <si>
    <t>Protection contre les lycanthropes</t>
  </si>
  <si>
    <t>Protection contre la magie</t>
  </si>
  <si>
    <t>Protection contre la pétrification</t>
  </si>
  <si>
    <t>Protection contre les plantes</t>
  </si>
  <si>
    <t>Protection contre le poison</t>
  </si>
  <si>
    <t>Protection contre les morts-vivants</t>
  </si>
  <si>
    <t>Protection contre la possession</t>
  </si>
  <si>
    <t>Protection contre leau</t>
  </si>
  <si>
    <t>Parchemin au choix du MD</t>
  </si>
  <si>
    <t>Anneau d'Amitié avec les animaux</t>
  </si>
  <si>
    <t>Anneau au choix du MD</t>
  </si>
  <si>
    <t>Baguette de Conjuration (magicien)</t>
  </si>
  <si>
    <t>Baguette de Terre et pierre</t>
  </si>
  <si>
    <t>Baguette de Détection de l'ennemi</t>
  </si>
  <si>
    <t>Baguette de Terreur (prêtre, magicien)</t>
  </si>
  <si>
    <t>Baguette de Feu (magicien)</t>
  </si>
  <si>
    <t>Baguette de Givre (magicien)</t>
  </si>
  <si>
    <t>Baguette d'Illumination</t>
  </si>
  <si>
    <t>Baguette d'Illusion (magicien)</t>
  </si>
  <si>
    <t>Baguette de Foudre (magicien)</t>
  </si>
  <si>
    <t>Baguette de Détection de la magie</t>
  </si>
  <si>
    <t>Baguette de Projectiles magiques</t>
  </si>
  <si>
    <t>Baguette de Détection des métaux et minéraux</t>
  </si>
  <si>
    <t>Baguette de Paralysie (magicien)</t>
  </si>
  <si>
    <t>Baguette de Métamorphose (magicien)</t>
  </si>
  <si>
    <t>Baguette de Localisation des pièges et portes secrètes</t>
  </si>
  <si>
    <t>Baguette au choix du MD</t>
  </si>
  <si>
    <t>Types de trésor</t>
  </si>
  <si>
    <t>PC</t>
  </si>
  <si>
    <t>PA</t>
  </si>
  <si>
    <t>PO</t>
  </si>
  <si>
    <t>Objets</t>
  </si>
  <si>
    <t>Type de trésor</t>
  </si>
  <si>
    <t>Chance</t>
  </si>
  <si>
    <t>Armure à bandes</t>
  </si>
  <si>
    <t>Armure de cuir</t>
  </si>
  <si>
    <t>Armure de plates</t>
  </si>
  <si>
    <t>Armure annelée</t>
  </si>
  <si>
    <t>Armure d'écailles</t>
  </si>
  <si>
    <t>Armure feuilletée</t>
  </si>
  <si>
    <t>Armure de cuir clouté</t>
  </si>
  <si>
    <t>Bouclier large +1, +4 contre les projectiles</t>
  </si>
  <si>
    <t>Reptiles</t>
  </si>
  <si>
    <t>Épée +1, +3 contre les créatures régénératrices</t>
  </si>
  <si>
    <t>Protection contre l'électricité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</si>
</sst>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quot; &quot;[$€-40C];[Red]&quot;-&quot;#,##0.00&quot; &quot;[$€-40C]"/>
  </numFmts>
  <fonts count="12">
    <font>
      <sz val="11"/>
      <color theme="1"/>
      <name val="Liberation Sans"/>
    </font>
    <font>
      <sz val="11"/>
      <color theme="1"/>
      <name val="Liberation Sans"/>
    </font>
    <font>
      <b/>
      <i/>
      <sz val="16"/>
      <color theme="1"/>
      <name val="Liberation Sans"/>
    </font>
    <font>
      <b/>
      <i/>
      <u/>
      <sz val="11"/>
      <color theme="1"/>
      <name val="Liberation Sans"/>
    </font>
    <font>
      <sz val="10"/>
      <color rgb="FF3366FF"/>
      <name val="Arial"/>
      <family val="2"/>
    </font>
    <font>
      <sz val="10"/>
      <color theme="1"/>
      <name val="Arial"/>
      <family val="2"/>
    </font>
    <font>
      <b/>
      <sz val="16"/>
      <color theme="1"/>
      <name val="Arial"/>
      <family val="2"/>
    </font>
    <font>
      <b/>
      <sz val="10"/>
      <color theme="1"/>
      <name val="Arial"/>
      <family val="2"/>
    </font>
    <font>
      <sz val="11"/>
      <color theme="1"/>
      <name val="Arial"/>
      <family val="2"/>
    </font>
    <font>
      <sz val="10"/>
      <color theme="1"/>
      <name val="Arial1"/>
    </font>
    <font>
      <i/>
      <sz val="11"/>
      <color theme="1"/>
      <name val="Liberation Sans"/>
    </font>
    <font>
      <sz val="8"/>
      <name val="Liberation Sans"/>
    </font>
  </fonts>
  <fills count="20">
    <fill>
      <patternFill patternType="none"/>
    </fill>
    <fill>
      <patternFill patternType="gray125"/>
    </fill>
    <fill>
      <patternFill patternType="solid">
        <fgColor rgb="FF000000"/>
        <bgColor rgb="FF000000"/>
      </patternFill>
    </fill>
    <fill>
      <patternFill patternType="solid">
        <fgColor rgb="FFC0C0C0"/>
        <bgColor rgb="FFC0C0C0"/>
      </patternFill>
    </fill>
    <fill>
      <patternFill patternType="solid">
        <fgColor rgb="FFFFFF99"/>
        <bgColor rgb="FFFFFF99"/>
      </patternFill>
    </fill>
    <fill>
      <patternFill patternType="solid">
        <fgColor rgb="FFFFCC00"/>
        <bgColor rgb="FFFFCC00"/>
      </patternFill>
    </fill>
    <fill>
      <patternFill patternType="solid">
        <fgColor rgb="FF969696"/>
        <bgColor rgb="FF969696"/>
      </patternFill>
    </fill>
    <fill>
      <patternFill patternType="solid">
        <fgColor rgb="FF00FF00"/>
        <bgColor rgb="FF00FF00"/>
      </patternFill>
    </fill>
    <fill>
      <patternFill patternType="solid">
        <fgColor rgb="FFFFFF00"/>
        <bgColor rgb="FFFFFF00"/>
      </patternFill>
    </fill>
    <fill>
      <patternFill patternType="solid">
        <fgColor rgb="FFCC99FF"/>
        <bgColor rgb="FFCC99FF"/>
      </patternFill>
    </fill>
    <fill>
      <patternFill patternType="solid">
        <fgColor rgb="FFABB400"/>
        <bgColor rgb="FFABB400"/>
      </patternFill>
    </fill>
    <fill>
      <patternFill patternType="solid">
        <fgColor rgb="FFAECF00"/>
        <bgColor rgb="FFAECF00"/>
      </patternFill>
    </fill>
    <fill>
      <patternFill patternType="solid">
        <fgColor rgb="FF3DEB3D"/>
        <bgColor rgb="FF3DEB3D"/>
      </patternFill>
    </fill>
    <fill>
      <patternFill patternType="solid">
        <fgColor rgb="FF33CC66"/>
        <bgColor rgb="FF33CC66"/>
      </patternFill>
    </fill>
    <fill>
      <patternFill patternType="solid">
        <fgColor rgb="FF00AE00"/>
        <bgColor rgb="FF00AE00"/>
      </patternFill>
    </fill>
    <fill>
      <patternFill patternType="solid">
        <fgColor rgb="FF94BD5E"/>
        <bgColor rgb="FF94BD5E"/>
      </patternFill>
    </fill>
    <fill>
      <patternFill patternType="solid">
        <fgColor rgb="FF7DA647"/>
        <bgColor rgb="FF7DA647"/>
      </patternFill>
    </fill>
    <fill>
      <patternFill patternType="solid">
        <fgColor rgb="FF5C8526"/>
        <bgColor rgb="FF5C8526"/>
      </patternFill>
    </fill>
    <fill>
      <patternFill patternType="solid">
        <fgColor theme="0"/>
        <bgColor rgb="FFC0C0C0"/>
      </patternFill>
    </fill>
    <fill>
      <patternFill patternType="solid">
        <fgColor rgb="FF92D050"/>
        <bgColor indexed="64"/>
      </patternFill>
    </fill>
  </fills>
  <borders count="15">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s>
  <cellStyleXfs count="6">
    <xf numFmtId="0" fontId="0" fillId="0" borderId="0"/>
    <xf numFmtId="0" fontId="1" fillId="2" borderId="0"/>
    <xf numFmtId="0" fontId="2" fillId="0" borderId="0">
      <alignment horizontal="center"/>
    </xf>
    <xf numFmtId="0" fontId="2" fillId="0" borderId="0">
      <alignment horizontal="center" textRotation="90"/>
    </xf>
    <xf numFmtId="0" fontId="3" fillId="0" borderId="0"/>
    <xf numFmtId="164" fontId="3" fillId="0" borderId="0"/>
  </cellStyleXfs>
  <cellXfs count="101">
    <xf numFmtId="0" fontId="0" fillId="0" borderId="0" xfId="0"/>
    <xf numFmtId="0" fontId="0" fillId="0" borderId="1" xfId="0" applyBorder="1"/>
    <xf numFmtId="0" fontId="4" fillId="0" borderId="2" xfId="0" applyFont="1" applyBorder="1" applyAlignment="1">
      <alignment horizontal="center"/>
    </xf>
    <xf numFmtId="0" fontId="0" fillId="3" borderId="3" xfId="0" applyFill="1" applyBorder="1"/>
    <xf numFmtId="0" fontId="0" fillId="3" borderId="4" xfId="0" applyFill="1" applyBorder="1"/>
    <xf numFmtId="0" fontId="0" fillId="3" borderId="0" xfId="0" applyFill="1"/>
    <xf numFmtId="0" fontId="0" fillId="3" borderId="5" xfId="0" applyFill="1" applyBorder="1"/>
    <xf numFmtId="0" fontId="0" fillId="3" borderId="6" xfId="0" applyFill="1" applyBorder="1"/>
    <xf numFmtId="0" fontId="0" fillId="4" borderId="2" xfId="0" applyFill="1" applyBorder="1" applyAlignment="1">
      <alignment horizontal="center"/>
    </xf>
    <xf numFmtId="0" fontId="0" fillId="0" borderId="2" xfId="0" applyBorder="1" applyAlignment="1">
      <alignment horizontal="center"/>
    </xf>
    <xf numFmtId="0" fontId="0" fillId="0" borderId="2" xfId="0" applyBorder="1"/>
    <xf numFmtId="0" fontId="0" fillId="0" borderId="7" xfId="0" applyBorder="1"/>
    <xf numFmtId="0" fontId="0" fillId="4" borderId="7" xfId="0" applyFill="1" applyBorder="1" applyAlignment="1">
      <alignment horizontal="center"/>
    </xf>
    <xf numFmtId="0" fontId="5" fillId="3" borderId="5" xfId="0" applyFont="1" applyFill="1" applyBorder="1"/>
    <xf numFmtId="0" fontId="0" fillId="3" borderId="8" xfId="0" applyFill="1" applyBorder="1"/>
    <xf numFmtId="0" fontId="0" fillId="3" borderId="9" xfId="0" applyFill="1" applyBorder="1"/>
    <xf numFmtId="0" fontId="0" fillId="3" borderId="10" xfId="0" applyFill="1" applyBorder="1"/>
    <xf numFmtId="0" fontId="5" fillId="0" borderId="0" xfId="0" applyFont="1"/>
    <xf numFmtId="0" fontId="0" fillId="0" borderId="3" xfId="0" applyBorder="1"/>
    <xf numFmtId="0" fontId="0" fillId="0" borderId="4" xfId="0" applyBorder="1"/>
    <xf numFmtId="0" fontId="0" fillId="0" borderId="13" xfId="0" applyBorder="1"/>
    <xf numFmtId="0" fontId="6" fillId="0" borderId="0" xfId="0" applyFont="1" applyAlignment="1">
      <alignment horizontal="center"/>
    </xf>
    <xf numFmtId="0" fontId="5" fillId="0" borderId="3" xfId="0" applyFont="1" applyBorder="1"/>
    <xf numFmtId="0" fontId="0" fillId="0" borderId="5" xfId="0" applyBorder="1"/>
    <xf numFmtId="0" fontId="0" fillId="0" borderId="6" xfId="0" applyBorder="1"/>
    <xf numFmtId="0" fontId="5" fillId="0" borderId="2" xfId="0" applyFont="1" applyBorder="1"/>
    <xf numFmtId="0" fontId="5" fillId="0" borderId="0" xfId="0" applyFont="1" applyAlignment="1">
      <alignment horizontal="center"/>
    </xf>
    <xf numFmtId="0" fontId="5" fillId="0" borderId="5" xfId="0" applyFont="1" applyBorder="1"/>
    <xf numFmtId="0" fontId="5" fillId="0" borderId="6" xfId="0" applyFont="1" applyBorder="1" applyAlignment="1">
      <alignment horizontal="center"/>
    </xf>
    <xf numFmtId="0" fontId="0" fillId="0" borderId="0" xfId="0" applyAlignment="1">
      <alignment horizontal="center"/>
    </xf>
    <xf numFmtId="0" fontId="5" fillId="0" borderId="2" xfId="0" applyFont="1" applyBorder="1" applyAlignment="1">
      <alignment horizontal="center"/>
    </xf>
    <xf numFmtId="0" fontId="5" fillId="0" borderId="7" xfId="0" applyFont="1" applyBorder="1"/>
    <xf numFmtId="0" fontId="5" fillId="0" borderId="2" xfId="0" applyFont="1" applyBorder="1" applyAlignment="1">
      <alignment horizontal="left"/>
    </xf>
    <xf numFmtId="0" fontId="0" fillId="0" borderId="1" xfId="0" applyBorder="1" applyAlignment="1">
      <alignment horizontal="center"/>
    </xf>
    <xf numFmtId="0" fontId="0" fillId="0" borderId="7" xfId="0" applyBorder="1" applyAlignment="1">
      <alignment horizontal="center"/>
    </xf>
    <xf numFmtId="0" fontId="5" fillId="0" borderId="7" xfId="0" applyFont="1" applyBorder="1" applyAlignment="1">
      <alignment horizontal="center"/>
    </xf>
    <xf numFmtId="0" fontId="0" fillId="0" borderId="8" xfId="0" applyBorder="1" applyAlignment="1">
      <alignment horizontal="center"/>
    </xf>
    <xf numFmtId="0" fontId="5" fillId="0" borderId="6" xfId="0" applyFont="1" applyBorder="1"/>
    <xf numFmtId="0" fontId="5" fillId="0" borderId="8" xfId="0" applyFont="1" applyBorder="1"/>
    <xf numFmtId="0" fontId="5" fillId="0" borderId="9" xfId="0" applyFont="1" applyBorder="1"/>
    <xf numFmtId="0" fontId="5" fillId="0" borderId="10" xfId="0" applyFont="1" applyBorder="1"/>
    <xf numFmtId="0" fontId="5" fillId="0" borderId="12" xfId="0" applyFont="1" applyBorder="1"/>
    <xf numFmtId="0" fontId="5" fillId="0" borderId="4" xfId="0" applyFont="1" applyBorder="1"/>
    <xf numFmtId="0" fontId="0" fillId="2" borderId="1" xfId="0" applyFill="1" applyBorder="1"/>
    <xf numFmtId="0" fontId="0" fillId="2" borderId="2" xfId="0" applyFill="1" applyBorder="1"/>
    <xf numFmtId="0" fontId="5" fillId="0" borderId="7" xfId="0" applyFont="1" applyBorder="1" applyAlignment="1">
      <alignment horizontal="left"/>
    </xf>
    <xf numFmtId="0" fontId="7" fillId="0" borderId="0" xfId="0" applyFont="1"/>
    <xf numFmtId="0" fontId="5" fillId="0" borderId="14" xfId="0" applyFont="1" applyBorder="1"/>
    <xf numFmtId="0" fontId="0" fillId="0" borderId="11" xfId="0" applyBorder="1" applyAlignment="1">
      <alignment horizontal="center"/>
    </xf>
    <xf numFmtId="0" fontId="0" fillId="2" borderId="11" xfId="0" applyFill="1" applyBorder="1"/>
    <xf numFmtId="0" fontId="0" fillId="2" borderId="2" xfId="0" applyFill="1" applyBorder="1" applyAlignment="1">
      <alignment horizontal="center"/>
    </xf>
    <xf numFmtId="0" fontId="8" fillId="0" borderId="0" xfId="0" applyFont="1" applyAlignment="1">
      <alignment horizontal="center"/>
    </xf>
    <xf numFmtId="0" fontId="0" fillId="0" borderId="11" xfId="0" applyBorder="1"/>
    <xf numFmtId="0" fontId="5" fillId="0" borderId="11" xfId="0" applyFont="1" applyBorder="1" applyAlignment="1">
      <alignment horizontal="left"/>
    </xf>
    <xf numFmtId="0" fontId="9" fillId="2" borderId="2" xfId="0" applyFont="1" applyFill="1" applyBorder="1"/>
    <xf numFmtId="0" fontId="5" fillId="0" borderId="0" xfId="0" applyFont="1" applyAlignment="1">
      <alignment horizontal="left"/>
    </xf>
    <xf numFmtId="0" fontId="0" fillId="10" borderId="13" xfId="0" applyFill="1" applyBorder="1"/>
    <xf numFmtId="0" fontId="0" fillId="11" borderId="13" xfId="0" applyFill="1" applyBorder="1"/>
    <xf numFmtId="0" fontId="0" fillId="0" borderId="5" xfId="0" applyBorder="1" applyAlignment="1">
      <alignment horizontal="center"/>
    </xf>
    <xf numFmtId="0" fontId="0" fillId="0" borderId="8" xfId="0" applyBorder="1"/>
    <xf numFmtId="0" fontId="0" fillId="0" borderId="10" xfId="0" applyBorder="1"/>
    <xf numFmtId="0" fontId="0" fillId="12" borderId="2" xfId="0" applyFill="1" applyBorder="1"/>
    <xf numFmtId="0" fontId="0" fillId="13" borderId="13" xfId="0" applyFill="1" applyBorder="1"/>
    <xf numFmtId="0" fontId="0" fillId="14" borderId="13" xfId="0" applyFill="1" applyBorder="1"/>
    <xf numFmtId="0" fontId="0" fillId="15" borderId="13" xfId="0" applyFill="1" applyBorder="1"/>
    <xf numFmtId="0" fontId="0" fillId="16" borderId="13" xfId="0" applyFill="1" applyBorder="1"/>
    <xf numFmtId="0" fontId="0" fillId="17" borderId="13" xfId="0" applyFill="1" applyBorder="1"/>
    <xf numFmtId="0" fontId="0" fillId="0" borderId="9" xfId="0" applyBorder="1"/>
    <xf numFmtId="0" fontId="0" fillId="0" borderId="0" xfId="0" quotePrefix="1"/>
    <xf numFmtId="0" fontId="5" fillId="19" borderId="0" xfId="0" applyFont="1" applyFill="1"/>
    <xf numFmtId="0" fontId="5" fillId="0" borderId="13" xfId="0" applyFont="1" applyBorder="1"/>
    <xf numFmtId="0" fontId="10" fillId="3" borderId="0" xfId="0" applyFont="1" applyFill="1" applyAlignment="1">
      <alignment horizontal="center"/>
    </xf>
    <xf numFmtId="0" fontId="0" fillId="0" borderId="2" xfId="0" applyBorder="1" applyAlignment="1">
      <alignment horizontal="center"/>
    </xf>
    <xf numFmtId="0" fontId="0" fillId="4" borderId="2" xfId="0" applyFill="1" applyBorder="1" applyAlignment="1">
      <alignment horizontal="center"/>
    </xf>
    <xf numFmtId="0" fontId="0" fillId="18" borderId="5" xfId="0" applyFill="1" applyBorder="1" applyAlignment="1">
      <alignment horizontal="left" vertical="center" wrapText="1"/>
    </xf>
    <xf numFmtId="0" fontId="0" fillId="18" borderId="0" xfId="0" applyFill="1" applyAlignment="1">
      <alignment horizontal="left" vertical="center" wrapText="1"/>
    </xf>
    <xf numFmtId="0" fontId="6" fillId="0" borderId="2" xfId="0" applyFont="1" applyBorder="1" applyAlignment="1">
      <alignment horizontal="center" wrapText="1"/>
    </xf>
    <xf numFmtId="0" fontId="7" fillId="5" borderId="2" xfId="0" applyFont="1" applyFill="1" applyBorder="1" applyAlignment="1">
      <alignment horizontal="center"/>
    </xf>
    <xf numFmtId="0" fontId="7" fillId="6" borderId="2" xfId="0" applyFont="1" applyFill="1" applyBorder="1" applyAlignment="1">
      <alignment horizontal="center"/>
    </xf>
    <xf numFmtId="0" fontId="7" fillId="7" borderId="11" xfId="0" applyFont="1" applyFill="1" applyBorder="1" applyAlignment="1">
      <alignment horizontal="center"/>
    </xf>
    <xf numFmtId="0" fontId="7" fillId="4" borderId="11" xfId="0" applyFont="1" applyFill="1" applyBorder="1" applyAlignment="1">
      <alignment horizontal="center"/>
    </xf>
    <xf numFmtId="0" fontId="6" fillId="19" borderId="2" xfId="0" applyFont="1" applyFill="1" applyBorder="1" applyAlignment="1">
      <alignment horizontal="center"/>
    </xf>
    <xf numFmtId="0" fontId="5" fillId="0" borderId="12" xfId="0" applyFont="1" applyBorder="1" applyAlignment="1">
      <alignment horizontal="center"/>
    </xf>
    <xf numFmtId="0" fontId="5" fillId="0" borderId="4" xfId="0" applyFont="1" applyBorder="1" applyAlignment="1">
      <alignment horizontal="center"/>
    </xf>
    <xf numFmtId="0" fontId="7" fillId="8" borderId="2" xfId="0" applyFont="1" applyFill="1" applyBorder="1" applyAlignment="1">
      <alignment horizontal="center"/>
    </xf>
    <xf numFmtId="0" fontId="7" fillId="3" borderId="11" xfId="0" applyFont="1" applyFill="1" applyBorder="1" applyAlignment="1">
      <alignment horizontal="center"/>
    </xf>
    <xf numFmtId="0" fontId="7" fillId="9" borderId="11" xfId="0" applyFont="1" applyFill="1" applyBorder="1" applyAlignment="1">
      <alignment horizontal="center"/>
    </xf>
    <xf numFmtId="0" fontId="6" fillId="0" borderId="11" xfId="0" applyFont="1" applyBorder="1" applyAlignment="1">
      <alignment horizontal="center"/>
    </xf>
    <xf numFmtId="0" fontId="6" fillId="0" borderId="2" xfId="0" applyFont="1" applyBorder="1" applyAlignment="1">
      <alignment horizontal="center"/>
    </xf>
    <xf numFmtId="0" fontId="0" fillId="0" borderId="0" xfId="0"/>
    <xf numFmtId="0" fontId="0" fillId="0" borderId="6" xfId="0" applyBorder="1"/>
    <xf numFmtId="0" fontId="0" fillId="0" borderId="10" xfId="0" applyBorder="1"/>
    <xf numFmtId="0" fontId="0" fillId="12" borderId="2" xfId="0" applyFill="1" applyBorder="1" applyAlignment="1">
      <alignment horizontal="center" vertical="center"/>
    </xf>
    <xf numFmtId="0" fontId="5" fillId="0" borderId="0" xfId="0" applyFont="1" applyAlignment="1">
      <alignment horizontal="center"/>
    </xf>
    <xf numFmtId="0" fontId="0" fillId="10" borderId="1" xfId="0" applyFill="1" applyBorder="1" applyAlignment="1">
      <alignment horizontal="center" vertical="center"/>
    </xf>
    <xf numFmtId="0" fontId="0" fillId="11" borderId="1" xfId="0" applyFill="1" applyBorder="1" applyAlignment="1">
      <alignment horizontal="center" vertical="center"/>
    </xf>
    <xf numFmtId="0" fontId="0" fillId="13" borderId="1" xfId="0" applyFill="1" applyBorder="1" applyAlignment="1">
      <alignment horizontal="center" vertical="center"/>
    </xf>
    <xf numFmtId="0" fontId="0" fillId="15" borderId="1" xfId="0" applyFill="1" applyBorder="1" applyAlignment="1">
      <alignment horizontal="center" vertical="center"/>
    </xf>
    <xf numFmtId="0" fontId="0" fillId="14" borderId="1" xfId="0" applyFill="1" applyBorder="1" applyAlignment="1">
      <alignment horizontal="center" vertical="center"/>
    </xf>
    <xf numFmtId="0" fontId="0" fillId="16" borderId="1" xfId="0" applyFill="1" applyBorder="1" applyAlignment="1">
      <alignment horizontal="center" vertical="center"/>
    </xf>
    <xf numFmtId="0" fontId="0" fillId="17" borderId="1" xfId="0" applyFill="1" applyBorder="1" applyAlignment="1">
      <alignment horizontal="center" vertical="center"/>
    </xf>
  </cellXfs>
  <cellStyles count="6">
    <cellStyle name="Excel_CondFormat_1_1_1" xfId="1" xr:uid="{00000000-0005-0000-0000-000000000000}"/>
    <cellStyle name="Heading" xfId="2" xr:uid="{00000000-0005-0000-0000-000001000000}"/>
    <cellStyle name="Heading1" xfId="3" xr:uid="{00000000-0005-0000-0000-000002000000}"/>
    <cellStyle name="Normal" xfId="0" builtinId="0" customBuiltin="1"/>
    <cellStyle name="Result" xfId="4" xr:uid="{00000000-0005-0000-0000-000004000000}"/>
    <cellStyle name="Result2" xfId="5" xr:uid="{00000000-0005-0000-0000-000005000000}"/>
  </cellStyles>
  <dxfs count="2">
    <dxf>
      <fill>
        <patternFill patternType="solid">
          <fgColor rgb="FF008000"/>
          <bgColor rgb="FF008000"/>
        </patternFill>
      </fill>
    </dxf>
    <dxf>
      <fill>
        <patternFill patternType="solid">
          <fgColor rgb="FF0000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39"/>
  <sheetViews>
    <sheetView tabSelected="1" workbookViewId="0">
      <selection activeCell="AC45" sqref="AC45"/>
    </sheetView>
  </sheetViews>
  <sheetFormatPr defaultColWidth="9" defaultRowHeight="13.5"/>
  <cols>
    <col min="1" max="1" width="12.875" style="5" customWidth="1"/>
    <col min="2" max="5" width="8.5" style="5" customWidth="1"/>
    <col min="6" max="8" width="18.5" style="5" customWidth="1"/>
    <col min="9" max="9" width="8.5" style="5" customWidth="1"/>
    <col min="10" max="13" width="1.125" style="5" customWidth="1"/>
    <col min="14" max="257" width="8.5" style="5" customWidth="1"/>
    <col min="258" max="1024" width="8.5" customWidth="1"/>
  </cols>
  <sheetData>
    <row r="1" spans="1:14">
      <c r="A1" s="1" t="s">
        <v>827</v>
      </c>
      <c r="B1" s="2" t="s">
        <v>30</v>
      </c>
      <c r="C1" s="3"/>
      <c r="D1" s="3"/>
      <c r="E1" s="3"/>
      <c r="F1" s="3"/>
      <c r="G1" s="3"/>
      <c r="H1" s="3"/>
      <c r="I1" s="3"/>
      <c r="J1" s="3"/>
      <c r="K1" s="3"/>
      <c r="L1" s="3"/>
      <c r="M1" s="3"/>
      <c r="N1" s="4"/>
    </row>
    <row r="2" spans="1:14">
      <c r="A2" s="6"/>
      <c r="N2" s="7"/>
    </row>
    <row r="3" spans="1:14">
      <c r="A3" s="1" t="s">
        <v>828</v>
      </c>
      <c r="B3" s="2">
        <v>0</v>
      </c>
      <c r="F3" s="73">
        <f ca="1">$B$5</f>
        <v>0</v>
      </c>
      <c r="G3" s="73"/>
      <c r="H3" s="73"/>
      <c r="N3" s="7"/>
    </row>
    <row r="4" spans="1:14">
      <c r="A4" s="6"/>
      <c r="F4" s="72" t="str">
        <f ca="1">IFERROR(VLOOKUP(Trésor!$F$3,DATA!$A$81:$J$101,2,FALSE()),"")</f>
        <v/>
      </c>
      <c r="G4" s="72"/>
      <c r="H4" s="72"/>
      <c r="N4" s="7"/>
    </row>
    <row r="5" spans="1:14">
      <c r="A5" s="10" t="s">
        <v>826</v>
      </c>
      <c r="B5" s="73">
        <f ca="1">VLOOKUP(B1,DATA!M34:N59,2,FALSE())</f>
        <v>0</v>
      </c>
      <c r="C5" s="73"/>
      <c r="D5" s="73"/>
      <c r="F5" s="72" t="str">
        <f ca="1">IFERROR(VLOOKUP($F$3,DATA!$A$81:$C$101,3,FALSE()),"")</f>
        <v/>
      </c>
      <c r="G5" s="72"/>
      <c r="H5" s="72"/>
      <c r="N5" s="7"/>
    </row>
    <row r="6" spans="1:14">
      <c r="A6" s="11" t="s">
        <v>4</v>
      </c>
      <c r="B6" s="12">
        <f ca="1">VLOOKUP(B1,DATA!S6:T31,2,FALSE())</f>
        <v>20</v>
      </c>
      <c r="F6" s="72" t="str">
        <f ca="1">IFERROR(VLOOKUP($F$3,DATA!$A$81:$D$101,4,FALSE()),"")</f>
        <v/>
      </c>
      <c r="G6" s="72"/>
      <c r="H6" s="72"/>
      <c r="N6" s="7"/>
    </row>
    <row r="7" spans="1:14">
      <c r="A7" s="10" t="s">
        <v>7</v>
      </c>
      <c r="B7" s="8">
        <f ca="1">VLOOKUP(B1,DATA!M5:N30,2,FALSE())</f>
        <v>0</v>
      </c>
      <c r="F7" s="72" t="str">
        <f ca="1">IFERROR(VLOOKUP($F$3,DATA!$A$81:$E$101,5,FALSE()),"")</f>
        <v/>
      </c>
      <c r="G7" s="72"/>
      <c r="H7" s="72"/>
      <c r="N7" s="7"/>
    </row>
    <row r="8" spans="1:14" ht="13.9">
      <c r="A8" s="10" t="s">
        <v>5</v>
      </c>
      <c r="B8" s="8">
        <f ca="1">VLOOKUP(B1,DATA!G34:H59,2,FALSE())</f>
        <v>0</v>
      </c>
      <c r="C8" s="71" t="str">
        <f ca="1">IF(B8=0,"",B8*5 &amp; " PO")</f>
        <v/>
      </c>
      <c r="F8" s="72" t="str">
        <f ca="1">IFERROR(VLOOKUP($F$3,DATA!$A$81:$F$101,6,FALSE()),"")</f>
        <v/>
      </c>
      <c r="G8" s="72"/>
      <c r="H8" s="72"/>
      <c r="N8" s="7"/>
    </row>
    <row r="9" spans="1:14" ht="13.9">
      <c r="A9" s="10" t="s">
        <v>825</v>
      </c>
      <c r="B9" s="8">
        <f ca="1">VLOOKUP(B1,DATA!A34:B59,2,FALSE())</f>
        <v>0</v>
      </c>
      <c r="C9" s="71" t="str">
        <f ca="1">IF(B9=0,"",B9 &amp; " PO")</f>
        <v/>
      </c>
      <c r="F9" s="72" t="str">
        <f ca="1">IFERROR(VLOOKUP($F$3,DATA!$A$81:$G$101,7,FALSE()),"")</f>
        <v/>
      </c>
      <c r="G9" s="72"/>
      <c r="H9" s="72"/>
      <c r="N9" s="7"/>
    </row>
    <row r="10" spans="1:14" ht="13.9">
      <c r="A10" s="10" t="s">
        <v>824</v>
      </c>
      <c r="B10" s="8">
        <f ca="1">VLOOKUP(B1,DATA!G5:H30,2,FALSE())</f>
        <v>5977</v>
      </c>
      <c r="C10" s="71" t="str">
        <f ca="1">IF(B10=0,"",ROUND(B10/10,0) &amp; " PO")</f>
        <v>598 PO</v>
      </c>
      <c r="F10" s="72" t="str">
        <f ca="1">IFERROR(VLOOKUP($F$3,DATA!$A$81:$H$101,8,FALSE()),"")</f>
        <v/>
      </c>
      <c r="G10" s="72"/>
      <c r="H10" s="72"/>
      <c r="N10" s="7"/>
    </row>
    <row r="11" spans="1:14" ht="13.9">
      <c r="A11" s="10" t="s">
        <v>823</v>
      </c>
      <c r="B11" s="8">
        <f ca="1">VLOOKUP(B1,DATA!A5:B30,2,FALSE())</f>
        <v>0</v>
      </c>
      <c r="C11" s="71" t="str">
        <f ca="1">IF(B11=0,"",ROUND(B11/100,0) &amp; " PO")</f>
        <v/>
      </c>
      <c r="F11" s="72" t="str">
        <f ca="1">IFERROR(VLOOKUP($F$3,DATA!$A$81:$I$101,9,FALSE()),"")</f>
        <v/>
      </c>
      <c r="G11" s="72"/>
      <c r="H11" s="72"/>
      <c r="N11" s="7"/>
    </row>
    <row r="12" spans="1:14">
      <c r="A12" s="6"/>
      <c r="N12" s="7"/>
    </row>
    <row r="13" spans="1:14">
      <c r="A13" s="6"/>
      <c r="N13" s="7"/>
    </row>
    <row r="14" spans="1:14">
      <c r="A14" s="6"/>
      <c r="N14" s="7"/>
    </row>
    <row r="15" spans="1:14">
      <c r="A15" s="74" t="s">
        <v>357</v>
      </c>
      <c r="B15" s="75"/>
      <c r="C15" s="75"/>
      <c r="D15" s="75"/>
      <c r="E15" s="75"/>
      <c r="F15" s="75"/>
      <c r="G15" s="75"/>
      <c r="H15" s="75"/>
      <c r="I15" s="75"/>
      <c r="J15" s="75"/>
      <c r="K15" s="75"/>
      <c r="L15" s="75"/>
      <c r="M15" s="75"/>
      <c r="N15" s="7"/>
    </row>
    <row r="16" spans="1:14">
      <c r="A16" s="74"/>
      <c r="B16" s="75"/>
      <c r="C16" s="75"/>
      <c r="D16" s="75"/>
      <c r="E16" s="75"/>
      <c r="F16" s="75"/>
      <c r="G16" s="75"/>
      <c r="H16" s="75"/>
      <c r="I16" s="75"/>
      <c r="J16" s="75"/>
      <c r="K16" s="75"/>
      <c r="L16" s="75"/>
      <c r="M16" s="75"/>
      <c r="N16" s="7"/>
    </row>
    <row r="17" spans="1:14">
      <c r="A17" s="74"/>
      <c r="B17" s="75"/>
      <c r="C17" s="75"/>
      <c r="D17" s="75"/>
      <c r="E17" s="75"/>
      <c r="F17" s="75"/>
      <c r="G17" s="75"/>
      <c r="H17" s="75"/>
      <c r="I17" s="75"/>
      <c r="J17" s="75"/>
      <c r="K17" s="75"/>
      <c r="L17" s="75"/>
      <c r="M17" s="75"/>
      <c r="N17" s="7"/>
    </row>
    <row r="18" spans="1:14">
      <c r="A18" s="74"/>
      <c r="B18" s="75"/>
      <c r="C18" s="75"/>
      <c r="D18" s="75"/>
      <c r="E18" s="75"/>
      <c r="F18" s="75"/>
      <c r="G18" s="75"/>
      <c r="H18" s="75"/>
      <c r="I18" s="75"/>
      <c r="J18" s="75"/>
      <c r="K18" s="75"/>
      <c r="L18" s="75"/>
      <c r="M18" s="75"/>
      <c r="N18" s="7"/>
    </row>
    <row r="19" spans="1:14">
      <c r="A19" s="74"/>
      <c r="B19" s="75"/>
      <c r="C19" s="75"/>
      <c r="D19" s="75"/>
      <c r="E19" s="75"/>
      <c r="F19" s="75"/>
      <c r="G19" s="75"/>
      <c r="H19" s="75"/>
      <c r="I19" s="75"/>
      <c r="J19" s="75"/>
      <c r="K19" s="75"/>
      <c r="L19" s="75"/>
      <c r="M19" s="75"/>
      <c r="N19" s="7"/>
    </row>
    <row r="20" spans="1:14">
      <c r="A20" s="74"/>
      <c r="B20" s="75"/>
      <c r="C20" s="75"/>
      <c r="D20" s="75"/>
      <c r="E20" s="75"/>
      <c r="F20" s="75"/>
      <c r="G20" s="75"/>
      <c r="H20" s="75"/>
      <c r="I20" s="75"/>
      <c r="J20" s="75"/>
      <c r="K20" s="75"/>
      <c r="L20" s="75"/>
      <c r="M20" s="75"/>
      <c r="N20" s="7"/>
    </row>
    <row r="21" spans="1:14">
      <c r="A21" s="74"/>
      <c r="B21" s="75"/>
      <c r="C21" s="75"/>
      <c r="D21" s="75"/>
      <c r="E21" s="75"/>
      <c r="F21" s="75"/>
      <c r="G21" s="75"/>
      <c r="H21" s="75"/>
      <c r="I21" s="75"/>
      <c r="J21" s="75"/>
      <c r="K21" s="75"/>
      <c r="L21" s="75"/>
      <c r="M21" s="75"/>
      <c r="N21" s="7"/>
    </row>
    <row r="22" spans="1:14">
      <c r="A22" s="74"/>
      <c r="B22" s="75"/>
      <c r="C22" s="75"/>
      <c r="D22" s="75"/>
      <c r="E22" s="75"/>
      <c r="F22" s="75"/>
      <c r="G22" s="75"/>
      <c r="H22" s="75"/>
      <c r="I22" s="75"/>
      <c r="J22" s="75"/>
      <c r="K22" s="75"/>
      <c r="L22" s="75"/>
      <c r="M22" s="75"/>
      <c r="N22" s="7"/>
    </row>
    <row r="23" spans="1:14">
      <c r="A23" s="13" t="s">
        <v>6</v>
      </c>
      <c r="N23" s="7"/>
    </row>
    <row r="24" spans="1:14">
      <c r="A24" s="14"/>
      <c r="B24" s="15"/>
      <c r="C24" s="15"/>
      <c r="D24" s="15"/>
      <c r="E24" s="15"/>
      <c r="F24" s="15"/>
      <c r="G24" s="15"/>
      <c r="H24" s="15"/>
      <c r="I24" s="15"/>
      <c r="J24" s="15"/>
      <c r="K24" s="15"/>
      <c r="L24" s="15"/>
      <c r="M24" s="15"/>
      <c r="N24" s="16"/>
    </row>
    <row r="39" spans="30:30">
      <c r="AD39" s="5" t="s">
        <v>839</v>
      </c>
    </row>
  </sheetData>
  <mergeCells count="11">
    <mergeCell ref="F8:H8"/>
    <mergeCell ref="F9:H9"/>
    <mergeCell ref="F10:H10"/>
    <mergeCell ref="F11:H11"/>
    <mergeCell ref="A15:M22"/>
    <mergeCell ref="F7:H7"/>
    <mergeCell ref="F3:H3"/>
    <mergeCell ref="F4:H4"/>
    <mergeCell ref="B5:D5"/>
    <mergeCell ref="F5:H5"/>
    <mergeCell ref="F6:H6"/>
  </mergeCells>
  <conditionalFormatting sqref="F4:F11">
    <cfRule type="cellIs" dxfId="1" priority="2" stopIfTrue="1" operator="equal">
      <formula>0</formula>
    </cfRule>
  </conditionalFormatting>
  <pageMargins left="0" right="0" top="0.39370078740157483" bottom="0.39370078740157483" header="0" footer="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N370"/>
  <sheetViews>
    <sheetView tabSelected="1" topLeftCell="T23" workbookViewId="0">
      <selection activeCell="AC45" sqref="AC45"/>
    </sheetView>
  </sheetViews>
  <sheetFormatPr defaultColWidth="9" defaultRowHeight="13.5"/>
  <cols>
    <col min="1" max="1" width="18.625" style="29" customWidth="1"/>
    <col min="2" max="2" width="11.25" customWidth="1"/>
    <col min="3" max="3" width="13.375" customWidth="1"/>
    <col min="4" max="4" width="12.625" customWidth="1"/>
    <col min="5" max="5" width="11.75" customWidth="1"/>
    <col min="6" max="6" width="9.625" customWidth="1"/>
    <col min="7" max="8" width="10.25" customWidth="1"/>
    <col min="9" max="9" width="9.625" customWidth="1"/>
    <col min="10" max="10" width="10.375" customWidth="1"/>
    <col min="11" max="11" width="10" customWidth="1"/>
    <col min="12" max="12" width="11.875" customWidth="1"/>
    <col min="13" max="13" width="9.75" customWidth="1"/>
    <col min="14" max="14" width="10.625" customWidth="1"/>
    <col min="15" max="15" width="23.625" customWidth="1"/>
    <col min="16" max="16" width="9.625" customWidth="1"/>
    <col min="17" max="18" width="8.375" customWidth="1"/>
    <col min="19" max="19" width="22" customWidth="1"/>
    <col min="20" max="20" width="8.375" customWidth="1"/>
    <col min="21" max="21" width="14.625" customWidth="1"/>
    <col min="22" max="22" width="27.25" customWidth="1"/>
    <col min="23" max="23" width="22.125" customWidth="1"/>
    <col min="24" max="26" width="8.375" customWidth="1"/>
    <col min="27" max="27" width="39.5" customWidth="1"/>
    <col min="28" max="28" width="23.5" customWidth="1"/>
    <col min="29" max="29" width="17.25" customWidth="1"/>
    <col min="30" max="30" width="29.75" customWidth="1"/>
    <col min="31" max="31" width="8.375" customWidth="1"/>
    <col min="32" max="32" width="22.125" customWidth="1"/>
    <col min="33" max="33" width="24.375" customWidth="1"/>
    <col min="34" max="35" width="8.375" customWidth="1"/>
    <col min="36" max="36" width="38.875" customWidth="1"/>
    <col min="37" max="37" width="10.125" customWidth="1"/>
    <col min="38" max="38" width="10.5" customWidth="1"/>
    <col min="39" max="39" width="8.375" customWidth="1"/>
    <col min="40" max="40" width="37.25" customWidth="1"/>
    <col min="41" max="41" width="9.375" customWidth="1"/>
    <col min="42" max="42" width="8.375" customWidth="1"/>
    <col min="43" max="43" width="29.375" customWidth="1"/>
    <col min="44" max="45" width="8.375" customWidth="1"/>
    <col min="46" max="46" width="29.875" customWidth="1"/>
    <col min="47" max="48" width="8.375" customWidth="1"/>
    <col min="49" max="49" width="66.25" customWidth="1"/>
    <col min="50" max="51" width="8.375" customWidth="1"/>
    <col min="52" max="52" width="28.875" customWidth="1"/>
    <col min="53" max="53" width="25.375" customWidth="1"/>
    <col min="54" max="55" width="4.5" customWidth="1"/>
    <col min="56" max="56" width="3.25" customWidth="1"/>
    <col min="57" max="57" width="11.625" customWidth="1"/>
    <col min="58" max="60" width="8.375" customWidth="1"/>
    <col min="61" max="61" width="30.125" customWidth="1"/>
    <col min="62" max="62" width="22" customWidth="1"/>
    <col min="63" max="63" width="4.75" customWidth="1"/>
    <col min="64" max="64" width="8.625" customWidth="1"/>
    <col min="65" max="65" width="3.125" customWidth="1"/>
    <col min="66" max="66" width="4.75" customWidth="1"/>
    <col min="67" max="72" width="8.375" customWidth="1"/>
    <col min="73" max="73" width="4" customWidth="1"/>
    <col min="74" max="74" width="22.125" customWidth="1"/>
    <col min="75" max="75" width="4.5" customWidth="1"/>
    <col min="76" max="76" width="25" customWidth="1"/>
    <col min="77" max="77" width="5.125" customWidth="1"/>
    <col min="78" max="78" width="32.5" customWidth="1"/>
    <col min="79" max="79" width="8.375" customWidth="1"/>
    <col min="80" max="80" width="22.125" customWidth="1"/>
    <col min="81" max="81" width="4.25" customWidth="1"/>
    <col min="82" max="82" width="27.875" customWidth="1"/>
    <col min="83" max="83" width="8.375" customWidth="1"/>
    <col min="84" max="84" width="22.125" customWidth="1"/>
    <col min="85" max="85" width="4.25" customWidth="1"/>
    <col min="86" max="86" width="31" customWidth="1"/>
    <col min="87" max="87" width="8.375" customWidth="1"/>
    <col min="88" max="88" width="22.125" customWidth="1"/>
    <col min="89" max="89" width="4.25" customWidth="1"/>
    <col min="90" max="90" width="36.875" customWidth="1"/>
    <col min="91" max="91" width="8.375" customWidth="1"/>
    <col min="92" max="92" width="22.125" customWidth="1"/>
    <col min="93" max="93" width="4.25" customWidth="1"/>
    <col min="94" max="94" width="30.25" customWidth="1"/>
    <col min="95" max="95" width="8.375" customWidth="1"/>
    <col min="96" max="96" width="22.125" customWidth="1"/>
    <col min="97" max="97" width="4.25" customWidth="1"/>
    <col min="98" max="98" width="35.875" customWidth="1"/>
    <col min="99" max="99" width="8.375" customWidth="1"/>
    <col min="100" max="100" width="18.125" customWidth="1"/>
    <col min="101" max="101" width="4.5" customWidth="1"/>
    <col min="102" max="102" width="32.5" customWidth="1"/>
    <col min="103" max="103" width="20.625" customWidth="1"/>
    <col min="104" max="104" width="22.125" customWidth="1"/>
    <col min="105" max="105" width="3.875" customWidth="1"/>
    <col min="106" max="106" width="44.125" customWidth="1"/>
    <col min="107" max="108" width="8.375" customWidth="1"/>
    <col min="109" max="109" width="14.875" customWidth="1"/>
    <col min="110" max="110" width="17.375" customWidth="1"/>
    <col min="111" max="111" width="14.125" customWidth="1"/>
    <col min="112" max="114" width="8.375" customWidth="1"/>
    <col min="115" max="115" width="14.5" customWidth="1"/>
    <col min="116" max="1024" width="8.375" customWidth="1"/>
  </cols>
  <sheetData>
    <row r="1" spans="1:114">
      <c r="A1" s="76" t="s">
        <v>822</v>
      </c>
      <c r="B1" s="76"/>
      <c r="C1" s="76"/>
      <c r="D1" s="76"/>
      <c r="E1" s="76"/>
    </row>
    <row r="2" spans="1:114">
      <c r="A2" s="76"/>
      <c r="B2" s="76"/>
      <c r="C2" s="76"/>
      <c r="D2" s="76"/>
      <c r="E2" s="76"/>
      <c r="BU2" s="17"/>
      <c r="BV2" s="17"/>
    </row>
    <row r="3" spans="1:114" ht="13.9">
      <c r="A3" s="77" t="s">
        <v>823</v>
      </c>
      <c r="B3" s="77"/>
      <c r="C3" s="77"/>
      <c r="D3" s="77"/>
      <c r="E3" s="77"/>
      <c r="G3" s="78" t="s">
        <v>824</v>
      </c>
      <c r="H3" s="78"/>
      <c r="I3" s="78"/>
      <c r="J3" s="78"/>
      <c r="K3" s="78"/>
      <c r="M3" s="79" t="s">
        <v>7</v>
      </c>
      <c r="N3" s="79"/>
      <c r="O3" s="79"/>
      <c r="P3" s="79"/>
      <c r="Q3" s="79"/>
      <c r="AO3" s="17"/>
      <c r="AP3" s="17"/>
      <c r="AQ3" s="17"/>
      <c r="AR3" s="17"/>
      <c r="AS3" s="17"/>
      <c r="AT3" s="17"/>
      <c r="AU3" s="17"/>
      <c r="AV3" s="17"/>
      <c r="AW3" s="17"/>
      <c r="AX3" s="17"/>
      <c r="AY3" s="17"/>
    </row>
    <row r="4" spans="1:114" ht="13.9">
      <c r="A4" s="9"/>
      <c r="B4" s="10" t="s">
        <v>8</v>
      </c>
      <c r="C4" s="10" t="s">
        <v>9</v>
      </c>
      <c r="D4" s="10" t="s">
        <v>10</v>
      </c>
      <c r="E4" s="10" t="s">
        <v>11</v>
      </c>
      <c r="G4" s="9"/>
      <c r="H4" s="10" t="s">
        <v>8</v>
      </c>
      <c r="I4" s="10" t="s">
        <v>9</v>
      </c>
      <c r="J4" s="10" t="s">
        <v>10</v>
      </c>
      <c r="K4" s="10" t="s">
        <v>11</v>
      </c>
      <c r="M4" s="9"/>
      <c r="N4" s="10" t="s">
        <v>8</v>
      </c>
      <c r="O4" s="10" t="s">
        <v>9</v>
      </c>
      <c r="P4" s="10" t="s">
        <v>10</v>
      </c>
      <c r="Q4" s="10" t="s">
        <v>11</v>
      </c>
      <c r="S4" s="80" t="s">
        <v>4</v>
      </c>
      <c r="T4" s="80"/>
      <c r="U4" s="80"/>
      <c r="V4" s="80"/>
      <c r="W4" s="80"/>
      <c r="AO4" s="17"/>
      <c r="AP4" s="17"/>
      <c r="AQ4" s="17"/>
      <c r="AR4" s="17"/>
      <c r="AS4" s="17"/>
      <c r="AT4" s="17"/>
      <c r="AU4" s="17"/>
      <c r="AV4" s="17"/>
      <c r="AW4" s="17"/>
      <c r="AX4" s="17"/>
      <c r="AY4" s="17"/>
      <c r="BU4" s="10">
        <v>0</v>
      </c>
      <c r="BV4" s="9" t="s">
        <v>738</v>
      </c>
    </row>
    <row r="5" spans="1:114">
      <c r="A5" s="9" t="s">
        <v>12</v>
      </c>
      <c r="B5" s="10">
        <f ca="1">IF(E5&lt;=D5,C5,0)</f>
        <v>2739</v>
      </c>
      <c r="C5" s="9">
        <f ca="1">RANDBETWEEN(1000,3000)</f>
        <v>2739</v>
      </c>
      <c r="D5" s="10">
        <f>25+B31</f>
        <v>25</v>
      </c>
      <c r="E5" s="10">
        <f ca="1">RANDBETWEEN(1,100)</f>
        <v>10</v>
      </c>
      <c r="G5" s="9" t="s">
        <v>12</v>
      </c>
      <c r="H5" s="10">
        <f t="shared" ref="H5:H10" ca="1" si="0">IF(K5&lt;=J5,I5,0)</f>
        <v>0</v>
      </c>
      <c r="I5" s="9">
        <f ca="1">RANDBETWEEN(200,2000)</f>
        <v>1472</v>
      </c>
      <c r="J5" s="10">
        <f>30+B31</f>
        <v>30</v>
      </c>
      <c r="K5" s="10">
        <f t="shared" ref="K5:K10" ca="1" si="1">RANDBETWEEN(1,100)</f>
        <v>39</v>
      </c>
      <c r="M5" s="9" t="s">
        <v>12</v>
      </c>
      <c r="N5" s="10">
        <f t="shared" ref="N5:N13" ca="1" si="2">IF(Q5&lt;=P5,O5,0)</f>
        <v>0</v>
      </c>
      <c r="O5" s="9">
        <f ca="1">RANDBETWEEN(10,40)</f>
        <v>19</v>
      </c>
      <c r="P5" s="9">
        <f>60+B31</f>
        <v>60</v>
      </c>
      <c r="Q5" s="10">
        <f t="shared" ref="Q5:Q13" ca="1" si="3">RANDBETWEEN(1,100)</f>
        <v>78</v>
      </c>
      <c r="S5" s="9"/>
      <c r="T5" s="10" t="s">
        <v>8</v>
      </c>
      <c r="U5" s="10" t="s">
        <v>9</v>
      </c>
      <c r="V5" s="10" t="s">
        <v>10</v>
      </c>
      <c r="W5" s="10" t="s">
        <v>11</v>
      </c>
      <c r="AO5" s="17"/>
      <c r="AP5" s="17"/>
      <c r="AQ5" s="17"/>
      <c r="AR5" s="17"/>
      <c r="AS5" s="17"/>
      <c r="AT5" s="17"/>
      <c r="AU5" s="17"/>
      <c r="AV5" s="17"/>
      <c r="AW5" s="17"/>
      <c r="AX5" s="17"/>
      <c r="AY5" s="17"/>
      <c r="BU5" s="10">
        <v>1</v>
      </c>
      <c r="BV5" s="9" t="s">
        <v>738</v>
      </c>
      <c r="CV5" s="81" t="s">
        <v>747</v>
      </c>
      <c r="CW5" s="81"/>
      <c r="CX5" s="81"/>
    </row>
    <row r="6" spans="1:114">
      <c r="A6" s="9" t="s">
        <v>13</v>
      </c>
      <c r="B6" s="10">
        <f ca="1">IF(E6&lt;=D6,C6,0)</f>
        <v>1603</v>
      </c>
      <c r="C6" s="9">
        <f ca="1">RANDBETWEEN(1000,6000)</f>
        <v>1603</v>
      </c>
      <c r="D6" s="10">
        <f>50+B31</f>
        <v>50</v>
      </c>
      <c r="E6" s="10">
        <f ca="1">RANDBETWEEN(1,100)</f>
        <v>49</v>
      </c>
      <c r="G6" s="9" t="s">
        <v>13</v>
      </c>
      <c r="H6" s="10">
        <f t="shared" ca="1" si="0"/>
        <v>1883</v>
      </c>
      <c r="I6" s="9">
        <f ca="1">RANDBETWEEN(1000,3000)</f>
        <v>1883</v>
      </c>
      <c r="J6" s="10">
        <f>25+B31</f>
        <v>25</v>
      </c>
      <c r="K6" s="10">
        <f t="shared" ca="1" si="1"/>
        <v>24</v>
      </c>
      <c r="M6" s="9" t="s">
        <v>13</v>
      </c>
      <c r="N6" s="10">
        <f t="shared" ca="1" si="2"/>
        <v>7</v>
      </c>
      <c r="O6" s="9">
        <f ca="1">RANDBETWEEN(1,8)</f>
        <v>7</v>
      </c>
      <c r="P6" s="9">
        <f>30+B31</f>
        <v>30</v>
      </c>
      <c r="Q6" s="10">
        <f t="shared" ca="1" si="3"/>
        <v>19</v>
      </c>
      <c r="S6" s="9" t="s">
        <v>12</v>
      </c>
      <c r="T6" s="10">
        <f t="shared" ref="T6:T14" ca="1" si="4">IF(W6&lt;=V6,U6,0)</f>
        <v>11</v>
      </c>
      <c r="U6" s="9">
        <f ca="1">RANDBETWEEN(2,12)</f>
        <v>11</v>
      </c>
      <c r="V6" s="9">
        <f>50+B31</f>
        <v>50</v>
      </c>
      <c r="W6" s="10">
        <f t="shared" ref="W6:W14" ca="1" si="5">RANDBETWEEN(1,100)</f>
        <v>13</v>
      </c>
      <c r="AO6" s="17"/>
      <c r="AP6" s="17"/>
      <c r="AQ6" s="17"/>
      <c r="AR6" s="17"/>
      <c r="AS6" s="17"/>
      <c r="AT6" s="17"/>
      <c r="AU6" s="17"/>
      <c r="AV6" s="17"/>
      <c r="AW6" s="17"/>
      <c r="AX6" s="17"/>
      <c r="AY6" s="17"/>
      <c r="BU6" s="10">
        <v>2</v>
      </c>
      <c r="BV6" s="9" t="s">
        <v>738</v>
      </c>
      <c r="CV6" s="81"/>
      <c r="CW6" s="81"/>
      <c r="CX6" s="81"/>
    </row>
    <row r="7" spans="1:114">
      <c r="A7" s="9" t="s">
        <v>14</v>
      </c>
      <c r="B7" s="10">
        <f ca="1">IF(E7&lt;=D7,C7,0)</f>
        <v>9709</v>
      </c>
      <c r="C7" s="9">
        <f ca="1">RANDBETWEEN(1000,10000)</f>
        <v>9709</v>
      </c>
      <c r="D7" s="10">
        <f>20+B31</f>
        <v>20</v>
      </c>
      <c r="E7" s="10">
        <f ca="1">RANDBETWEEN(1,100)</f>
        <v>2</v>
      </c>
      <c r="G7" s="9" t="s">
        <v>14</v>
      </c>
      <c r="H7" s="10">
        <f t="shared" ca="1" si="0"/>
        <v>0</v>
      </c>
      <c r="I7" s="9">
        <f ca="1">RANDBETWEEN(1000,6000)</f>
        <v>2930</v>
      </c>
      <c r="J7" s="10">
        <f>30+B31</f>
        <v>30</v>
      </c>
      <c r="K7" s="10">
        <f t="shared" ca="1" si="1"/>
        <v>53</v>
      </c>
      <c r="M7" s="9" t="s">
        <v>14</v>
      </c>
      <c r="N7" s="10">
        <f t="shared" ca="1" si="2"/>
        <v>3</v>
      </c>
      <c r="O7" s="9">
        <f ca="1">RANDBETWEEN(1,6)</f>
        <v>3</v>
      </c>
      <c r="P7" s="9">
        <f>25+B31</f>
        <v>25</v>
      </c>
      <c r="Q7" s="10">
        <f t="shared" ca="1" si="3"/>
        <v>14</v>
      </c>
      <c r="S7" s="9" t="s">
        <v>13</v>
      </c>
      <c r="T7" s="10">
        <f t="shared" ca="1" si="4"/>
        <v>0</v>
      </c>
      <c r="U7" s="9">
        <f ca="1">RANDBETWEEN(1,4)</f>
        <v>4</v>
      </c>
      <c r="V7" s="9">
        <f>20+B31</f>
        <v>20</v>
      </c>
      <c r="W7" s="10">
        <f t="shared" ca="1" si="5"/>
        <v>74</v>
      </c>
      <c r="AO7" s="17"/>
      <c r="AP7" s="17"/>
      <c r="AQ7" s="17"/>
      <c r="AR7" s="17"/>
      <c r="AS7" s="17"/>
      <c r="AT7" s="17"/>
      <c r="AU7" s="17"/>
      <c r="AV7" s="17"/>
      <c r="AW7" s="17"/>
      <c r="AX7" s="17"/>
      <c r="AY7" s="17"/>
      <c r="BU7" s="10">
        <v>3</v>
      </c>
      <c r="BV7" s="9" t="s">
        <v>738</v>
      </c>
      <c r="BX7" s="41">
        <v>1</v>
      </c>
      <c r="BY7" s="22" t="s">
        <v>734</v>
      </c>
      <c r="BZ7" s="42"/>
      <c r="CA7" s="17"/>
      <c r="CB7" s="41">
        <v>4</v>
      </c>
      <c r="CC7" s="22" t="s">
        <v>734</v>
      </c>
      <c r="CD7" s="42"/>
      <c r="CE7" s="17"/>
      <c r="CF7" s="41">
        <v>7</v>
      </c>
      <c r="CG7" s="22" t="s">
        <v>734</v>
      </c>
      <c r="CH7" s="42"/>
      <c r="CI7" s="17"/>
      <c r="CJ7" s="41">
        <v>10</v>
      </c>
      <c r="CK7" s="22" t="s">
        <v>734</v>
      </c>
      <c r="CL7" s="42"/>
      <c r="CM7" s="17"/>
      <c r="CN7" s="41">
        <v>13</v>
      </c>
      <c r="CO7" s="22" t="s">
        <v>734</v>
      </c>
      <c r="CP7" s="42"/>
      <c r="CQ7" s="17"/>
      <c r="CR7" s="41">
        <v>16</v>
      </c>
      <c r="CS7" s="22" t="s">
        <v>734</v>
      </c>
      <c r="CT7" s="42"/>
      <c r="CV7" s="10"/>
      <c r="CW7" s="20" t="s">
        <v>734</v>
      </c>
      <c r="CX7" s="10"/>
      <c r="CY7" s="10"/>
    </row>
    <row r="8" spans="1:114" ht="20.65">
      <c r="A8" s="9" t="s">
        <v>16</v>
      </c>
      <c r="B8" s="10">
        <f ca="1">IF(E8&lt;=D8,C8,0)</f>
        <v>0</v>
      </c>
      <c r="C8" s="9">
        <f ca="1">RANDBETWEEN(1000,6000)</f>
        <v>4299</v>
      </c>
      <c r="D8" s="10">
        <f>10+B31</f>
        <v>10</v>
      </c>
      <c r="E8" s="10">
        <f ca="1">RANDBETWEEN(1,100)</f>
        <v>25</v>
      </c>
      <c r="G8" s="9" t="s">
        <v>16</v>
      </c>
      <c r="H8" s="10">
        <f t="shared" ca="1" si="0"/>
        <v>0</v>
      </c>
      <c r="I8" s="9">
        <f ca="1">RANDBETWEEN(1000,10000)</f>
        <v>7560</v>
      </c>
      <c r="J8" s="10">
        <f>15+B31</f>
        <v>15</v>
      </c>
      <c r="K8" s="10">
        <f t="shared" ca="1" si="1"/>
        <v>70</v>
      </c>
      <c r="M8" s="9" t="s">
        <v>16</v>
      </c>
      <c r="N8" s="10">
        <f t="shared" ca="1" si="2"/>
        <v>0</v>
      </c>
      <c r="O8" s="9">
        <f ca="1">RANDBETWEEN(1,10)</f>
        <v>9</v>
      </c>
      <c r="P8" s="9">
        <f>30+B31</f>
        <v>30</v>
      </c>
      <c r="Q8" s="10">
        <f t="shared" ca="1" si="3"/>
        <v>42</v>
      </c>
      <c r="S8" s="9" t="s">
        <v>14</v>
      </c>
      <c r="T8" s="10">
        <f t="shared" ca="1" si="4"/>
        <v>0</v>
      </c>
      <c r="U8" s="9">
        <f ca="1">RANDBETWEEN(1,3)</f>
        <v>2</v>
      </c>
      <c r="V8" s="9">
        <f>20+B31</f>
        <v>20</v>
      </c>
      <c r="W8" s="10">
        <f t="shared" ca="1" si="5"/>
        <v>24</v>
      </c>
      <c r="Y8" s="81" t="s">
        <v>17</v>
      </c>
      <c r="Z8" s="81"/>
      <c r="AA8" s="81"/>
      <c r="AC8" s="81" t="s">
        <v>18</v>
      </c>
      <c r="AD8" s="81"/>
      <c r="AF8" s="81" t="s">
        <v>19</v>
      </c>
      <c r="AG8" s="81"/>
      <c r="AI8" s="81" t="s">
        <v>376</v>
      </c>
      <c r="AJ8" s="81"/>
      <c r="AK8" s="21"/>
      <c r="AM8" s="81" t="s">
        <v>446</v>
      </c>
      <c r="AN8" s="81"/>
      <c r="AO8" s="17"/>
      <c r="AP8" s="81" t="s">
        <v>429</v>
      </c>
      <c r="AQ8" s="81"/>
      <c r="AR8" s="17"/>
      <c r="AS8" s="81" t="s">
        <v>476</v>
      </c>
      <c r="AT8" s="81"/>
      <c r="AU8" s="17"/>
      <c r="AV8" s="81" t="s">
        <v>535</v>
      </c>
      <c r="AW8" s="81"/>
      <c r="AX8" s="17"/>
      <c r="AY8" s="81" t="s">
        <v>20</v>
      </c>
      <c r="AZ8" s="81"/>
      <c r="BA8" s="81"/>
      <c r="BB8" s="82" t="s">
        <v>734</v>
      </c>
      <c r="BC8" s="22"/>
      <c r="BD8" s="22"/>
      <c r="BE8" s="83" t="s">
        <v>735</v>
      </c>
      <c r="BF8" s="17"/>
      <c r="BK8" s="17"/>
      <c r="BU8" s="10">
        <v>4</v>
      </c>
      <c r="BV8" s="9" t="s">
        <v>738</v>
      </c>
      <c r="BW8">
        <v>0</v>
      </c>
      <c r="BX8" s="27" t="str">
        <f>BV4</f>
        <v>Potions et huiles</v>
      </c>
      <c r="BY8" s="17">
        <f ca="1">RANDBETWEEN(1,60)</f>
        <v>7</v>
      </c>
      <c r="BZ8" s="37" t="str">
        <f ca="1">VLOOKUP(BY8,$Y$10:$AA$69,2,FALSE())</f>
        <v>Potion de Diminution</v>
      </c>
      <c r="CA8" s="17"/>
      <c r="CB8" s="27" t="str">
        <f>BX8</f>
        <v>Potions et huiles</v>
      </c>
      <c r="CC8" s="17">
        <f ca="1">RANDBETWEEN(1,60)</f>
        <v>36</v>
      </c>
      <c r="CD8" s="37" t="str">
        <f ca="1">VLOOKUP(CC8,$Y$10:$AA$69,2,FALSE())</f>
        <v>Huile de feux ardents</v>
      </c>
      <c r="CE8" s="17"/>
      <c r="CF8" s="27" t="str">
        <f>CB8</f>
        <v>Potions et huiles</v>
      </c>
      <c r="CG8" s="17">
        <f ca="1">RANDBETWEEN(1,60)</f>
        <v>44</v>
      </c>
      <c r="CH8" s="37" t="str">
        <f ca="1">VLOOKUP(CG8,$Y$10:$AA$69,2,FALSE())</f>
        <v>Philtre de persuasion</v>
      </c>
      <c r="CI8" s="17"/>
      <c r="CJ8" s="27" t="str">
        <f>CF8</f>
        <v>Potions et huiles</v>
      </c>
      <c r="CK8" s="17">
        <f ca="1">RANDBETWEEN(1,60)</f>
        <v>19</v>
      </c>
      <c r="CL8" s="37" t="str">
        <f ca="1">VLOOKUP(CK8,$Y$10:$AA$69,2,FALSE())</f>
        <v>Potion de Forme gazeuse</v>
      </c>
      <c r="CM8" s="17"/>
      <c r="CN8" s="27" t="str">
        <f>CJ8</f>
        <v>Potions et huiles</v>
      </c>
      <c r="CO8" s="17">
        <f ca="1">RANDBETWEEN(1,60)</f>
        <v>24</v>
      </c>
      <c r="CP8" s="37" t="str">
        <f ca="1">VLOOKUP(CO8,$Y$10:$AA$69,2,FALSE())</f>
        <v>Potion de Soins</v>
      </c>
      <c r="CQ8" s="17"/>
      <c r="CR8" s="27" t="str">
        <f>CN8</f>
        <v>Potions et huiles</v>
      </c>
      <c r="CS8" s="17">
        <f ca="1">RANDBETWEEN(1,60)</f>
        <v>1</v>
      </c>
      <c r="CT8" s="37" t="str">
        <f ca="1">VLOOKUP(CS8,$Y$10:$AA$69,2,FALSE())</f>
        <v>Potion de Contrôle des animaux</v>
      </c>
      <c r="CV8" s="10" t="s">
        <v>748</v>
      </c>
      <c r="CW8" s="20">
        <f ca="1">RANDBETWEEN(1,75)</f>
        <v>22</v>
      </c>
      <c r="CX8" s="10" t="str">
        <f ca="1">VLOOKUP(CW8,$BU$4:$BV$79,2,FALSE())</f>
        <v>Parchemins</v>
      </c>
      <c r="CY8" s="10" t="str">
        <f ca="1">VLOOKUP(CX8,$CV$15:$CX$32,3,FALSE())</f>
        <v>Protection contre le froid</v>
      </c>
    </row>
    <row r="9" spans="1:114" ht="20.65">
      <c r="A9" s="9" t="s">
        <v>21</v>
      </c>
      <c r="B9" s="10">
        <f ca="1">IF(E9&lt;=D9,C9,0)</f>
        <v>0</v>
      </c>
      <c r="C9" s="9">
        <f ca="1">RANDBETWEEN(1000,6000)</f>
        <v>1283</v>
      </c>
      <c r="D9" s="10">
        <f>5+B31</f>
        <v>5</v>
      </c>
      <c r="E9" s="10">
        <f ca="1">RANDBETWEEN(1,100)</f>
        <v>39</v>
      </c>
      <c r="G9" s="9" t="s">
        <v>21</v>
      </c>
      <c r="H9" s="10">
        <f t="shared" ca="1" si="0"/>
        <v>0</v>
      </c>
      <c r="I9" s="9">
        <f ca="1">RANDBETWEEN(1000,10000)</f>
        <v>5096</v>
      </c>
      <c r="J9" s="10">
        <f>25+B31</f>
        <v>25</v>
      </c>
      <c r="K9" s="10">
        <f t="shared" ca="1" si="1"/>
        <v>91</v>
      </c>
      <c r="M9" s="9" t="s">
        <v>21</v>
      </c>
      <c r="N9" s="10">
        <f t="shared" ca="1" si="2"/>
        <v>0</v>
      </c>
      <c r="O9" s="9">
        <f ca="1">RANDBETWEEN(1,12)</f>
        <v>4</v>
      </c>
      <c r="P9" s="9">
        <f>15+B31</f>
        <v>15</v>
      </c>
      <c r="Q9" s="10">
        <f t="shared" ca="1" si="3"/>
        <v>86</v>
      </c>
      <c r="S9" s="9" t="s">
        <v>16</v>
      </c>
      <c r="T9" s="10">
        <f t="shared" ca="1" si="4"/>
        <v>0</v>
      </c>
      <c r="U9" s="9">
        <f ca="1">RANDBETWEEN(1,6)</f>
        <v>1</v>
      </c>
      <c r="V9" s="9">
        <f>25+B31</f>
        <v>25</v>
      </c>
      <c r="W9" s="10">
        <f t="shared" ca="1" si="5"/>
        <v>98</v>
      </c>
      <c r="Y9" s="81"/>
      <c r="Z9" s="81"/>
      <c r="AA9" s="81"/>
      <c r="AC9" s="81"/>
      <c r="AD9" s="81"/>
      <c r="AF9" s="81"/>
      <c r="AG9" s="81"/>
      <c r="AI9" s="81"/>
      <c r="AJ9" s="81"/>
      <c r="AK9" s="21"/>
      <c r="AM9" s="81"/>
      <c r="AN9" s="81"/>
      <c r="AO9" s="17"/>
      <c r="AP9" s="81"/>
      <c r="AQ9" s="81"/>
      <c r="AR9" s="17"/>
      <c r="AS9" s="81"/>
      <c r="AT9" s="81"/>
      <c r="AU9" s="17"/>
      <c r="AV9" s="81"/>
      <c r="AW9" s="81"/>
      <c r="AX9" s="17"/>
      <c r="AY9" s="81"/>
      <c r="AZ9" s="81"/>
      <c r="BA9" s="81"/>
      <c r="BB9" s="82"/>
      <c r="BC9" s="17"/>
      <c r="BD9" s="17"/>
      <c r="BE9" s="83"/>
      <c r="BF9" s="17"/>
      <c r="BH9" s="81" t="s">
        <v>644</v>
      </c>
      <c r="BI9" s="81"/>
      <c r="BJ9" s="81"/>
      <c r="BK9" s="17"/>
      <c r="BU9" s="10">
        <v>5</v>
      </c>
      <c r="BV9" s="9" t="s">
        <v>738</v>
      </c>
      <c r="BW9">
        <v>20</v>
      </c>
      <c r="BX9" s="27" t="str">
        <f>BV25</f>
        <v>Parchemins</v>
      </c>
      <c r="BY9" s="17">
        <f ca="1">RANDBETWEEN(1,45)</f>
        <v>2</v>
      </c>
      <c r="BZ9" s="37" t="str">
        <f ca="1">VLOOKUP(BY9,$AC$10:$AD$54,2,FALSE())</f>
        <v>1 Sorts niveau 1d4</v>
      </c>
      <c r="CA9" s="17"/>
      <c r="CB9" s="27" t="str">
        <f t="shared" ref="CB9:CB26" si="6">BX9</f>
        <v>Parchemins</v>
      </c>
      <c r="CC9" s="17">
        <f ca="1">RANDBETWEEN(1,45)</f>
        <v>26</v>
      </c>
      <c r="CD9" s="37" t="str">
        <f ca="1">VLOOKUP(CC9,$AC$10:$AD$54,2,FALSE())</f>
        <v>Carte</v>
      </c>
      <c r="CE9" s="17"/>
      <c r="CF9" s="27" t="str">
        <f t="shared" ref="CF9:CF26" si="7">CB9</f>
        <v>Parchemins</v>
      </c>
      <c r="CG9" s="17">
        <f ca="1">RANDBETWEEN(1,45)</f>
        <v>39</v>
      </c>
      <c r="CH9" s="37" t="str">
        <f ca="1">VLOOKUP(CG9,$AC$10:$AD$54,2,FALSE())</f>
        <v>Protection contre les plantes</v>
      </c>
      <c r="CI9" s="17"/>
      <c r="CJ9" s="27" t="str">
        <f t="shared" ref="CJ9:CJ26" si="8">CF9</f>
        <v>Parchemins</v>
      </c>
      <c r="CK9" s="17">
        <f ca="1">RANDBETWEEN(1,45)</f>
        <v>35</v>
      </c>
      <c r="CL9" s="37" t="str">
        <f ca="1">VLOOKUP(CK9,$AC$10:$AD$54,2,FALSE())</f>
        <v>Protection contre les lycanthropes</v>
      </c>
      <c r="CM9" s="17"/>
      <c r="CN9" s="27" t="str">
        <f t="shared" ref="CN9:CN26" si="9">CJ9</f>
        <v>Parchemins</v>
      </c>
      <c r="CO9" s="17">
        <f ca="1">RANDBETWEEN(1,45)</f>
        <v>3</v>
      </c>
      <c r="CP9" s="37" t="str">
        <f ca="1">VLOOKUP(CO9,$AC$10:$AD$54,2,FALSE())</f>
        <v>1 Sorts niveau 1d4</v>
      </c>
      <c r="CQ9" s="17"/>
      <c r="CR9" s="27" t="str">
        <f t="shared" ref="CR9:CR26" si="10">CN9</f>
        <v>Parchemins</v>
      </c>
      <c r="CS9" s="17">
        <f ca="1">RANDBETWEEN(1,45)</f>
        <v>8</v>
      </c>
      <c r="CT9" s="37" t="str">
        <f ca="1">VLOOKUP(CS9,$AC$10:$AD$54,2,FALSE())</f>
        <v>2 Sorts niveau 1d6</v>
      </c>
      <c r="CV9" s="10" t="s">
        <v>749</v>
      </c>
      <c r="CW9" s="20">
        <f ca="1">RANDBETWEEN(1,75)</f>
        <v>74</v>
      </c>
      <c r="CX9" s="10" t="str">
        <f ca="1">VLOOKUP(CW9,$BU$4:$BV$79,2,FALSE())</f>
        <v>Armures et boucliers</v>
      </c>
      <c r="CY9" s="10" t="str">
        <f ca="1">VLOOKUP(CX9,$CV$35:$CX$52,3,FALSE())</f>
        <v>Cotte de mailles (+4)</v>
      </c>
    </row>
    <row r="10" spans="1:114">
      <c r="A10" s="9" t="s">
        <v>22</v>
      </c>
      <c r="B10" s="10"/>
      <c r="C10" s="10"/>
      <c r="D10" s="10"/>
      <c r="E10" s="10"/>
      <c r="G10" s="9" t="s">
        <v>22</v>
      </c>
      <c r="H10" s="10">
        <f t="shared" ca="1" si="0"/>
        <v>0</v>
      </c>
      <c r="I10" s="9">
        <f ca="1">RANDBETWEEN(3000,18000)</f>
        <v>17803</v>
      </c>
      <c r="J10" s="10">
        <f>10+B31</f>
        <v>10</v>
      </c>
      <c r="K10" s="10">
        <f t="shared" ca="1" si="1"/>
        <v>92</v>
      </c>
      <c r="M10" s="9" t="s">
        <v>22</v>
      </c>
      <c r="N10" s="10">
        <f t="shared" ca="1" si="2"/>
        <v>0</v>
      </c>
      <c r="O10" s="9">
        <f ca="1">RANDBETWEEN(2,20)</f>
        <v>18</v>
      </c>
      <c r="P10" s="9">
        <f>20+B31</f>
        <v>20</v>
      </c>
      <c r="Q10" s="10">
        <f t="shared" ca="1" si="3"/>
        <v>64</v>
      </c>
      <c r="S10" s="9" t="s">
        <v>21</v>
      </c>
      <c r="T10" s="10">
        <f t="shared" ca="1" si="4"/>
        <v>0</v>
      </c>
      <c r="U10" s="9">
        <f ca="1">RANDBETWEEN(1,6)</f>
        <v>1</v>
      </c>
      <c r="V10" s="9">
        <f>10+B31</f>
        <v>10</v>
      </c>
      <c r="W10" s="10">
        <f t="shared" ca="1" si="5"/>
        <v>69</v>
      </c>
      <c r="Y10" s="9">
        <v>1</v>
      </c>
      <c r="Z10" s="72" t="s">
        <v>757</v>
      </c>
      <c r="AA10" s="72"/>
      <c r="AC10" s="9">
        <v>1</v>
      </c>
      <c r="AD10" s="30" t="s">
        <v>23</v>
      </c>
      <c r="AF10" s="9"/>
      <c r="AG10" s="10" t="s">
        <v>19</v>
      </c>
      <c r="AI10" s="10">
        <v>1</v>
      </c>
      <c r="AJ10" s="25" t="s">
        <v>377</v>
      </c>
      <c r="AK10" s="17"/>
      <c r="AM10" s="25">
        <v>1</v>
      </c>
      <c r="AN10" s="25" t="s">
        <v>24</v>
      </c>
      <c r="AO10" s="17"/>
      <c r="AP10" s="25">
        <v>1</v>
      </c>
      <c r="AQ10" s="25" t="s">
        <v>430</v>
      </c>
      <c r="AR10" s="17"/>
      <c r="AS10" s="25">
        <v>1</v>
      </c>
      <c r="AT10" s="25" t="s">
        <v>477</v>
      </c>
      <c r="AU10" s="17"/>
      <c r="AV10" s="25">
        <v>1</v>
      </c>
      <c r="AW10" s="25" t="s">
        <v>536</v>
      </c>
      <c r="AX10" s="26"/>
      <c r="AY10" s="27"/>
      <c r="AZ10" s="17"/>
      <c r="BA10" s="17"/>
      <c r="BC10" s="17"/>
      <c r="BD10" s="17">
        <v>1</v>
      </c>
      <c r="BE10" s="28" t="s">
        <v>25</v>
      </c>
      <c r="BF10" s="17"/>
      <c r="BH10" s="81"/>
      <c r="BI10" s="81"/>
      <c r="BJ10" s="81"/>
      <c r="BK10" s="22"/>
      <c r="BL10" s="18"/>
      <c r="BM10" s="18"/>
      <c r="BN10" s="18"/>
      <c r="BO10" s="18"/>
      <c r="BP10" s="18"/>
      <c r="BQ10" s="18"/>
      <c r="BR10" s="18"/>
      <c r="BS10" s="19"/>
      <c r="BU10" s="10">
        <v>6</v>
      </c>
      <c r="BV10" s="9" t="s">
        <v>738</v>
      </c>
      <c r="BW10">
        <v>35</v>
      </c>
      <c r="BX10" s="27" t="str">
        <f>BV40</f>
        <v>Anneaux</v>
      </c>
      <c r="BY10" s="17">
        <f ca="1">RANDBETWEEN(1,60)</f>
        <v>45</v>
      </c>
      <c r="BZ10" s="37" t="str">
        <f ca="1">VLOOKUP(BY10,$AF$11:$AG$70,2,FALSE())</f>
        <v>Anneau de Poigne Électrique</v>
      </c>
      <c r="CA10" s="17"/>
      <c r="CB10" s="27" t="str">
        <f t="shared" si="6"/>
        <v>Anneaux</v>
      </c>
      <c r="CC10" s="17">
        <f ca="1">RANDBETWEEN(1,60)</f>
        <v>29</v>
      </c>
      <c r="CD10" s="37" t="str">
        <f ca="1">VLOOKUP(CC10,$AF$11:$AG$70,2,FALSE())</f>
        <v>Anneau de Saut</v>
      </c>
      <c r="CE10" s="17"/>
      <c r="CF10" s="27" t="str">
        <f t="shared" si="7"/>
        <v>Anneaux</v>
      </c>
      <c r="CG10" s="17">
        <f ca="1">RANDBETWEEN(1,60)</f>
        <v>5</v>
      </c>
      <c r="CH10" s="37" t="str">
        <f ca="1">VLOOKUP(CG10,$AF$11:$AG$70,2,FALSE())</f>
        <v>Anneau de Caméléon</v>
      </c>
      <c r="CI10" s="17"/>
      <c r="CJ10" s="27" t="str">
        <f t="shared" si="8"/>
        <v>Anneaux</v>
      </c>
      <c r="CK10" s="17">
        <f ca="1">RANDBETWEEN(1,60)</f>
        <v>36</v>
      </c>
      <c r="CL10" s="37" t="str">
        <f ca="1">VLOOKUP(CK10,$AF$11:$AG$70,2,FALSE())</f>
        <v>Anneau de Bouclier Mental</v>
      </c>
      <c r="CM10" s="17"/>
      <c r="CN10" s="27" t="str">
        <f t="shared" si="9"/>
        <v>Anneaux</v>
      </c>
      <c r="CO10" s="17">
        <f ca="1">RANDBETWEEN(1,60)</f>
        <v>27</v>
      </c>
      <c r="CP10" s="37" t="str">
        <f ca="1">VLOOKUP(CO10,$AF$11:$AG$70,2,FALSE())</f>
        <v>Anneau d'Invisibilité</v>
      </c>
      <c r="CQ10" s="17"/>
      <c r="CR10" s="27" t="str">
        <f t="shared" si="10"/>
        <v>Anneaux</v>
      </c>
      <c r="CS10" s="17">
        <f ca="1">RANDBETWEEN(1,60)</f>
        <v>14</v>
      </c>
      <c r="CT10" s="37" t="str">
        <f ca="1">VLOOKUP(CS10,$AF$11:$AG$70,2,FALSE())</f>
        <v>Anneau de Folie</v>
      </c>
      <c r="CV10" s="10" t="s">
        <v>750</v>
      </c>
      <c r="CW10" s="20">
        <f ca="1">RANDBETWEEN(1,75)</f>
        <v>72</v>
      </c>
      <c r="CX10" s="10" t="str">
        <f ca="1">VLOOKUP(CW10,$BU$4:$BV$79,2,FALSE())</f>
        <v>Armures et boucliers</v>
      </c>
      <c r="CY10" s="10" t="str">
        <f ca="1">VLOOKUP(CX10,$CV$55:$CX$72,3,FALSE())</f>
        <v>Armure de cuir (+1)</v>
      </c>
    </row>
    <row r="11" spans="1:114">
      <c r="A11" s="9" t="s">
        <v>26</v>
      </c>
      <c r="B11" s="10"/>
      <c r="C11" s="10"/>
      <c r="D11" s="10"/>
      <c r="E11" s="10"/>
      <c r="G11" s="9" t="s">
        <v>26</v>
      </c>
      <c r="H11" s="10"/>
      <c r="I11" s="10"/>
      <c r="J11" s="10"/>
      <c r="K11" s="10"/>
      <c r="M11" s="9" t="s">
        <v>26</v>
      </c>
      <c r="N11" s="10">
        <f t="shared" ca="1" si="2"/>
        <v>0</v>
      </c>
      <c r="O11" s="9">
        <f ca="1">RANDBETWEEN(3,18)</f>
        <v>9</v>
      </c>
      <c r="P11" s="9">
        <f>30+B31</f>
        <v>30</v>
      </c>
      <c r="Q11" s="10">
        <f t="shared" ca="1" si="3"/>
        <v>96</v>
      </c>
      <c r="S11" s="9" t="s">
        <v>22</v>
      </c>
      <c r="T11" s="10">
        <f t="shared" ca="1" si="4"/>
        <v>0</v>
      </c>
      <c r="U11" s="9">
        <f ca="1">RANDBETWEEN(1,8)</f>
        <v>7</v>
      </c>
      <c r="V11" s="9">
        <f>10+B31</f>
        <v>10</v>
      </c>
      <c r="W11" s="10">
        <f t="shared" ca="1" si="5"/>
        <v>75</v>
      </c>
      <c r="Y11" s="9">
        <v>2</v>
      </c>
      <c r="Z11" s="72" t="s">
        <v>27</v>
      </c>
      <c r="AA11" s="72"/>
      <c r="AB11" s="29"/>
      <c r="AC11" s="9">
        <v>2</v>
      </c>
      <c r="AD11" s="30" t="s">
        <v>23</v>
      </c>
      <c r="AF11" s="9">
        <v>1</v>
      </c>
      <c r="AG11" s="25" t="s">
        <v>804</v>
      </c>
      <c r="AI11" s="10">
        <v>2</v>
      </c>
      <c r="AJ11" s="25" t="s">
        <v>377</v>
      </c>
      <c r="AK11" s="17"/>
      <c r="AM11" s="25">
        <v>2</v>
      </c>
      <c r="AN11" s="25" t="s">
        <v>24</v>
      </c>
      <c r="AO11" s="17"/>
      <c r="AP11" s="25">
        <v>2</v>
      </c>
      <c r="AQ11" s="25" t="s">
        <v>431</v>
      </c>
      <c r="AR11" s="17"/>
      <c r="AS11" s="25">
        <v>2</v>
      </c>
      <c r="AT11" s="25" t="s">
        <v>478</v>
      </c>
      <c r="AU11" s="17"/>
      <c r="AV11" s="25">
        <v>2</v>
      </c>
      <c r="AW11" s="25" t="s">
        <v>537</v>
      </c>
      <c r="AX11" s="26"/>
      <c r="AY11" s="27">
        <v>1</v>
      </c>
      <c r="AZ11" s="17" t="str">
        <f t="shared" ref="AZ11:AZ29" ca="1" si="11">CONCATENATE(BA11,BC11)</f>
        <v>Armure à bandes (+2)</v>
      </c>
      <c r="BA11" s="17" t="s">
        <v>829</v>
      </c>
      <c r="BB11" s="17">
        <f t="shared" ref="BB11:BB29" ca="1" si="12">RANDBETWEEN(1,20)</f>
        <v>13</v>
      </c>
      <c r="BC11" s="17" t="str">
        <f t="shared" ref="BC11:BC29" ca="1" si="13">VLOOKUP(BB11,$BD$10:$BE$29,2,FALSE())</f>
        <v xml:space="preserve"> (+2)</v>
      </c>
      <c r="BD11" s="17">
        <v>2</v>
      </c>
      <c r="BE11" s="28" t="s">
        <v>25</v>
      </c>
      <c r="BF11" s="17"/>
      <c r="BH11" s="27">
        <v>1</v>
      </c>
      <c r="BI11" s="31" t="str">
        <f t="shared" ref="BI11:BI42" ca="1" si="14">CONCATENATE(BJ11,BK11)</f>
        <v>Flèches (4d6) (-1)</v>
      </c>
      <c r="BJ11" s="17" t="s">
        <v>736</v>
      </c>
      <c r="BK11" s="17" t="str">
        <f t="shared" ref="BK11:BK42" ca="1" si="15">VLOOKUP(BL11,$BM$11:$BN$30,2,FALSE())</f>
        <v xml:space="preserve"> (-1)</v>
      </c>
      <c r="BL11">
        <f t="shared" ref="BL11:BL42" ca="1" si="16">RANDBETWEEN(1,20)</f>
        <v>1</v>
      </c>
      <c r="BM11">
        <v>1</v>
      </c>
      <c r="BN11" s="26" t="s">
        <v>25</v>
      </c>
      <c r="BS11" s="24"/>
      <c r="BU11" s="10">
        <v>7</v>
      </c>
      <c r="BV11" s="9" t="s">
        <v>738</v>
      </c>
      <c r="BW11">
        <v>40</v>
      </c>
      <c r="BX11" s="27" t="str">
        <f>BV45</f>
        <v>Sceptres</v>
      </c>
      <c r="BY11" s="17">
        <f ca="1">RANDBETWEEN(1,20)</f>
        <v>15</v>
      </c>
      <c r="BZ11" s="37" t="str">
        <f ca="1">VLOOKUP(BY11,$AI$10:$AJ$29,2,FALSE())</f>
        <v>Sceptre de Châtiment</v>
      </c>
      <c r="CA11" s="17"/>
      <c r="CB11" s="27" t="str">
        <f t="shared" si="6"/>
        <v>Sceptres</v>
      </c>
      <c r="CC11" s="17">
        <f ca="1">RANDBETWEEN(1,20)</f>
        <v>2</v>
      </c>
      <c r="CD11" s="37" t="str">
        <f ca="1">VLOOKUP(CC11,$AI$10:$AJ$29,2,FALSE())</f>
        <v>Sceptre de Absorption</v>
      </c>
      <c r="CE11" s="17"/>
      <c r="CF11" s="27" t="str">
        <f t="shared" si="7"/>
        <v>Sceptres</v>
      </c>
      <c r="CG11" s="17">
        <f ca="1">RANDBETWEEN(1,20)</f>
        <v>9</v>
      </c>
      <c r="CH11" s="37" t="str">
        <f ca="1">VLOOKUP(CG11,$AI$10:$AJ$29,2,FALSE())</f>
        <v>Sceptre de Puissance altière</v>
      </c>
      <c r="CI11" s="17"/>
      <c r="CJ11" s="27" t="str">
        <f t="shared" si="8"/>
        <v>Sceptres</v>
      </c>
      <c r="CK11" s="17">
        <f ca="1">RANDBETWEEN(1,20)</f>
        <v>14</v>
      </c>
      <c r="CL11" s="37" t="str">
        <f ca="1">VLOOKUP(CK11,$AI$10:$AJ$29,2,FALSE())</f>
        <v>Sceptre de Sécurité</v>
      </c>
      <c r="CM11" s="17"/>
      <c r="CN11" s="27" t="str">
        <f t="shared" si="9"/>
        <v>Sceptres</v>
      </c>
      <c r="CO11" s="17">
        <f ca="1">RANDBETWEEN(1,20)</f>
        <v>4</v>
      </c>
      <c r="CP11" s="37" t="str">
        <f ca="1">VLOOKUP(CO11,$AI$10:$AJ$29,2,FALSE())</f>
        <v>Sceptre de Vigilance</v>
      </c>
      <c r="CQ11" s="17"/>
      <c r="CR11" s="27" t="str">
        <f t="shared" si="10"/>
        <v>Sceptres</v>
      </c>
      <c r="CS11" s="17">
        <f ca="1">RANDBETWEEN(1,20)</f>
        <v>19</v>
      </c>
      <c r="CT11" s="37" t="str">
        <f ca="1">VLOOKUP(CS11,$AI$10:$AJ$29,2,FALSE())</f>
        <v>Sceptre de Terreur</v>
      </c>
      <c r="CV11" s="10" t="s">
        <v>751</v>
      </c>
      <c r="CW11" s="20">
        <f ca="1">RANDBETWEEN(1,75)</f>
        <v>29</v>
      </c>
      <c r="CX11" s="10" t="str">
        <f ca="1">VLOOKUP(CW11,$BU$4:$BV$79,2,FALSE())</f>
        <v>Parchemins</v>
      </c>
      <c r="CY11" s="10" t="str">
        <f ca="1">VLOOKUP(CX11,$CZ$15:$DB$32,3,FALSE())</f>
        <v>Protection contre la possession</v>
      </c>
    </row>
    <row r="12" spans="1:114">
      <c r="A12" s="9" t="s">
        <v>30</v>
      </c>
      <c r="B12" s="10">
        <f ca="1">IF(E12&lt;=D12,C12,0)</f>
        <v>0</v>
      </c>
      <c r="C12" s="9">
        <f ca="1">RANDBETWEEN(3000,18000)</f>
        <v>4479</v>
      </c>
      <c r="D12" s="10">
        <f>25+B31</f>
        <v>25</v>
      </c>
      <c r="E12" s="10">
        <f ca="1">RANDBETWEEN(1,100)</f>
        <v>27</v>
      </c>
      <c r="G12" s="9" t="s">
        <v>30</v>
      </c>
      <c r="H12" s="10">
        <f ca="1">IF(K12&lt;=J12,I12,0)</f>
        <v>5977</v>
      </c>
      <c r="I12" s="9">
        <f ca="1">RANDBETWEEN(2000,20000)</f>
        <v>5977</v>
      </c>
      <c r="J12" s="10">
        <f>40+B31</f>
        <v>40</v>
      </c>
      <c r="K12" s="10"/>
      <c r="M12" s="9" t="s">
        <v>30</v>
      </c>
      <c r="N12" s="10">
        <f t="shared" ca="1" si="2"/>
        <v>0</v>
      </c>
      <c r="O12" s="9">
        <f ca="1">RANDBETWEEN(3,30)</f>
        <v>26</v>
      </c>
      <c r="P12" s="9">
        <f>50+B31</f>
        <v>50</v>
      </c>
      <c r="Q12" s="10">
        <f t="shared" ca="1" si="3"/>
        <v>71</v>
      </c>
      <c r="S12" s="9" t="s">
        <v>26</v>
      </c>
      <c r="T12" s="10">
        <f t="shared" ca="1" si="4"/>
        <v>0</v>
      </c>
      <c r="U12" s="9">
        <f ca="1">RANDBETWEEN(1,6)</f>
        <v>6</v>
      </c>
      <c r="V12" s="9">
        <f>25+B31</f>
        <v>25</v>
      </c>
      <c r="W12" s="10">
        <f t="shared" ca="1" si="5"/>
        <v>32</v>
      </c>
      <c r="Y12" s="9">
        <v>3</v>
      </c>
      <c r="Z12" s="72" t="s">
        <v>31</v>
      </c>
      <c r="AA12" s="72"/>
      <c r="AB12" s="29"/>
      <c r="AC12" s="9">
        <v>3</v>
      </c>
      <c r="AD12" s="30" t="s">
        <v>23</v>
      </c>
      <c r="AF12" s="9">
        <v>2</v>
      </c>
      <c r="AG12" s="25" t="s">
        <v>28</v>
      </c>
      <c r="AI12" s="10">
        <v>3</v>
      </c>
      <c r="AJ12" s="25" t="s">
        <v>378</v>
      </c>
      <c r="AK12" s="17"/>
      <c r="AM12" s="25">
        <v>3</v>
      </c>
      <c r="AN12" s="25" t="s">
        <v>24</v>
      </c>
      <c r="AO12" s="17"/>
      <c r="AP12" s="25">
        <v>3</v>
      </c>
      <c r="AQ12" s="25" t="s">
        <v>432</v>
      </c>
      <c r="AR12" s="17"/>
      <c r="AS12" s="25">
        <v>3</v>
      </c>
      <c r="AT12" s="25" t="s">
        <v>479</v>
      </c>
      <c r="AU12" s="17"/>
      <c r="AV12" s="25">
        <v>3</v>
      </c>
      <c r="AW12" s="25" t="s">
        <v>538</v>
      </c>
      <c r="AX12" s="26"/>
      <c r="AY12" s="27">
        <v>2</v>
      </c>
      <c r="AZ12" s="17" t="str">
        <f t="shared" ca="1" si="11"/>
        <v>Brigandine (+3)</v>
      </c>
      <c r="BA12" s="17" t="s">
        <v>32</v>
      </c>
      <c r="BB12" s="17">
        <f t="shared" ca="1" si="12"/>
        <v>15</v>
      </c>
      <c r="BC12" s="17" t="str">
        <f t="shared" ca="1" si="13"/>
        <v xml:space="preserve"> (+3)</v>
      </c>
      <c r="BD12" s="17">
        <v>3</v>
      </c>
      <c r="BE12" s="28" t="s">
        <v>33</v>
      </c>
      <c r="BF12" s="17"/>
      <c r="BH12" s="27">
        <v>2</v>
      </c>
      <c r="BI12" s="25" t="str">
        <f t="shared" ca="1" si="14"/>
        <v>Flèches (4d6) (+2)</v>
      </c>
      <c r="BJ12" s="17" t="s">
        <v>736</v>
      </c>
      <c r="BK12" s="17" t="str">
        <f t="shared" ca="1" si="15"/>
        <v xml:space="preserve"> (+2)</v>
      </c>
      <c r="BL12">
        <f t="shared" ca="1" si="16"/>
        <v>13</v>
      </c>
      <c r="BM12">
        <v>2</v>
      </c>
      <c r="BN12" s="26" t="s">
        <v>25</v>
      </c>
      <c r="BS12" s="24"/>
      <c r="BU12" s="10">
        <v>8</v>
      </c>
      <c r="BV12" s="9" t="s">
        <v>738</v>
      </c>
      <c r="BW12">
        <v>41</v>
      </c>
      <c r="BX12" s="27" t="str">
        <f>BV46</f>
        <v>Bâtons</v>
      </c>
      <c r="BY12" s="17">
        <f ca="1">RANDBETWEEN(1,20)</f>
        <v>6</v>
      </c>
      <c r="BZ12" s="37" t="str">
        <f ca="1">VLOOKUP(BY12,$AI$33:$AJ$52,2,FALSE())</f>
        <v>Bâton de Mage</v>
      </c>
      <c r="CA12" s="17"/>
      <c r="CB12" s="27" t="str">
        <f t="shared" si="6"/>
        <v>Bâtons</v>
      </c>
      <c r="CC12" s="17">
        <f ca="1">RANDBETWEEN(1,20)</f>
        <v>2</v>
      </c>
      <c r="CD12" s="37" t="str">
        <f ca="1">VLOOKUP(CC12,$AI$33:$AJ$52,2,FALSE())</f>
        <v>Bâton Masse d'Armes</v>
      </c>
      <c r="CE12" s="17"/>
      <c r="CF12" s="27" t="str">
        <f t="shared" si="7"/>
        <v>Bâtons</v>
      </c>
      <c r="CG12" s="17">
        <f ca="1">RANDBETWEEN(1,20)</f>
        <v>7</v>
      </c>
      <c r="CH12" s="37" t="str">
        <f ca="1">VLOOKUP(CG12,$AI$33:$AJ$52,2,FALSE())</f>
        <v>Bâton de Puissance</v>
      </c>
      <c r="CI12" s="17"/>
      <c r="CJ12" s="27" t="str">
        <f t="shared" si="8"/>
        <v>Bâtons</v>
      </c>
      <c r="CK12" s="17">
        <f ca="1">RANDBETWEEN(1,20)</f>
        <v>13</v>
      </c>
      <c r="CL12" s="37" t="str">
        <f ca="1">VLOOKUP(CK12,$AI$33:$AJ$52,2,FALSE())</f>
        <v>Bâton de Flétrissement</v>
      </c>
      <c r="CM12" s="17"/>
      <c r="CN12" s="27" t="str">
        <f t="shared" si="9"/>
        <v>Bâtons</v>
      </c>
      <c r="CO12" s="17">
        <f ca="1">RANDBETWEEN(1,20)</f>
        <v>11</v>
      </c>
      <c r="CP12" s="37" t="str">
        <f ca="1">VLOOKUP(CO12,$AI$33:$AJ$52,2,FALSE())</f>
        <v>Bâton Epieu</v>
      </c>
      <c r="CQ12" s="17"/>
      <c r="CR12" s="27" t="str">
        <f t="shared" si="10"/>
        <v>Bâtons</v>
      </c>
      <c r="CS12" s="17">
        <f ca="1">RANDBETWEEN(1,20)</f>
        <v>8</v>
      </c>
      <c r="CT12" s="37" t="str">
        <f ca="1">VLOOKUP(CS12,$AI$33:$AJ$52,2,FALSE())</f>
        <v>Bâton Serpent</v>
      </c>
      <c r="CV12" s="10" t="s">
        <v>752</v>
      </c>
      <c r="CW12" s="20">
        <f ca="1">RANDBETWEEN(1,75)</f>
        <v>61</v>
      </c>
      <c r="CX12" s="10" t="str">
        <f ca="1">VLOOKUP(CW12,$BU$4:$BV$79,2,FALSE())</f>
        <v>Armures et boucliers</v>
      </c>
      <c r="CY12" s="10" t="str">
        <f ca="1">VLOOKUP(CX12,$CZ$35:$DB$52,3,FALSE())</f>
        <v>Armure à bandes (+2)</v>
      </c>
      <c r="DH12" s="17"/>
      <c r="DI12" s="17"/>
      <c r="DJ12" s="17"/>
    </row>
    <row r="13" spans="1:114">
      <c r="A13" s="9" t="s">
        <v>34</v>
      </c>
      <c r="B13" s="10"/>
      <c r="C13" s="10"/>
      <c r="D13" s="10"/>
      <c r="E13" s="10"/>
      <c r="G13" s="9" t="s">
        <v>34</v>
      </c>
      <c r="H13" s="10"/>
      <c r="I13" s="10"/>
      <c r="J13" s="10"/>
      <c r="K13" s="10"/>
      <c r="M13" s="9" t="s">
        <v>34</v>
      </c>
      <c r="N13" s="10">
        <f t="shared" ca="1" si="2"/>
        <v>2</v>
      </c>
      <c r="O13" s="9">
        <f ca="1">RANDBETWEEN(2,12)</f>
        <v>2</v>
      </c>
      <c r="P13" s="9">
        <f>55+B31</f>
        <v>55</v>
      </c>
      <c r="Q13" s="10">
        <f t="shared" ca="1" si="3"/>
        <v>1</v>
      </c>
      <c r="S13" s="9" t="s">
        <v>30</v>
      </c>
      <c r="T13" s="10">
        <f t="shared" ca="1" si="4"/>
        <v>20</v>
      </c>
      <c r="U13" s="9">
        <f ca="1">RANDBETWEEN(2,20)</f>
        <v>20</v>
      </c>
      <c r="V13" s="9">
        <f>50+B31</f>
        <v>50</v>
      </c>
      <c r="W13" s="10">
        <f t="shared" ca="1" si="5"/>
        <v>16</v>
      </c>
      <c r="Y13" s="9">
        <v>4</v>
      </c>
      <c r="Z13" s="72" t="s">
        <v>35</v>
      </c>
      <c r="AA13" s="72"/>
      <c r="AB13" s="29"/>
      <c r="AC13" s="9">
        <v>4</v>
      </c>
      <c r="AD13" s="30" t="s">
        <v>23</v>
      </c>
      <c r="AF13" s="9">
        <v>3</v>
      </c>
      <c r="AG13" s="25" t="s">
        <v>36</v>
      </c>
      <c r="AI13" s="10">
        <v>4</v>
      </c>
      <c r="AJ13" s="25" t="s">
        <v>378</v>
      </c>
      <c r="AK13" s="17"/>
      <c r="AM13" s="25">
        <v>4</v>
      </c>
      <c r="AN13" s="25" t="s">
        <v>391</v>
      </c>
      <c r="AO13" s="17"/>
      <c r="AP13" s="25">
        <v>4</v>
      </c>
      <c r="AQ13" s="25" t="s">
        <v>432</v>
      </c>
      <c r="AR13" s="17"/>
      <c r="AS13" s="25">
        <v>4</v>
      </c>
      <c r="AT13" s="25" t="s">
        <v>480</v>
      </c>
      <c r="AU13" s="17"/>
      <c r="AV13" s="25">
        <v>4</v>
      </c>
      <c r="AW13" s="25" t="s">
        <v>539</v>
      </c>
      <c r="AX13" s="26"/>
      <c r="AY13" s="27">
        <v>3</v>
      </c>
      <c r="AZ13" s="17" t="str">
        <f t="shared" ca="1" si="11"/>
        <v>Cotte de mailles (+1)</v>
      </c>
      <c r="BA13" s="17" t="s">
        <v>605</v>
      </c>
      <c r="BB13" s="17">
        <f t="shared" ca="1" si="12"/>
        <v>9</v>
      </c>
      <c r="BC13" s="17" t="str">
        <f t="shared" ca="1" si="13"/>
        <v xml:space="preserve"> (+1)</v>
      </c>
      <c r="BD13" s="17">
        <v>4</v>
      </c>
      <c r="BE13" s="28" t="s">
        <v>33</v>
      </c>
      <c r="BF13" s="17"/>
      <c r="BG13" s="68"/>
      <c r="BH13" s="27">
        <v>3</v>
      </c>
      <c r="BI13" s="25" t="str">
        <f t="shared" ca="1" si="14"/>
        <v>Flèches (2d6) (+3)</v>
      </c>
      <c r="BJ13" s="17" t="s">
        <v>634</v>
      </c>
      <c r="BK13" s="17" t="str">
        <f t="shared" ca="1" si="15"/>
        <v xml:space="preserve"> (+3)</v>
      </c>
      <c r="BL13">
        <f t="shared" ca="1" si="16"/>
        <v>16</v>
      </c>
      <c r="BM13">
        <v>3</v>
      </c>
      <c r="BN13" s="26" t="s">
        <v>33</v>
      </c>
      <c r="BS13" s="24"/>
      <c r="BU13" s="10">
        <v>9</v>
      </c>
      <c r="BV13" s="9" t="s">
        <v>738</v>
      </c>
      <c r="BW13">
        <v>42</v>
      </c>
      <c r="BX13" s="27" t="str">
        <f>BV47</f>
        <v>Baguettes</v>
      </c>
      <c r="BY13" s="17">
        <f ca="1">RANDBETWEEN(1,20)</f>
        <v>9</v>
      </c>
      <c r="BZ13" s="37" t="str">
        <f ca="1">VLOOKUP(BY13,$AI$56:$AJ$75,2,FALSE())</f>
        <v>Baguette d'Illusion (magicien) 33 Charges</v>
      </c>
      <c r="CA13" s="17"/>
      <c r="CB13" s="27" t="str">
        <f t="shared" si="6"/>
        <v>Baguettes</v>
      </c>
      <c r="CC13" s="17">
        <f ca="1">RANDBETWEEN(1,20)</f>
        <v>19</v>
      </c>
      <c r="CD13" s="37" t="str">
        <f ca="1">VLOOKUP(CC13,$AI$56:$AJ$75,2,FALSE())</f>
        <v>Baguette Prodigieuse 13 Charges</v>
      </c>
      <c r="CE13" s="17"/>
      <c r="CF13" s="27" t="str">
        <f t="shared" si="7"/>
        <v>Baguettes</v>
      </c>
      <c r="CG13" s="17">
        <f ca="1">RANDBETWEEN(1,20)</f>
        <v>2</v>
      </c>
      <c r="CH13" s="37" t="str">
        <f ca="1">VLOOKUP(CG13,$AI$56:$AJ$75,2,FALSE())</f>
        <v>Baguette de Terre et pierre 63 Charges</v>
      </c>
      <c r="CI13" s="17"/>
      <c r="CJ13" s="27" t="str">
        <f t="shared" si="8"/>
        <v>Baguettes</v>
      </c>
      <c r="CK13" s="17">
        <f ca="1">RANDBETWEEN(1,20)</f>
        <v>14</v>
      </c>
      <c r="CL13" s="37" t="str">
        <f ca="1">VLOOKUP(CK13,$AI$56:$AJ$75,2,FALSE())</f>
        <v>Baguette de Négation 63 Charges</v>
      </c>
      <c r="CM13" s="17"/>
      <c r="CN13" s="27" t="str">
        <f t="shared" si="9"/>
        <v>Baguettes</v>
      </c>
      <c r="CO13" s="17">
        <f ca="1">RANDBETWEEN(1,20)</f>
        <v>16</v>
      </c>
      <c r="CP13" s="37" t="str">
        <f ca="1">VLOOKUP(CO13,$AI$56:$AJ$75,2,FALSE())</f>
        <v>Baguette de Métamorphose (magicien) 61 Charges</v>
      </c>
      <c r="CQ13" s="17"/>
      <c r="CR13" s="27" t="str">
        <f t="shared" si="10"/>
        <v>Baguettes</v>
      </c>
      <c r="CS13" s="17">
        <f ca="1">RANDBETWEEN(1,20)</f>
        <v>16</v>
      </c>
      <c r="CT13" s="37" t="str">
        <f ca="1">VLOOKUP(CS13,$AI$56:$AJ$75,2,FALSE())</f>
        <v>Baguette de Métamorphose (magicien) 61 Charges</v>
      </c>
      <c r="DH13" s="17"/>
      <c r="DI13" s="17"/>
      <c r="DJ13" s="17"/>
    </row>
    <row r="14" spans="1:114">
      <c r="A14" s="9" t="s">
        <v>39</v>
      </c>
      <c r="B14" s="10">
        <f ca="1">IF(E14&lt;=D14,C15,0)</f>
        <v>0</v>
      </c>
      <c r="C14" s="9">
        <f ca="1">RANDBETWEEN(3,24)</f>
        <v>13</v>
      </c>
      <c r="D14" s="10">
        <v>100</v>
      </c>
      <c r="E14" s="10">
        <f ca="1">RANDBETWEEN(1,100)</f>
        <v>12</v>
      </c>
      <c r="G14" s="9" t="s">
        <v>39</v>
      </c>
      <c r="H14" s="10"/>
      <c r="I14" s="9"/>
      <c r="J14" s="10"/>
      <c r="K14" s="10"/>
      <c r="M14" s="9" t="s">
        <v>39</v>
      </c>
      <c r="N14" s="10"/>
      <c r="O14" s="9"/>
      <c r="P14" s="10"/>
      <c r="Q14" s="10"/>
      <c r="S14" s="9" t="s">
        <v>34</v>
      </c>
      <c r="T14" s="10">
        <f t="shared" ca="1" si="4"/>
        <v>3</v>
      </c>
      <c r="U14" s="9">
        <f ca="1">RANDBETWEEN(2,8)</f>
        <v>3</v>
      </c>
      <c r="V14" s="9">
        <f>55+B31</f>
        <v>55</v>
      </c>
      <c r="W14" s="10">
        <f t="shared" ca="1" si="5"/>
        <v>50</v>
      </c>
      <c r="Y14" s="9">
        <v>5</v>
      </c>
      <c r="Z14" s="72" t="s">
        <v>40</v>
      </c>
      <c r="AA14" s="72"/>
      <c r="AB14" s="29"/>
      <c r="AC14" s="9">
        <v>5</v>
      </c>
      <c r="AD14" s="30" t="s">
        <v>23</v>
      </c>
      <c r="AF14" s="9">
        <v>4</v>
      </c>
      <c r="AG14" s="25" t="s">
        <v>36</v>
      </c>
      <c r="AI14" s="10">
        <v>5</v>
      </c>
      <c r="AJ14" s="25" t="s">
        <v>388</v>
      </c>
      <c r="AK14" s="17"/>
      <c r="AM14" s="25">
        <v>5</v>
      </c>
      <c r="AN14" s="25" t="s">
        <v>392</v>
      </c>
      <c r="AO14" s="17"/>
      <c r="AP14" s="25">
        <v>5</v>
      </c>
      <c r="AQ14" s="25" t="s">
        <v>433</v>
      </c>
      <c r="AR14" s="17"/>
      <c r="AS14" s="25">
        <v>5</v>
      </c>
      <c r="AT14" s="25" t="s">
        <v>480</v>
      </c>
      <c r="AU14" s="17"/>
      <c r="AV14" s="25">
        <v>5</v>
      </c>
      <c r="AW14" s="25" t="s">
        <v>540</v>
      </c>
      <c r="AX14" s="26"/>
      <c r="AY14" s="27">
        <v>4</v>
      </c>
      <c r="AZ14" s="17" t="str">
        <f t="shared" ca="1" si="11"/>
        <v>Cotte de mailles (+1)</v>
      </c>
      <c r="BA14" s="17" t="s">
        <v>605</v>
      </c>
      <c r="BB14" s="17">
        <f t="shared" ca="1" si="12"/>
        <v>6</v>
      </c>
      <c r="BC14" s="17" t="str">
        <f t="shared" ca="1" si="13"/>
        <v xml:space="preserve"> (+1)</v>
      </c>
      <c r="BD14" s="17">
        <v>5</v>
      </c>
      <c r="BE14" s="28" t="s">
        <v>33</v>
      </c>
      <c r="BF14" s="17"/>
      <c r="BH14" s="27">
        <v>4</v>
      </c>
      <c r="BI14" s="25" t="str">
        <f t="shared" ca="1" si="14"/>
        <v>Hache (+4)</v>
      </c>
      <c r="BJ14" s="17" t="s">
        <v>41</v>
      </c>
      <c r="BK14" s="17" t="str">
        <f t="shared" ca="1" si="15"/>
        <v xml:space="preserve"> (+4)</v>
      </c>
      <c r="BL14">
        <f t="shared" ca="1" si="16"/>
        <v>18</v>
      </c>
      <c r="BM14">
        <v>4</v>
      </c>
      <c r="BN14" s="26" t="s">
        <v>33</v>
      </c>
      <c r="BS14" s="24"/>
      <c r="BU14" s="10">
        <v>10</v>
      </c>
      <c r="BV14" s="9" t="s">
        <v>738</v>
      </c>
      <c r="BW14">
        <v>45</v>
      </c>
      <c r="BX14" s="27" t="str">
        <f>BV50</f>
        <v>Livres et grimoires</v>
      </c>
      <c r="BY14" s="17">
        <f ca="1">RANDBETWEEN(1,20)</f>
        <v>20</v>
      </c>
      <c r="BZ14" s="37" t="str">
        <f ca="1">VLOOKUP(BY14,$AM$10:$AN$29,2,FALSE())</f>
        <v>Livre au choix du MD</v>
      </c>
      <c r="CA14" s="17"/>
      <c r="CB14" s="27" t="str">
        <f t="shared" si="6"/>
        <v>Livres et grimoires</v>
      </c>
      <c r="CC14" s="17">
        <f ca="1">RANDBETWEEN(1,20)</f>
        <v>6</v>
      </c>
      <c r="CD14" s="37" t="str">
        <f ca="1">VLOOKUP(CC14,$AM$10:$AN$29,2,FALSE())</f>
        <v>Livre des viles ténèbres</v>
      </c>
      <c r="CE14" s="17"/>
      <c r="CF14" s="27" t="str">
        <f t="shared" si="7"/>
        <v>Livres et grimoires</v>
      </c>
      <c r="CG14" s="17">
        <f ca="1">RANDBETWEEN(1,20)</f>
        <v>7</v>
      </c>
      <c r="CH14" s="37" t="str">
        <f ca="1">VLOOKUP(CG14,$AM$10:$AN$29,2,FALSE())</f>
        <v>Grimoire d'inappréciable conjuration</v>
      </c>
      <c r="CI14" s="17"/>
      <c r="CJ14" s="27" t="str">
        <f t="shared" si="8"/>
        <v>Livres et grimoires</v>
      </c>
      <c r="CK14" s="17">
        <f ca="1">RANDBETWEEN(1,20)</f>
        <v>8</v>
      </c>
      <c r="CL14" s="37" t="str">
        <f ca="1">VLOOKUP(CK14,$AM$10:$AN$29,2,FALSE())</f>
        <v>Grimoire d'ineffable damnation</v>
      </c>
      <c r="CM14" s="17"/>
      <c r="CN14" s="27" t="str">
        <f t="shared" si="9"/>
        <v>Livres et grimoires</v>
      </c>
      <c r="CO14" s="17">
        <f ca="1">RANDBETWEEN(1,20)</f>
        <v>10</v>
      </c>
      <c r="CP14" s="37" t="str">
        <f ca="1">VLOOKUP(CO14,$AM$10:$AN$29,2,FALSE())</f>
        <v>Manuel de santé corporelle</v>
      </c>
      <c r="CQ14" s="17"/>
      <c r="CR14" s="27" t="str">
        <f t="shared" si="10"/>
        <v>Livres et grimoires</v>
      </c>
      <c r="CS14" s="17">
        <f ca="1">RANDBETWEEN(1,20)</f>
        <v>5</v>
      </c>
      <c r="CT14" s="37" t="str">
        <f ca="1">VLOOKUP(CS14,$AM$10:$AN$29,2,FALSE())</f>
        <v>Livre de sorts infinis</v>
      </c>
      <c r="CV14" s="25">
        <v>1</v>
      </c>
      <c r="CW14" s="70" t="s">
        <v>734</v>
      </c>
      <c r="CX14" s="25"/>
      <c r="CY14" s="17"/>
      <c r="CZ14" s="25">
        <v>4</v>
      </c>
      <c r="DA14" s="70" t="s">
        <v>734</v>
      </c>
      <c r="DB14" s="25"/>
      <c r="DH14" s="17"/>
      <c r="DI14" s="17"/>
      <c r="DJ14" s="17"/>
    </row>
    <row r="15" spans="1:114">
      <c r="A15" s="9" t="s">
        <v>42</v>
      </c>
      <c r="B15" s="10"/>
      <c r="C15" s="9"/>
      <c r="D15" s="10"/>
      <c r="E15" s="10"/>
      <c r="G15" s="9" t="s">
        <v>42</v>
      </c>
      <c r="H15" s="10">
        <f ca="1">IF(K15&lt;=J15,I15,0)</f>
        <v>12</v>
      </c>
      <c r="I15" s="9">
        <f ca="1">RANDBETWEEN(3,18)</f>
        <v>12</v>
      </c>
      <c r="J15" s="10">
        <v>100</v>
      </c>
      <c r="K15" s="10"/>
      <c r="M15" s="9" t="s">
        <v>42</v>
      </c>
      <c r="N15" s="10"/>
      <c r="O15" s="9"/>
      <c r="P15" s="10"/>
      <c r="Q15" s="10"/>
      <c r="S15" s="9" t="s">
        <v>39</v>
      </c>
      <c r="T15" s="10"/>
      <c r="U15" s="9"/>
      <c r="V15" s="10"/>
      <c r="W15" s="10"/>
      <c r="Y15" s="9">
        <v>6</v>
      </c>
      <c r="Z15" s="72" t="s">
        <v>40</v>
      </c>
      <c r="AA15" s="72"/>
      <c r="AB15" s="29"/>
      <c r="AC15" s="9">
        <v>6</v>
      </c>
      <c r="AD15" s="30" t="s">
        <v>23</v>
      </c>
      <c r="AF15" s="9">
        <v>5</v>
      </c>
      <c r="AG15" s="25" t="s">
        <v>43</v>
      </c>
      <c r="AI15" s="10">
        <v>6</v>
      </c>
      <c r="AJ15" s="32" t="s">
        <v>386</v>
      </c>
      <c r="AK15" s="17"/>
      <c r="AM15" s="25">
        <v>6</v>
      </c>
      <c r="AN15" s="25" t="s">
        <v>394</v>
      </c>
      <c r="AO15" s="17"/>
      <c r="AP15" s="25">
        <v>6</v>
      </c>
      <c r="AQ15" s="25" t="s">
        <v>434</v>
      </c>
      <c r="AR15" s="17"/>
      <c r="AS15" s="25">
        <v>6</v>
      </c>
      <c r="AT15" s="25" t="s">
        <v>480</v>
      </c>
      <c r="AU15" s="17"/>
      <c r="AV15" s="25">
        <v>6</v>
      </c>
      <c r="AW15" s="25" t="s">
        <v>541</v>
      </c>
      <c r="AX15" s="26"/>
      <c r="AY15" s="27">
        <v>5</v>
      </c>
      <c r="AZ15" s="17" t="str">
        <f t="shared" ca="1" si="11"/>
        <v>Cotte de mailles (+4)</v>
      </c>
      <c r="BA15" s="17" t="s">
        <v>605</v>
      </c>
      <c r="BB15" s="17">
        <f t="shared" ca="1" si="12"/>
        <v>18</v>
      </c>
      <c r="BC15" s="17" t="str">
        <f t="shared" ca="1" si="13"/>
        <v xml:space="preserve"> (+4)</v>
      </c>
      <c r="BD15" s="17">
        <v>6</v>
      </c>
      <c r="BE15" s="28" t="s">
        <v>33</v>
      </c>
      <c r="BF15" s="17"/>
      <c r="BH15" s="27">
        <v>5</v>
      </c>
      <c r="BI15" s="25" t="str">
        <f t="shared" ca="1" si="14"/>
        <v>Hache (-1)</v>
      </c>
      <c r="BJ15" s="17" t="s">
        <v>41</v>
      </c>
      <c r="BK15" s="17" t="str">
        <f t="shared" ca="1" si="15"/>
        <v xml:space="preserve"> (-1)</v>
      </c>
      <c r="BL15">
        <f t="shared" ca="1" si="16"/>
        <v>2</v>
      </c>
      <c r="BM15">
        <v>5</v>
      </c>
      <c r="BN15" s="26" t="s">
        <v>33</v>
      </c>
      <c r="BS15" s="24"/>
      <c r="BU15" s="10">
        <v>11</v>
      </c>
      <c r="BV15" s="9" t="s">
        <v>738</v>
      </c>
      <c r="BW15">
        <v>46</v>
      </c>
      <c r="BX15" s="27" t="str">
        <f>BV51</f>
        <v>Joyaux et bijoux</v>
      </c>
      <c r="BY15" s="17">
        <f ca="1">RANDBETWEEN(1,40)</f>
        <v>4</v>
      </c>
      <c r="BZ15" s="37" t="str">
        <f ca="1">VLOOKUP(BY15,$AM$33:$AN$72,2,FALSE())</f>
        <v>Amulette d'Immunité à la Détection</v>
      </c>
      <c r="CA15" s="17"/>
      <c r="CB15" s="27" t="str">
        <f t="shared" si="6"/>
        <v>Joyaux et bijoux</v>
      </c>
      <c r="CC15" s="17">
        <f ca="1">RANDBETWEEN(1,40)</f>
        <v>33</v>
      </c>
      <c r="CD15" s="37" t="str">
        <f ca="1">VLOOKUP(CC15,$AM$33:$AN$72,2,FALSE())</f>
        <v>Broche de folie</v>
      </c>
      <c r="CE15" s="17"/>
      <c r="CF15" s="27" t="str">
        <f t="shared" si="7"/>
        <v>Joyaux et bijoux</v>
      </c>
      <c r="CG15" s="17">
        <f ca="1">RANDBETWEEN(1,40)</f>
        <v>7</v>
      </c>
      <c r="CH15" s="37" t="str">
        <f ca="1">VLOOKUP(CG15,$AM$33:$AN$72,2,FALSE())</f>
        <v>Broche de Protection</v>
      </c>
      <c r="CI15" s="17"/>
      <c r="CJ15" s="27" t="str">
        <f t="shared" si="8"/>
        <v>Joyaux et bijoux</v>
      </c>
      <c r="CK15" s="17">
        <f ca="1">RANDBETWEEN(1,40)</f>
        <v>32</v>
      </c>
      <c r="CL15" s="37" t="str">
        <f ca="1">VLOOKUP(CK15,$AM$33:$AN$72,2,FALSE())</f>
        <v>Broche de rage ennemie</v>
      </c>
      <c r="CM15" s="17"/>
      <c r="CN15" s="27" t="str">
        <f t="shared" si="9"/>
        <v>Joyaux et bijoux</v>
      </c>
      <c r="CO15" s="17">
        <f ca="1">RANDBETWEEN(1,40)</f>
        <v>14</v>
      </c>
      <c r="CP15" s="37" t="str">
        <f ca="1">VLOOKUP(CO15,$AM$33:$AN$72,2,FALSE())</f>
        <v>Médaillon de Projection des Pensées</v>
      </c>
      <c r="CQ15" s="17"/>
      <c r="CR15" s="27" t="str">
        <f t="shared" si="10"/>
        <v>Joyaux et bijoux</v>
      </c>
      <c r="CS15" s="17">
        <f ca="1">RANDBETWEEN(1,40)</f>
        <v>37</v>
      </c>
      <c r="CT15" s="37" t="str">
        <f ca="1">VLOOKUP(CS15,$AM$33:$AN$72,2,FALSE())</f>
        <v>Talisman des sphères (magicien)</v>
      </c>
      <c r="CV15" s="25" t="s">
        <v>738</v>
      </c>
      <c r="CW15" s="25">
        <f ca="1">RANDBETWEEN(1,60)</f>
        <v>42</v>
      </c>
      <c r="CX15" s="25" t="str">
        <f ca="1">VLOOKUP(CW15,$Y$10:$AA$69,2,FALSE())</f>
        <v>Philtre de faconde</v>
      </c>
      <c r="CY15" s="17"/>
      <c r="CZ15" s="25" t="s">
        <v>738</v>
      </c>
      <c r="DA15" s="25">
        <f ca="1">RANDBETWEEN(1,60)</f>
        <v>43</v>
      </c>
      <c r="DB15" s="25" t="str">
        <f ca="1">VLOOKUP(DA15,$Y$10:$AA$69,2,FALSE())</f>
        <v>Philtre d'amour</v>
      </c>
      <c r="DH15" s="17"/>
      <c r="DI15" s="17"/>
      <c r="DJ15" s="17"/>
    </row>
    <row r="16" spans="1:114">
      <c r="A16" s="9" t="s">
        <v>44</v>
      </c>
      <c r="B16" s="10"/>
      <c r="C16" s="9"/>
      <c r="D16" s="10"/>
      <c r="E16" s="10"/>
      <c r="G16" s="9" t="s">
        <v>44</v>
      </c>
      <c r="H16" s="10"/>
      <c r="I16" s="9"/>
      <c r="J16" s="10"/>
      <c r="K16" s="10"/>
      <c r="M16" s="9" t="s">
        <v>44</v>
      </c>
      <c r="N16" s="10"/>
      <c r="O16" s="9"/>
      <c r="P16" s="10"/>
      <c r="Q16" s="10"/>
      <c r="S16" s="9" t="s">
        <v>42</v>
      </c>
      <c r="T16" s="10"/>
      <c r="U16" s="9"/>
      <c r="V16" s="10"/>
      <c r="W16" s="10"/>
      <c r="Y16" s="9">
        <v>7</v>
      </c>
      <c r="Z16" s="72" t="s">
        <v>758</v>
      </c>
      <c r="AA16" s="72"/>
      <c r="AB16" s="29"/>
      <c r="AC16" s="9">
        <v>7</v>
      </c>
      <c r="AD16" s="30" t="s">
        <v>45</v>
      </c>
      <c r="AF16" s="9">
        <v>6</v>
      </c>
      <c r="AG16" s="25" t="s">
        <v>43</v>
      </c>
      <c r="AI16" s="10">
        <v>7</v>
      </c>
      <c r="AJ16" s="25" t="s">
        <v>386</v>
      </c>
      <c r="AK16" s="17"/>
      <c r="AM16" s="25">
        <v>7</v>
      </c>
      <c r="AN16" s="25" t="s">
        <v>393</v>
      </c>
      <c r="AO16" s="17"/>
      <c r="AP16" s="25">
        <v>7</v>
      </c>
      <c r="AQ16" s="25" t="s">
        <v>434</v>
      </c>
      <c r="AR16" s="17"/>
      <c r="AS16" s="25">
        <v>7</v>
      </c>
      <c r="AT16" s="25" t="s">
        <v>480</v>
      </c>
      <c r="AU16" s="17"/>
      <c r="AV16" s="25">
        <v>7</v>
      </c>
      <c r="AW16" s="25" t="s">
        <v>542</v>
      </c>
      <c r="AX16" s="26"/>
      <c r="AY16" s="27">
        <v>6</v>
      </c>
      <c r="AZ16" s="17" t="str">
        <f t="shared" ca="1" si="11"/>
        <v>Harnois (-1)</v>
      </c>
      <c r="BA16" s="17" t="s">
        <v>601</v>
      </c>
      <c r="BB16" s="17">
        <f t="shared" ca="1" si="12"/>
        <v>1</v>
      </c>
      <c r="BC16" s="17" t="str">
        <f t="shared" ca="1" si="13"/>
        <v xml:space="preserve"> (-1)</v>
      </c>
      <c r="BD16" s="17">
        <v>7</v>
      </c>
      <c r="BE16" s="28" t="s">
        <v>33</v>
      </c>
      <c r="BF16" s="17"/>
      <c r="BH16" s="27">
        <v>6</v>
      </c>
      <c r="BI16" s="25" t="str">
        <f t="shared" ca="1" si="14"/>
        <v>Hache de bataille (+1)</v>
      </c>
      <c r="BJ16" s="17" t="s">
        <v>635</v>
      </c>
      <c r="BK16" s="17" t="str">
        <f t="shared" ca="1" si="15"/>
        <v xml:space="preserve"> (+1)</v>
      </c>
      <c r="BL16">
        <f t="shared" ca="1" si="16"/>
        <v>9</v>
      </c>
      <c r="BM16">
        <v>6</v>
      </c>
      <c r="BN16" s="26" t="s">
        <v>33</v>
      </c>
      <c r="BS16" s="24"/>
      <c r="BU16" s="10">
        <v>12</v>
      </c>
      <c r="BV16" s="9" t="s">
        <v>738</v>
      </c>
      <c r="BW16">
        <v>48</v>
      </c>
      <c r="BX16" s="27" t="str">
        <f>BV53</f>
        <v>Capes et robes</v>
      </c>
      <c r="BY16" s="17">
        <f t="shared" ref="BY16:BY22" ca="1" si="17">RANDBETWEEN(1,20)</f>
        <v>6</v>
      </c>
      <c r="BZ16" s="37" t="str">
        <f ca="1">VLOOKUP(BY16,$AP$10:$AQ$29,2,FALSE())</f>
        <v>Cape de protection</v>
      </c>
      <c r="CA16" s="17"/>
      <c r="CB16" s="27" t="str">
        <f t="shared" si="6"/>
        <v>Capes et robes</v>
      </c>
      <c r="CC16" s="17">
        <f t="shared" ref="CC16:CC22" ca="1" si="18">RANDBETWEEN(1,20)</f>
        <v>8</v>
      </c>
      <c r="CD16" s="37" t="str">
        <f ca="1">VLOOKUP(CC16,$AP$10:$AQ$29,2,FALSE())</f>
        <v>Cape de protection</v>
      </c>
      <c r="CE16" s="17"/>
      <c r="CF16" s="27" t="str">
        <f t="shared" si="7"/>
        <v>Capes et robes</v>
      </c>
      <c r="CG16" s="17">
        <f t="shared" ref="CG16:CG22" ca="1" si="19">RANDBETWEEN(1,20)</f>
        <v>20</v>
      </c>
      <c r="CH16" s="37" t="str">
        <f ca="1">VLOOKUP(CG16,$AP$10:$AQ$29,2,FALSE())</f>
        <v>Cape ou Robe choix du MD</v>
      </c>
      <c r="CI16" s="17"/>
      <c r="CJ16" s="27" t="str">
        <f t="shared" si="8"/>
        <v>Capes et robes</v>
      </c>
      <c r="CK16" s="17">
        <f t="shared" ref="CK16:CK22" ca="1" si="20">RANDBETWEEN(1,20)</f>
        <v>18</v>
      </c>
      <c r="CL16" s="37" t="str">
        <f ca="1">VLOOKUP(CK16,$AP$10:$AQ$29,2,FALSE())</f>
        <v>Robe d'utilité (magicien)</v>
      </c>
      <c r="CM16" s="17"/>
      <c r="CN16" s="27" t="str">
        <f t="shared" si="9"/>
        <v>Capes et robes</v>
      </c>
      <c r="CO16" s="17">
        <f t="shared" ref="CO16:CO22" ca="1" si="21">RANDBETWEEN(1,20)</f>
        <v>7</v>
      </c>
      <c r="CP16" s="37" t="str">
        <f ca="1">VLOOKUP(CO16,$AP$10:$AQ$29,2,FALSE())</f>
        <v>Cape de protection</v>
      </c>
      <c r="CQ16" s="17"/>
      <c r="CR16" s="27" t="str">
        <f t="shared" si="10"/>
        <v>Capes et robes</v>
      </c>
      <c r="CS16" s="17">
        <f t="shared" ref="CS16:CS22" ca="1" si="22">RANDBETWEEN(1,20)</f>
        <v>7</v>
      </c>
      <c r="CT16" s="37" t="str">
        <f ca="1">VLOOKUP(CS16,$AP$10:$AQ$29,2,FALSE())</f>
        <v>Cape de protection</v>
      </c>
      <c r="CV16" s="25" t="s">
        <v>18</v>
      </c>
      <c r="CW16" s="25">
        <f ca="1">RANDBETWEEN(1,45)</f>
        <v>28</v>
      </c>
      <c r="CX16" s="25" t="str">
        <f ca="1">VLOOKUP(CW16,$AC$10:$AD$54,2,FALSE())</f>
        <v>Protection contre le froid</v>
      </c>
      <c r="CY16" s="17"/>
      <c r="CZ16" s="25" t="s">
        <v>18</v>
      </c>
      <c r="DA16" s="25">
        <f ca="1">RANDBETWEEN(1,45)</f>
        <v>41</v>
      </c>
      <c r="DB16" s="25" t="str">
        <f ca="1">VLOOKUP(DA16,$AC$10:$AD$54,2,FALSE())</f>
        <v>Protection contre la possession</v>
      </c>
      <c r="DH16" s="17"/>
      <c r="DI16" s="17"/>
      <c r="DJ16" s="17"/>
    </row>
    <row r="17" spans="1:118">
      <c r="A17" s="9" t="s">
        <v>47</v>
      </c>
      <c r="B17" s="10"/>
      <c r="C17" s="10"/>
      <c r="D17" s="10"/>
      <c r="E17" s="10"/>
      <c r="G17" s="9" t="s">
        <v>47</v>
      </c>
      <c r="H17" s="10"/>
      <c r="I17" s="10"/>
      <c r="J17" s="10"/>
      <c r="K17" s="10"/>
      <c r="M17" s="9" t="s">
        <v>47</v>
      </c>
      <c r="N17" s="10"/>
      <c r="O17" s="9"/>
      <c r="P17" s="10"/>
      <c r="Q17" s="10"/>
      <c r="S17" s="9" t="s">
        <v>44</v>
      </c>
      <c r="T17" s="10"/>
      <c r="U17" s="9"/>
      <c r="V17" s="10"/>
      <c r="W17" s="10"/>
      <c r="Y17" s="9">
        <v>8</v>
      </c>
      <c r="Z17" s="72" t="s">
        <v>759</v>
      </c>
      <c r="AA17" s="72"/>
      <c r="AB17" s="29"/>
      <c r="AC17" s="9">
        <v>8</v>
      </c>
      <c r="AD17" s="30" t="s">
        <v>45</v>
      </c>
      <c r="AF17" s="9">
        <v>7</v>
      </c>
      <c r="AG17" s="25" t="s">
        <v>48</v>
      </c>
      <c r="AI17" s="10">
        <v>8</v>
      </c>
      <c r="AJ17" s="25" t="s">
        <v>389</v>
      </c>
      <c r="AK17" s="17"/>
      <c r="AM17" s="25">
        <v>8</v>
      </c>
      <c r="AN17" s="25" t="s">
        <v>395</v>
      </c>
      <c r="AO17" s="17"/>
      <c r="AP17" s="25">
        <v>8</v>
      </c>
      <c r="AQ17" s="25" t="s">
        <v>434</v>
      </c>
      <c r="AR17" s="17"/>
      <c r="AS17" s="25">
        <v>8</v>
      </c>
      <c r="AT17" s="25" t="s">
        <v>481</v>
      </c>
      <c r="AU17" s="17"/>
      <c r="AV17" s="25">
        <v>8</v>
      </c>
      <c r="AW17" s="25" t="s">
        <v>543</v>
      </c>
      <c r="AX17" s="26"/>
      <c r="AY17" s="27">
        <v>7</v>
      </c>
      <c r="AZ17" s="17" t="str">
        <f t="shared" ca="1" si="11"/>
        <v>Harnois plain (+2)</v>
      </c>
      <c r="BA17" s="17" t="s">
        <v>604</v>
      </c>
      <c r="BB17" s="17">
        <f t="shared" ca="1" si="12"/>
        <v>14</v>
      </c>
      <c r="BC17" s="17" t="str">
        <f t="shared" ca="1" si="13"/>
        <v xml:space="preserve"> (+2)</v>
      </c>
      <c r="BD17" s="17">
        <v>8</v>
      </c>
      <c r="BE17" s="28" t="s">
        <v>33</v>
      </c>
      <c r="BF17" s="17"/>
      <c r="BG17" s="68"/>
      <c r="BH17" s="27">
        <v>7</v>
      </c>
      <c r="BI17" s="25" t="str">
        <f t="shared" ca="1" si="14"/>
        <v>Carreaux (2d10) (+1)</v>
      </c>
      <c r="BJ17" s="17" t="s">
        <v>637</v>
      </c>
      <c r="BK17" s="17" t="str">
        <f t="shared" ca="1" si="15"/>
        <v xml:space="preserve"> (+1)</v>
      </c>
      <c r="BL17">
        <f t="shared" ca="1" si="16"/>
        <v>8</v>
      </c>
      <c r="BM17">
        <v>7</v>
      </c>
      <c r="BN17" s="26" t="s">
        <v>33</v>
      </c>
      <c r="BS17" s="24"/>
      <c r="BU17" s="10">
        <v>13</v>
      </c>
      <c r="BV17" s="9" t="s">
        <v>738</v>
      </c>
      <c r="BW17">
        <v>50</v>
      </c>
      <c r="BX17" s="27" t="str">
        <f>BV55</f>
        <v>Bottes et gants</v>
      </c>
      <c r="BY17" s="17">
        <f t="shared" ca="1" si="17"/>
        <v>8</v>
      </c>
      <c r="BZ17" s="37" t="str">
        <f ca="1">VLOOKUP(BY17,$AP$33:$AQ$52,2,FALSE())</f>
        <v>Bottes ailées</v>
      </c>
      <c r="CA17" s="17"/>
      <c r="CB17" s="27" t="str">
        <f t="shared" si="6"/>
        <v>Bottes et gants</v>
      </c>
      <c r="CC17" s="17">
        <f t="shared" ca="1" si="18"/>
        <v>5</v>
      </c>
      <c r="CD17" s="37" t="str">
        <f ca="1">VLOOKUP(CC17,$AP$33:$AQ$52,2,FALSE())</f>
        <v>Bottes de sept lieues</v>
      </c>
      <c r="CE17" s="17"/>
      <c r="CF17" s="27" t="str">
        <f t="shared" si="7"/>
        <v>Bottes et gants</v>
      </c>
      <c r="CG17" s="17">
        <f t="shared" ca="1" si="19"/>
        <v>20</v>
      </c>
      <c r="CH17" s="37" t="str">
        <f ca="1">VLOOKUP(CG17,$AP$33:$AQ$52,2,FALSE())</f>
        <v>Botte, bracelet ou gant au choix du MD</v>
      </c>
      <c r="CI17" s="17"/>
      <c r="CJ17" s="27" t="str">
        <f t="shared" si="8"/>
        <v>Bottes et gants</v>
      </c>
      <c r="CK17" s="17">
        <f t="shared" ca="1" si="20"/>
        <v>16</v>
      </c>
      <c r="CL17" s="37" t="str">
        <f ca="1">VLOOKUP(CK17,$AP$33:$AQ$52,2,FALSE())</f>
        <v>Gantelets des ogres (prêtre, roublard, combattant)</v>
      </c>
      <c r="CM17" s="17"/>
      <c r="CN17" s="27" t="str">
        <f t="shared" si="9"/>
        <v>Bottes et gants</v>
      </c>
      <c r="CO17" s="17">
        <f t="shared" ca="1" si="21"/>
        <v>4</v>
      </c>
      <c r="CP17" s="37" t="str">
        <f ca="1">VLOOKUP(CO17,$AP$33:$AQ$52,2,FALSE())</f>
        <v>Bottes de rapidité</v>
      </c>
      <c r="CQ17" s="17"/>
      <c r="CR17" s="27" t="str">
        <f t="shared" si="10"/>
        <v>Bottes et gants</v>
      </c>
      <c r="CS17" s="17">
        <f t="shared" ca="1" si="22"/>
        <v>5</v>
      </c>
      <c r="CT17" s="37" t="str">
        <f ca="1">VLOOKUP(CS17,$AP$33:$AQ$52,2,FALSE())</f>
        <v>Bottes de sept lieues</v>
      </c>
      <c r="CV17" s="25" t="s">
        <v>19</v>
      </c>
      <c r="CW17" s="25">
        <f ca="1">RANDBETWEEN(1,60)</f>
        <v>48</v>
      </c>
      <c r="CX17" s="25" t="str">
        <f ca="1">VLOOKUP(CW17,$AF$11:$AG$70,2,FALSE())</f>
        <v>Anneau de Retour des Sorts</v>
      </c>
      <c r="CY17" s="17"/>
      <c r="CZ17" s="25" t="s">
        <v>19</v>
      </c>
      <c r="DA17" s="25">
        <f ca="1">RANDBETWEEN(1,60)</f>
        <v>10</v>
      </c>
      <c r="DB17" s="25" t="str">
        <f ca="1">VLOOKUP(DA17,$AF$11:$AG$70,2,FALSE())</f>
        <v>Anneau de Maladresse</v>
      </c>
      <c r="DH17" s="17"/>
      <c r="DI17" s="17"/>
      <c r="DJ17" s="17"/>
    </row>
    <row r="18" spans="1:118">
      <c r="A18" s="9" t="s">
        <v>50</v>
      </c>
      <c r="B18" s="10"/>
      <c r="C18" s="10"/>
      <c r="D18" s="10"/>
      <c r="E18" s="10"/>
      <c r="G18" s="9" t="s">
        <v>50</v>
      </c>
      <c r="H18" s="10"/>
      <c r="I18" s="10"/>
      <c r="J18" s="10"/>
      <c r="K18" s="10"/>
      <c r="M18" s="9" t="s">
        <v>50</v>
      </c>
      <c r="N18" s="10"/>
      <c r="O18" s="10"/>
      <c r="P18" s="10"/>
      <c r="Q18" s="10"/>
      <c r="S18" s="9" t="s">
        <v>47</v>
      </c>
      <c r="T18" s="10"/>
      <c r="U18" s="9"/>
      <c r="V18" s="10"/>
      <c r="W18" s="10"/>
      <c r="Y18" s="9">
        <v>9</v>
      </c>
      <c r="Z18" s="72" t="s">
        <v>754</v>
      </c>
      <c r="AA18" s="72"/>
      <c r="AB18" s="29"/>
      <c r="AC18" s="9">
        <v>9</v>
      </c>
      <c r="AD18" s="30" t="s">
        <v>45</v>
      </c>
      <c r="AF18" s="9">
        <v>8</v>
      </c>
      <c r="AG18" s="25" t="s">
        <v>48</v>
      </c>
      <c r="AI18" s="10">
        <v>9</v>
      </c>
      <c r="AJ18" s="25" t="s">
        <v>390</v>
      </c>
      <c r="AK18" s="17"/>
      <c r="AM18" s="25">
        <v>9</v>
      </c>
      <c r="AN18" s="25" t="s">
        <v>396</v>
      </c>
      <c r="AO18" s="17"/>
      <c r="AP18" s="25">
        <v>9</v>
      </c>
      <c r="AQ18" s="25" t="s">
        <v>435</v>
      </c>
      <c r="AR18" s="17"/>
      <c r="AS18" s="25">
        <v>9</v>
      </c>
      <c r="AT18" s="25" t="s">
        <v>482</v>
      </c>
      <c r="AU18" s="17"/>
      <c r="AV18" s="25">
        <v>9</v>
      </c>
      <c r="AW18" s="25" t="s">
        <v>544</v>
      </c>
      <c r="AX18" s="26"/>
      <c r="AY18" s="27">
        <v>8</v>
      </c>
      <c r="AZ18" s="17" t="str">
        <f t="shared" ca="1" si="11"/>
        <v>Armure de cuir (+1)</v>
      </c>
      <c r="BA18" s="17" t="s">
        <v>830</v>
      </c>
      <c r="BB18" s="17">
        <f t="shared" ca="1" si="12"/>
        <v>3</v>
      </c>
      <c r="BC18" s="17" t="str">
        <f t="shared" ca="1" si="13"/>
        <v xml:space="preserve"> (+1)</v>
      </c>
      <c r="BD18" s="17">
        <v>9</v>
      </c>
      <c r="BE18" s="28" t="s">
        <v>33</v>
      </c>
      <c r="BF18" s="17"/>
      <c r="BH18" s="27">
        <v>8</v>
      </c>
      <c r="BI18" s="25" t="str">
        <f t="shared" ca="1" si="14"/>
        <v>Carreaux (2d6) (+1)</v>
      </c>
      <c r="BJ18" s="17" t="s">
        <v>636</v>
      </c>
      <c r="BK18" s="17" t="str">
        <f t="shared" ca="1" si="15"/>
        <v xml:space="preserve"> (+1)</v>
      </c>
      <c r="BL18">
        <f t="shared" ca="1" si="16"/>
        <v>5</v>
      </c>
      <c r="BM18">
        <v>8</v>
      </c>
      <c r="BN18" s="26" t="s">
        <v>33</v>
      </c>
      <c r="BS18" s="24"/>
      <c r="BU18" s="10">
        <v>14</v>
      </c>
      <c r="BV18" s="9" t="s">
        <v>738</v>
      </c>
      <c r="BW18">
        <v>52</v>
      </c>
      <c r="BX18" s="27" t="str">
        <f>BV57</f>
        <v>Ceinturons et heaumes</v>
      </c>
      <c r="BY18" s="17">
        <f t="shared" ca="1" si="17"/>
        <v>3</v>
      </c>
      <c r="BZ18" s="37" t="str">
        <f ca="1">VLOOKUP(BY18,$AP$56:$AQ$75,2,FALSE())</f>
        <v>Ceinturon des nains</v>
      </c>
      <c r="CA18" s="17"/>
      <c r="CB18" s="27" t="str">
        <f t="shared" si="6"/>
        <v>Ceinturons et heaumes</v>
      </c>
      <c r="CC18" s="17">
        <f t="shared" ca="1" si="18"/>
        <v>16</v>
      </c>
      <c r="CD18" s="37" t="str">
        <f ca="1">VLOOKUP(CC18,$AP$56:$AQ$75,2,FALSE())</f>
        <v>Heaume de télépathie</v>
      </c>
      <c r="CE18" s="17"/>
      <c r="CF18" s="27" t="str">
        <f t="shared" si="7"/>
        <v>Ceinturons et heaumes</v>
      </c>
      <c r="CG18" s="17">
        <f t="shared" ca="1" si="19"/>
        <v>12</v>
      </c>
      <c r="CH18" s="37" t="str">
        <f ca="1">VLOOKUP(CG18,$AP$56:$AQ$75,2,FALSE())</f>
        <v>Heaume de brillance</v>
      </c>
      <c r="CI18" s="17"/>
      <c r="CJ18" s="27" t="str">
        <f t="shared" si="8"/>
        <v>Ceinturons et heaumes</v>
      </c>
      <c r="CK18" s="17">
        <f t="shared" ca="1" si="20"/>
        <v>18</v>
      </c>
      <c r="CL18" s="37" t="str">
        <f ca="1">VLOOKUP(CK18,$AP$56:$AQ$75,2,FALSE())</f>
        <v>Heaume des eaux</v>
      </c>
      <c r="CM18" s="17"/>
      <c r="CN18" s="27" t="str">
        <f t="shared" si="9"/>
        <v>Ceinturons et heaumes</v>
      </c>
      <c r="CO18" s="17">
        <f t="shared" ca="1" si="21"/>
        <v>17</v>
      </c>
      <c r="CP18" s="37" t="str">
        <f ca="1">VLOOKUP(CO18,$AP$56:$AQ$75,2,FALSE())</f>
        <v>Heaume de téléportation</v>
      </c>
      <c r="CQ18" s="17"/>
      <c r="CR18" s="27" t="str">
        <f t="shared" si="10"/>
        <v>Ceinturons et heaumes</v>
      </c>
      <c r="CS18" s="17">
        <f t="shared" ca="1" si="22"/>
        <v>1</v>
      </c>
      <c r="CT18" s="37" t="str">
        <f ca="1">VLOOKUP(CS18,$AP$56:$AQ$75,2,FALSE())</f>
        <v>Ceinturon des nains</v>
      </c>
      <c r="CV18" s="25" t="s">
        <v>376</v>
      </c>
      <c r="CW18" s="25">
        <f ca="1">RANDBETWEEN(1,20)</f>
        <v>17</v>
      </c>
      <c r="CX18" s="25" t="str">
        <f ca="1">VLOOKUP(CW18,$AI$10:$AJ$29,2,FALSE())</f>
        <v>Sceptre de Splendeur</v>
      </c>
      <c r="CY18" s="17"/>
      <c r="CZ18" s="25" t="s">
        <v>376</v>
      </c>
      <c r="DA18" s="25">
        <f ca="1">RANDBETWEEN(1,20)</f>
        <v>15</v>
      </c>
      <c r="DB18" s="25" t="str">
        <f ca="1">VLOOKUP(DA18,$AI$10:$AJ$29,2,FALSE())</f>
        <v>Sceptre de Châtiment</v>
      </c>
      <c r="DH18" s="17"/>
      <c r="DI18" s="17"/>
      <c r="DJ18" s="17"/>
    </row>
    <row r="19" spans="1:118">
      <c r="A19" s="9" t="s">
        <v>52</v>
      </c>
      <c r="B19" s="10">
        <f ca="1">IF(E19&lt;=D19,C19,0)</f>
        <v>31</v>
      </c>
      <c r="C19" s="9">
        <f ca="1">RANDBETWEEN(10,40)</f>
        <v>31</v>
      </c>
      <c r="D19" s="10">
        <v>100</v>
      </c>
      <c r="E19" s="10">
        <f ca="1">RANDBETWEEN(1,100)</f>
        <v>22</v>
      </c>
      <c r="G19" s="9" t="s">
        <v>52</v>
      </c>
      <c r="H19" s="10">
        <f ca="1">IF(K19&lt;=J19,I19,0)</f>
        <v>15</v>
      </c>
      <c r="I19" s="9">
        <f ca="1">RANDBETWEEN(10,30)</f>
        <v>15</v>
      </c>
      <c r="J19" s="10">
        <v>100</v>
      </c>
      <c r="K19" s="10"/>
      <c r="M19" s="9" t="s">
        <v>52</v>
      </c>
      <c r="N19" s="10"/>
      <c r="O19" s="9"/>
      <c r="P19" s="10"/>
      <c r="Q19" s="10"/>
      <c r="S19" s="9" t="s">
        <v>50</v>
      </c>
      <c r="T19" s="10"/>
      <c r="U19" s="10"/>
      <c r="V19" s="10"/>
      <c r="W19" s="10"/>
      <c r="Y19" s="9">
        <v>10</v>
      </c>
      <c r="Z19" s="72" t="s">
        <v>753</v>
      </c>
      <c r="AA19" s="72"/>
      <c r="AB19" s="29"/>
      <c r="AC19" s="9">
        <v>10</v>
      </c>
      <c r="AD19" s="30" t="s">
        <v>45</v>
      </c>
      <c r="AF19" s="9">
        <v>9</v>
      </c>
      <c r="AG19" s="25" t="s">
        <v>53</v>
      </c>
      <c r="AI19" s="10">
        <v>10</v>
      </c>
      <c r="AJ19" s="25" t="s">
        <v>380</v>
      </c>
      <c r="AK19" s="17"/>
      <c r="AM19" s="25">
        <v>10</v>
      </c>
      <c r="AN19" s="25" t="s">
        <v>397</v>
      </c>
      <c r="AO19" s="17"/>
      <c r="AP19" s="25">
        <v>10</v>
      </c>
      <c r="AQ19" s="25" t="s">
        <v>436</v>
      </c>
      <c r="AR19" s="17"/>
      <c r="AS19" s="25">
        <v>10</v>
      </c>
      <c r="AT19" s="25" t="s">
        <v>483</v>
      </c>
      <c r="AU19" s="17"/>
      <c r="AV19" s="25">
        <v>10</v>
      </c>
      <c r="AW19" s="25" t="s">
        <v>545</v>
      </c>
      <c r="AX19" s="26"/>
      <c r="AY19" s="27">
        <v>9</v>
      </c>
      <c r="AZ19" s="17" t="str">
        <f t="shared" ca="1" si="11"/>
        <v>Armure de plates (+1)</v>
      </c>
      <c r="BA19" s="17" t="s">
        <v>831</v>
      </c>
      <c r="BB19" s="17">
        <f t="shared" ca="1" si="12"/>
        <v>10</v>
      </c>
      <c r="BC19" s="17" t="str">
        <f t="shared" ca="1" si="13"/>
        <v xml:space="preserve"> (+1)</v>
      </c>
      <c r="BD19" s="17">
        <v>10</v>
      </c>
      <c r="BE19" s="28" t="s">
        <v>33</v>
      </c>
      <c r="BF19" s="17"/>
      <c r="BH19" s="27">
        <v>9</v>
      </c>
      <c r="BI19" s="25" t="str">
        <f t="shared" ca="1" si="14"/>
        <v>Billes de fronde (3d4) (+2)</v>
      </c>
      <c r="BJ19" s="17" t="s">
        <v>638</v>
      </c>
      <c r="BK19" s="17" t="str">
        <f t="shared" ca="1" si="15"/>
        <v xml:space="preserve"> (+2)</v>
      </c>
      <c r="BL19">
        <f t="shared" ca="1" si="16"/>
        <v>13</v>
      </c>
      <c r="BM19">
        <v>9</v>
      </c>
      <c r="BN19" s="26" t="s">
        <v>33</v>
      </c>
      <c r="BS19" s="24"/>
      <c r="BU19" s="10">
        <v>15</v>
      </c>
      <c r="BV19" s="9" t="s">
        <v>738</v>
      </c>
      <c r="BW19">
        <v>53</v>
      </c>
      <c r="BX19" s="27" t="str">
        <f>BV58</f>
        <v>Sacs et bouteilles</v>
      </c>
      <c r="BY19" s="17">
        <f t="shared" ca="1" si="17"/>
        <v>16</v>
      </c>
      <c r="BZ19" s="37" t="str">
        <f ca="1">VLOOKUP(BY19,$AS$10:$AT$29,2,FALSE())</f>
        <v>Havresac de Heward</v>
      </c>
      <c r="CA19" s="17"/>
      <c r="CB19" s="27" t="str">
        <f t="shared" si="6"/>
        <v>Sacs et bouteilles</v>
      </c>
      <c r="CC19" s="17">
        <f t="shared" ca="1" si="18"/>
        <v>15</v>
      </c>
      <c r="CD19" s="37" t="str">
        <f ca="1">VLOOKUP(CC19,$AS$10:$AT$29,2,FALSE())</f>
        <v>Flacon de malédiction</v>
      </c>
      <c r="CE19" s="17"/>
      <c r="CF19" s="27" t="str">
        <f t="shared" si="7"/>
        <v>Sacs et bouteilles</v>
      </c>
      <c r="CG19" s="17">
        <f t="shared" ca="1" si="19"/>
        <v>8</v>
      </c>
      <c r="CH19" s="37" t="str">
        <f ca="1">VLOOKUP(CG19,$AS$10:$AT$29,2,FALSE())</f>
        <v>Sac de transmutation</v>
      </c>
      <c r="CI19" s="17"/>
      <c r="CJ19" s="27" t="str">
        <f t="shared" si="8"/>
        <v>Sacs et bouteilles</v>
      </c>
      <c r="CK19" s="17">
        <f t="shared" ca="1" si="20"/>
        <v>9</v>
      </c>
      <c r="CL19" s="37" t="str">
        <f ca="1">VLOOKUP(CK19,$AS$10:$AT$29,2,FALSE())</f>
        <v>Sac à malice</v>
      </c>
      <c r="CM19" s="17"/>
      <c r="CN19" s="27" t="str">
        <f t="shared" si="9"/>
        <v>Sacs et bouteilles</v>
      </c>
      <c r="CO19" s="17">
        <f t="shared" ca="1" si="21"/>
        <v>17</v>
      </c>
      <c r="CP19" s="37" t="str">
        <f ca="1">VLOOKUP(CO19,$AS$10:$AT$29,2,FALSE())</f>
        <v>Flasque de fer</v>
      </c>
      <c r="CQ19" s="17"/>
      <c r="CR19" s="27" t="str">
        <f t="shared" si="10"/>
        <v>Sacs et bouteilles</v>
      </c>
      <c r="CS19" s="17">
        <f t="shared" ca="1" si="22"/>
        <v>4</v>
      </c>
      <c r="CT19" s="37" t="str">
        <f ca="1">VLOOKUP(CS19,$AS$10:$AT$29,2,FALSE())</f>
        <v>Sac sans fond</v>
      </c>
      <c r="CV19" s="25" t="s">
        <v>96</v>
      </c>
      <c r="CW19" s="25">
        <f ca="1">RANDBETWEEN(1,20)</f>
        <v>16</v>
      </c>
      <c r="CX19" s="25" t="str">
        <f ca="1">VLOOKUP(CW19,$AI$33:$AJ$52,2,FALSE())</f>
        <v>Bâton de Foudre et tonerre</v>
      </c>
      <c r="CY19" s="17"/>
      <c r="CZ19" s="25" t="s">
        <v>96</v>
      </c>
      <c r="DA19" s="25">
        <f ca="1">RANDBETWEEN(1,20)</f>
        <v>4</v>
      </c>
      <c r="DB19" s="25" t="str">
        <f ca="1">VLOOKUP(DA19,$AI$33:$AJ$52,2,FALSE())</f>
        <v>Bâton de Contrecoup</v>
      </c>
      <c r="DD19" s="29"/>
      <c r="DE19" s="81" t="s">
        <v>55</v>
      </c>
      <c r="DF19" s="81"/>
      <c r="DG19" s="81"/>
      <c r="DH19" s="29"/>
      <c r="DI19" s="29"/>
      <c r="DK19" s="17" t="s">
        <v>29</v>
      </c>
      <c r="DL19">
        <v>1</v>
      </c>
      <c r="DM19" t="s">
        <v>607</v>
      </c>
      <c r="DN19">
        <v>2</v>
      </c>
    </row>
    <row r="20" spans="1:118">
      <c r="A20" s="9" t="s">
        <v>56</v>
      </c>
      <c r="B20" s="10"/>
      <c r="C20" s="10"/>
      <c r="D20" s="10"/>
      <c r="E20" s="10"/>
      <c r="G20" s="9" t="s">
        <v>56</v>
      </c>
      <c r="H20" s="10">
        <f ca="1">IF(K20&lt;=J20,I20,0)</f>
        <v>19</v>
      </c>
      <c r="I20" s="9">
        <f ca="1">RANDBETWEEN(10,60)</f>
        <v>19</v>
      </c>
      <c r="J20" s="10">
        <v>100</v>
      </c>
      <c r="K20" s="10"/>
      <c r="M20" s="9" t="s">
        <v>56</v>
      </c>
      <c r="N20" s="10"/>
      <c r="O20" s="10"/>
      <c r="P20" s="10"/>
      <c r="Q20" s="10"/>
      <c r="S20" s="9" t="s">
        <v>52</v>
      </c>
      <c r="T20" s="10"/>
      <c r="U20" s="9"/>
      <c r="V20" s="10"/>
      <c r="W20" s="10"/>
      <c r="Y20" s="9">
        <v>11</v>
      </c>
      <c r="Z20" s="72" t="s">
        <v>753</v>
      </c>
      <c r="AA20" s="72"/>
      <c r="AB20" s="29"/>
      <c r="AC20" s="9">
        <v>11</v>
      </c>
      <c r="AD20" s="30" t="s">
        <v>57</v>
      </c>
      <c r="AF20" s="9">
        <v>10</v>
      </c>
      <c r="AG20" s="25" t="s">
        <v>53</v>
      </c>
      <c r="AI20" s="10">
        <v>11</v>
      </c>
      <c r="AJ20" s="25" t="s">
        <v>381</v>
      </c>
      <c r="AK20" s="17"/>
      <c r="AM20" s="25">
        <v>11</v>
      </c>
      <c r="AN20" s="25" t="s">
        <v>398</v>
      </c>
      <c r="AO20" s="17"/>
      <c r="AP20" s="25">
        <v>11</v>
      </c>
      <c r="AQ20" s="25" t="s">
        <v>437</v>
      </c>
      <c r="AR20" s="17"/>
      <c r="AS20" s="25">
        <v>11</v>
      </c>
      <c r="AT20" s="25" t="s">
        <v>484</v>
      </c>
      <c r="AU20" s="17"/>
      <c r="AV20" s="25">
        <v>11</v>
      </c>
      <c r="AW20" s="25" t="s">
        <v>546</v>
      </c>
      <c r="AX20" s="26"/>
      <c r="AY20" s="27">
        <v>10</v>
      </c>
      <c r="AZ20" s="17" t="str">
        <f t="shared" ca="1" si="11"/>
        <v>Armure de plates (+2)</v>
      </c>
      <c r="BA20" s="17" t="s">
        <v>831</v>
      </c>
      <c r="BB20" s="17">
        <f t="shared" ca="1" si="12"/>
        <v>12</v>
      </c>
      <c r="BC20" s="17" t="str">
        <f t="shared" ca="1" si="13"/>
        <v xml:space="preserve"> (+2)</v>
      </c>
      <c r="BD20" s="17">
        <v>11</v>
      </c>
      <c r="BE20" s="28" t="s">
        <v>58</v>
      </c>
      <c r="BF20" s="17"/>
      <c r="BG20" s="68"/>
      <c r="BH20" s="27">
        <v>10</v>
      </c>
      <c r="BI20" s="25" t="str">
        <f t="shared" ca="1" si="14"/>
        <v>Dague (+4)</v>
      </c>
      <c r="BJ20" s="17" t="s">
        <v>59</v>
      </c>
      <c r="BK20" s="17" t="str">
        <f t="shared" ca="1" si="15"/>
        <v xml:space="preserve"> (+4)</v>
      </c>
      <c r="BL20">
        <f t="shared" ca="1" si="16"/>
        <v>19</v>
      </c>
      <c r="BM20">
        <v>10</v>
      </c>
      <c r="BN20" s="26" t="s">
        <v>33</v>
      </c>
      <c r="BS20" s="24"/>
      <c r="BU20" s="10">
        <v>16</v>
      </c>
      <c r="BV20" s="9" t="s">
        <v>738</v>
      </c>
      <c r="BW20">
        <v>55</v>
      </c>
      <c r="BX20" s="27" t="str">
        <f>BV60</f>
        <v>Poudres et pierres</v>
      </c>
      <c r="BY20" s="17">
        <f t="shared" ca="1" si="17"/>
        <v>3</v>
      </c>
      <c r="BZ20" s="37" t="str">
        <f ca="1">VLOOKUP(BY20,$AS$33:$AT$52,2,FALSE())</f>
        <v>Poudre de disparition</v>
      </c>
      <c r="CA20" s="17"/>
      <c r="CB20" s="27" t="str">
        <f t="shared" si="6"/>
        <v>Poudres et pierres</v>
      </c>
      <c r="CC20" s="17">
        <f t="shared" ca="1" si="18"/>
        <v>10</v>
      </c>
      <c r="CD20" s="37" t="str">
        <f ca="1">VLOOKUP(CC20,$AS$33:$AT$52,2,FALSE())</f>
        <v>Pierres ioun</v>
      </c>
      <c r="CE20" s="17"/>
      <c r="CF20" s="27" t="str">
        <f t="shared" si="7"/>
        <v>Poudres et pierres</v>
      </c>
      <c r="CG20" s="17">
        <f t="shared" ca="1" si="19"/>
        <v>2</v>
      </c>
      <c r="CH20" s="37" t="str">
        <f ca="1">VLOOKUP(CG20,$AS$33:$AT$52,2,FALSE())</f>
        <v>Poudre d'apparition</v>
      </c>
      <c r="CI20" s="17"/>
      <c r="CJ20" s="27" t="str">
        <f t="shared" si="8"/>
        <v>Poudres et pierres</v>
      </c>
      <c r="CK20" s="17">
        <f t="shared" ca="1" si="20"/>
        <v>13</v>
      </c>
      <c r="CL20" s="37" t="str">
        <f ca="1">VLOOKUP(CK20,$AS$33:$AT$52,2,FALSE())</f>
        <v>Pierre philosophale</v>
      </c>
      <c r="CM20" s="17"/>
      <c r="CN20" s="27" t="str">
        <f t="shared" si="9"/>
        <v>Poudres et pierres</v>
      </c>
      <c r="CO20" s="17">
        <f t="shared" ca="1" si="21"/>
        <v>8</v>
      </c>
      <c r="CP20" s="37" t="str">
        <f ca="1">VLOOKUP(CO20,$AS$33:$AT$52,2,FALSE())</f>
        <v>Encens de méditation (prêtre)</v>
      </c>
      <c r="CQ20" s="17"/>
      <c r="CR20" s="27" t="str">
        <f t="shared" si="10"/>
        <v>Poudres et pierres</v>
      </c>
      <c r="CS20" s="17">
        <f t="shared" ca="1" si="22"/>
        <v>19</v>
      </c>
      <c r="CT20" s="37" t="str">
        <f ca="1">VLOOKUP(CS20,$AS$33:$AT$52,2,FALSE())</f>
        <v>Solvant universel</v>
      </c>
      <c r="CV20" s="25" t="s">
        <v>38</v>
      </c>
      <c r="CW20" s="25">
        <f ca="1">RANDBETWEEN(1,20)</f>
        <v>11</v>
      </c>
      <c r="CX20" s="25" t="str">
        <f ca="1">VLOOKUP(CW20,$AI$56:$AJ$75,2,FALSE())</f>
        <v>Baguette de Détection de la magie 21 Charges</v>
      </c>
      <c r="CY20" s="17"/>
      <c r="CZ20" s="25" t="s">
        <v>38</v>
      </c>
      <c r="DA20" s="25">
        <f ca="1">RANDBETWEEN(1,20)</f>
        <v>3</v>
      </c>
      <c r="DB20" s="25" t="str">
        <f ca="1">VLOOKUP(DA20,$AI$56:$AJ$75,2,FALSE())</f>
        <v>Baguette de Détection de l'ennemi 17 Charges</v>
      </c>
      <c r="DD20" s="33" t="s">
        <v>734</v>
      </c>
      <c r="DE20" s="81"/>
      <c r="DF20" s="81"/>
      <c r="DG20" s="81"/>
      <c r="DH20" s="9" t="s">
        <v>15</v>
      </c>
      <c r="DI20" s="29"/>
      <c r="DK20" s="17" t="s">
        <v>32</v>
      </c>
      <c r="DL20">
        <v>2</v>
      </c>
      <c r="DM20" s="17" t="s">
        <v>32</v>
      </c>
      <c r="DN20">
        <v>6</v>
      </c>
    </row>
    <row r="21" spans="1:118">
      <c r="A21" s="9" t="s">
        <v>60</v>
      </c>
      <c r="B21" s="10"/>
      <c r="C21" s="10"/>
      <c r="D21" s="10"/>
      <c r="E21" s="10"/>
      <c r="G21" s="9" t="s">
        <v>60</v>
      </c>
      <c r="H21" s="10"/>
      <c r="I21" s="10"/>
      <c r="J21" s="10"/>
      <c r="K21" s="10"/>
      <c r="M21" s="9" t="s">
        <v>60</v>
      </c>
      <c r="N21" s="10">
        <f ca="1">IF(Q21&lt;=P21,O21,0)</f>
        <v>4</v>
      </c>
      <c r="O21" s="9">
        <f ca="1">RANDBETWEEN(1,4)</f>
        <v>4</v>
      </c>
      <c r="P21" s="10">
        <v>100</v>
      </c>
      <c r="Q21" s="10">
        <f ca="1">RANDBETWEEN(1,100)</f>
        <v>56</v>
      </c>
      <c r="S21" s="9" t="s">
        <v>56</v>
      </c>
      <c r="T21" s="10"/>
      <c r="U21" s="10"/>
      <c r="V21" s="10"/>
      <c r="W21" s="10"/>
      <c r="Y21" s="9">
        <v>12</v>
      </c>
      <c r="Z21" s="72" t="s">
        <v>755</v>
      </c>
      <c r="AA21" s="72"/>
      <c r="AB21" s="29"/>
      <c r="AC21" s="9">
        <v>12</v>
      </c>
      <c r="AD21" s="9" t="s">
        <v>61</v>
      </c>
      <c r="AF21" s="9">
        <v>11</v>
      </c>
      <c r="AG21" s="25" t="s">
        <v>62</v>
      </c>
      <c r="AI21" s="10">
        <v>12</v>
      </c>
      <c r="AJ21" s="25" t="s">
        <v>379</v>
      </c>
      <c r="AK21" s="17"/>
      <c r="AM21" s="25">
        <v>12</v>
      </c>
      <c r="AN21" s="25" t="s">
        <v>63</v>
      </c>
      <c r="AO21" s="17"/>
      <c r="AP21" s="25">
        <v>12</v>
      </c>
      <c r="AQ21" s="25" t="s">
        <v>438</v>
      </c>
      <c r="AR21" s="17"/>
      <c r="AS21" s="25">
        <v>12</v>
      </c>
      <c r="AT21" s="25" t="s">
        <v>485</v>
      </c>
      <c r="AU21" s="17"/>
      <c r="AV21" s="25">
        <v>12</v>
      </c>
      <c r="AW21" s="25" t="s">
        <v>547</v>
      </c>
      <c r="AX21" s="26"/>
      <c r="AY21" s="27">
        <v>11</v>
      </c>
      <c r="AZ21" s="17" t="str">
        <f t="shared" ca="1" si="11"/>
        <v>Armure de plates (+3)</v>
      </c>
      <c r="BA21" s="17" t="s">
        <v>831</v>
      </c>
      <c r="BB21" s="17">
        <f t="shared" ca="1" si="12"/>
        <v>17</v>
      </c>
      <c r="BC21" s="17" t="str">
        <f t="shared" ca="1" si="13"/>
        <v xml:space="preserve"> (+3)</v>
      </c>
      <c r="BD21" s="17">
        <v>12</v>
      </c>
      <c r="BE21" s="28" t="s">
        <v>58</v>
      </c>
      <c r="BF21" s="17"/>
      <c r="BG21" s="68"/>
      <c r="BH21" s="27">
        <v>11</v>
      </c>
      <c r="BI21" s="25" t="str">
        <f t="shared" ca="1" si="14"/>
        <v>Dague (+1)</v>
      </c>
      <c r="BJ21" s="17" t="s">
        <v>59</v>
      </c>
      <c r="BK21" s="17" t="str">
        <f t="shared" ca="1" si="15"/>
        <v xml:space="preserve"> (+1)</v>
      </c>
      <c r="BL21">
        <f t="shared" ca="1" si="16"/>
        <v>8</v>
      </c>
      <c r="BM21">
        <v>11</v>
      </c>
      <c r="BN21" s="26" t="s">
        <v>58</v>
      </c>
      <c r="BS21" s="24"/>
      <c r="BU21" s="10">
        <v>17</v>
      </c>
      <c r="BV21" s="9" t="s">
        <v>738</v>
      </c>
      <c r="BW21">
        <v>56</v>
      </c>
      <c r="BX21" s="27" t="str">
        <f>BV61</f>
        <v>Outils et ustensiles ménagers</v>
      </c>
      <c r="BY21" s="17">
        <f t="shared" ca="1" si="17"/>
        <v>12</v>
      </c>
      <c r="BZ21" s="37" t="str">
        <f ca="1">VLOOKUP(BY21,$AS$56:$AT$75,2,FALSE())</f>
        <v>Corde d'escalade</v>
      </c>
      <c r="CA21" s="17"/>
      <c r="CB21" s="27" t="str">
        <f t="shared" si="6"/>
        <v>Outils et ustensiles ménagers</v>
      </c>
      <c r="CC21" s="17">
        <f t="shared" ca="1" si="18"/>
        <v>2</v>
      </c>
      <c r="CD21" s="37" t="str">
        <f ca="1">VLOOKUP(CC21,$AS$56:$AT$75,2,FALSE())</f>
        <v>Brasero somnifère (magicien)</v>
      </c>
      <c r="CE21" s="17"/>
      <c r="CF21" s="27" t="str">
        <f t="shared" si="7"/>
        <v>Outils et ustensiles ménagers</v>
      </c>
      <c r="CG21" s="17">
        <f t="shared" ca="1" si="19"/>
        <v>7</v>
      </c>
      <c r="CH21" s="37" t="str">
        <f ca="1">VLOOKUP(CG21,$AS$56:$AT$75,2,FALSE())</f>
        <v>Maillet des titans (combattant)</v>
      </c>
      <c r="CI21" s="17"/>
      <c r="CJ21" s="27" t="str">
        <f t="shared" si="8"/>
        <v>Outils et ustensiles ménagers</v>
      </c>
      <c r="CK21" s="17">
        <f t="shared" ca="1" si="20"/>
        <v>4</v>
      </c>
      <c r="CL21" s="37" t="str">
        <f ca="1">VLOOKUP(CK21,$AS$56:$AT$75,2,FALSE())</f>
        <v>Balai volant</v>
      </c>
      <c r="CM21" s="17"/>
      <c r="CN21" s="27" t="str">
        <f t="shared" si="9"/>
        <v>Outils et ustensiles ménagers</v>
      </c>
      <c r="CO21" s="17">
        <f t="shared" ca="1" si="21"/>
        <v>13</v>
      </c>
      <c r="CP21" s="37" t="str">
        <f ca="1">VLOOKUP(CO21,$AS$56:$AT$75,2,FALSE())</f>
        <v>Corde d'escalade</v>
      </c>
      <c r="CQ21" s="17"/>
      <c r="CR21" s="27" t="str">
        <f t="shared" si="10"/>
        <v>Outils et ustensiles ménagers</v>
      </c>
      <c r="CS21" s="17">
        <f t="shared" ca="1" si="22"/>
        <v>8</v>
      </c>
      <c r="CT21" s="37" t="str">
        <f ca="1">VLOOKUP(CS21,$AS$56:$AT$75,2,FALSE())</f>
        <v>Miroir d'emprisonnement (magicien)</v>
      </c>
      <c r="CV21" s="25" t="s">
        <v>739</v>
      </c>
      <c r="CW21" s="25">
        <f ca="1">RANDBETWEEN(1,20)</f>
        <v>4</v>
      </c>
      <c r="CX21" s="25" t="str">
        <f ca="1">VLOOKUP(CW21,$AM$10:$AN$29,2,FALSE())</f>
        <v>Livre d'exaltation suprême</v>
      </c>
      <c r="CY21" s="17"/>
      <c r="CZ21" s="25" t="s">
        <v>739</v>
      </c>
      <c r="DA21" s="25">
        <f ca="1">RANDBETWEEN(1,20)</f>
        <v>2</v>
      </c>
      <c r="DB21" s="25" t="str">
        <f ca="1">VLOOKUP(DA21,$AM$10:$AN$29,2,FALSE())</f>
        <v>Concordat de Boccob</v>
      </c>
      <c r="DD21" s="33">
        <f ca="1">RANDBETWEEN(1,40)</f>
        <v>26</v>
      </c>
      <c r="DE21" s="34" t="str">
        <f ca="1">VLOOKUP(DD21,DF25:DG64,2,FALSE())</f>
        <v>Armes</v>
      </c>
      <c r="DF21" s="35" t="s">
        <v>746</v>
      </c>
      <c r="DG21" s="36" t="str">
        <f ca="1">VLOOKUP(DH21,AY11:AZ30,2,FALSE())</f>
        <v>Armure de plates (+3)</v>
      </c>
      <c r="DH21" s="30">
        <f ca="1">RANDBETWEEN(1,20)</f>
        <v>11</v>
      </c>
      <c r="DI21" s="29"/>
      <c r="DK21" s="17" t="s">
        <v>37</v>
      </c>
      <c r="DL21" s="68" t="s">
        <v>593</v>
      </c>
      <c r="DM21" t="s">
        <v>605</v>
      </c>
      <c r="DN21" s="68" t="s">
        <v>606</v>
      </c>
    </row>
    <row r="22" spans="1:118">
      <c r="A22" s="9" t="s">
        <v>64</v>
      </c>
      <c r="B22" s="10"/>
      <c r="C22" s="10"/>
      <c r="D22" s="10"/>
      <c r="E22" s="10"/>
      <c r="G22" s="9" t="s">
        <v>64</v>
      </c>
      <c r="H22" s="10"/>
      <c r="I22" s="10"/>
      <c r="J22" s="10"/>
      <c r="K22" s="10"/>
      <c r="M22" s="9" t="s">
        <v>64</v>
      </c>
      <c r="N22" s="10">
        <f ca="1">IF(Q22&lt;=P22,O22,0)</f>
        <v>8</v>
      </c>
      <c r="O22" s="9">
        <f ca="1">RANDBETWEEN(2,8)</f>
        <v>8</v>
      </c>
      <c r="P22" s="10">
        <v>100</v>
      </c>
      <c r="Q22" s="10">
        <f ca="1">RANDBETWEEN(1,100)</f>
        <v>31</v>
      </c>
      <c r="S22" s="9" t="s">
        <v>60</v>
      </c>
      <c r="T22" s="10"/>
      <c r="U22" s="9"/>
      <c r="V22" s="10"/>
      <c r="W22" s="10"/>
      <c r="Y22" s="9">
        <v>13</v>
      </c>
      <c r="Z22" s="72" t="s">
        <v>65</v>
      </c>
      <c r="AA22" s="72"/>
      <c r="AB22" s="29"/>
      <c r="AC22" s="9">
        <v>13</v>
      </c>
      <c r="AD22" s="30" t="s">
        <v>66</v>
      </c>
      <c r="AF22" s="9">
        <v>12</v>
      </c>
      <c r="AG22" s="25" t="s">
        <v>62</v>
      </c>
      <c r="AI22" s="10">
        <v>13</v>
      </c>
      <c r="AJ22" s="25" t="s">
        <v>382</v>
      </c>
      <c r="AK22" s="17"/>
      <c r="AM22" s="25">
        <v>13</v>
      </c>
      <c r="AN22" s="25" t="s">
        <v>399</v>
      </c>
      <c r="AO22" s="17"/>
      <c r="AP22" s="25">
        <v>13</v>
      </c>
      <c r="AQ22" s="25" t="s">
        <v>439</v>
      </c>
      <c r="AR22" s="17"/>
      <c r="AS22" s="25">
        <v>13</v>
      </c>
      <c r="AT22" s="25" t="s">
        <v>486</v>
      </c>
      <c r="AU22" s="17"/>
      <c r="AV22" s="25">
        <v>13</v>
      </c>
      <c r="AW22" s="25" t="s">
        <v>549</v>
      </c>
      <c r="AX22" s="26"/>
      <c r="AY22" s="27">
        <v>12</v>
      </c>
      <c r="AZ22" s="17" t="str">
        <f t="shared" ca="1" si="11"/>
        <v>Armure de plates (+5)</v>
      </c>
      <c r="BA22" s="17" t="s">
        <v>831</v>
      </c>
      <c r="BB22" s="17">
        <f t="shared" ca="1" si="12"/>
        <v>20</v>
      </c>
      <c r="BC22" s="17" t="str">
        <f t="shared" ca="1" si="13"/>
        <v xml:space="preserve"> (+5)</v>
      </c>
      <c r="BD22" s="17">
        <v>13</v>
      </c>
      <c r="BE22" s="28" t="s">
        <v>58</v>
      </c>
      <c r="BF22" s="17"/>
      <c r="BH22" s="27">
        <v>12</v>
      </c>
      <c r="BI22" s="25" t="str">
        <f t="shared" ca="1" si="14"/>
        <v>Fléchettes (3d4) (+1)</v>
      </c>
      <c r="BJ22" s="17" t="s">
        <v>639</v>
      </c>
      <c r="BK22" s="17" t="str">
        <f t="shared" ca="1" si="15"/>
        <v xml:space="preserve"> (+1)</v>
      </c>
      <c r="BL22">
        <f t="shared" ca="1" si="16"/>
        <v>3</v>
      </c>
      <c r="BM22">
        <v>12</v>
      </c>
      <c r="BN22" s="26" t="s">
        <v>58</v>
      </c>
      <c r="BS22" s="24"/>
      <c r="BU22" s="10">
        <v>18</v>
      </c>
      <c r="BV22" s="9" t="s">
        <v>738</v>
      </c>
      <c r="BW22">
        <v>57</v>
      </c>
      <c r="BX22" s="27" t="str">
        <f>BV62</f>
        <v>Instruments de musique</v>
      </c>
      <c r="BY22" s="17">
        <f t="shared" ca="1" si="17"/>
        <v>4</v>
      </c>
      <c r="BZ22" s="37" t="str">
        <f ca="1">VLOOKUP(BY22,$AV$10:$AW$29,2,FALSE())</f>
        <v>Tambours d'assourdissement</v>
      </c>
      <c r="CA22" s="17"/>
      <c r="CB22" s="27" t="str">
        <f t="shared" si="6"/>
        <v>Instruments de musique</v>
      </c>
      <c r="CC22" s="17">
        <f t="shared" ca="1" si="18"/>
        <v>18</v>
      </c>
      <c r="CD22" s="37" t="str">
        <f ca="1">VLOOKUP(CC22,$AV$10:$AW$29,2,FALSE())</f>
        <v>Flûte ventriloque</v>
      </c>
      <c r="CE22" s="17"/>
      <c r="CF22" s="27" t="str">
        <f t="shared" si="7"/>
        <v>Instruments de musique</v>
      </c>
      <c r="CG22" s="17">
        <f t="shared" ca="1" si="19"/>
        <v>17</v>
      </c>
      <c r="CH22" s="37" t="str">
        <f ca="1">VLOOKUP(CG22,$AV$10:$AW$29,2,FALSE())</f>
        <v>Flûte obsédante</v>
      </c>
      <c r="CI22" s="17"/>
      <c r="CJ22" s="27" t="str">
        <f t="shared" si="8"/>
        <v>Instruments de musique</v>
      </c>
      <c r="CK22" s="17">
        <f t="shared" ca="1" si="20"/>
        <v>17</v>
      </c>
      <c r="CL22" s="37" t="str">
        <f ca="1">VLOOKUP(CK22,$AV$10:$AW$29,2,FALSE())</f>
        <v>Flûte obsédante</v>
      </c>
      <c r="CM22" s="17"/>
      <c r="CN22" s="27" t="str">
        <f t="shared" si="9"/>
        <v>Instruments de musique</v>
      </c>
      <c r="CO22" s="17">
        <f t="shared" ca="1" si="21"/>
        <v>12</v>
      </c>
      <c r="CP22" s="37" t="str">
        <f ca="1">VLOOKUP(CO22,$AV$10:$AW$29,2,FALSE())</f>
        <v>Cor du bien (du mal)</v>
      </c>
      <c r="CQ22" s="17"/>
      <c r="CR22" s="27" t="str">
        <f t="shared" si="10"/>
        <v>Instruments de musique</v>
      </c>
      <c r="CS22" s="17">
        <f t="shared" ca="1" si="22"/>
        <v>11</v>
      </c>
      <c r="CT22" s="37" t="str">
        <f ca="1">VLOOKUP(CS22,$AV$10:$AW$29,2,FALSE())</f>
        <v>Corde brume</v>
      </c>
      <c r="CV22" s="25" t="s">
        <v>740</v>
      </c>
      <c r="CW22" s="25">
        <f ca="1">RANDBETWEEN(1,40)</f>
        <v>3</v>
      </c>
      <c r="CX22" s="25" t="str">
        <f ca="1">VLOOKUP(CW22,$AM$33:$AN$72,2,FALSE())</f>
        <v>Amulette des Plans</v>
      </c>
      <c r="CY22" s="17"/>
      <c r="CZ22" s="25" t="s">
        <v>740</v>
      </c>
      <c r="DA22" s="25">
        <f ca="1">RANDBETWEEN(1,40)</f>
        <v>23</v>
      </c>
      <c r="DB22" s="25" t="str">
        <f ca="1">VLOOKUP(DA22,$AM$33:$AN$72,2,FALSE())</f>
        <v>Perle de sagesse (prêtre)</v>
      </c>
      <c r="DD22" s="29"/>
      <c r="DE22" s="9" t="str">
        <f ca="1">VLOOKUP(DE21,DF21:DG22,2,FALSE())</f>
        <v>Morgenstern (+3)</v>
      </c>
      <c r="DF22" s="30" t="s">
        <v>644</v>
      </c>
      <c r="DG22" s="33" t="str">
        <f ca="1">VLOOKUP(DH22,BH11:BI69,2,FALSE())</f>
        <v>Morgenstern (+3)</v>
      </c>
      <c r="DH22" s="9">
        <f ca="1">RANDBETWEEN(1,59)</f>
        <v>22</v>
      </c>
      <c r="DI22" s="29"/>
      <c r="DK22" s="17" t="s">
        <v>46</v>
      </c>
      <c r="DL22">
        <v>6</v>
      </c>
      <c r="DM22" t="s">
        <v>601</v>
      </c>
      <c r="DN22">
        <v>14</v>
      </c>
    </row>
    <row r="23" spans="1:118">
      <c r="A23" s="9" t="s">
        <v>0</v>
      </c>
      <c r="B23" s="10"/>
      <c r="C23" s="10"/>
      <c r="D23" s="10"/>
      <c r="E23" s="10"/>
      <c r="G23" s="9" t="s">
        <v>0</v>
      </c>
      <c r="H23" s="10"/>
      <c r="I23" s="10"/>
      <c r="J23" s="10"/>
      <c r="K23" s="10"/>
      <c r="M23" s="9" t="s">
        <v>0</v>
      </c>
      <c r="N23" s="10"/>
      <c r="O23" s="10"/>
      <c r="P23" s="10"/>
      <c r="Q23" s="10"/>
      <c r="S23" s="9" t="s">
        <v>64</v>
      </c>
      <c r="T23" s="10">
        <f ca="1">IF(W23&lt;=V23,U23,0)</f>
        <v>2</v>
      </c>
      <c r="U23" s="9">
        <f ca="1">RANDBETWEEN(1,3)</f>
        <v>2</v>
      </c>
      <c r="V23" s="9">
        <v>100</v>
      </c>
      <c r="W23" s="10">
        <f ca="1">RANDBETWEEN(1,100)</f>
        <v>38</v>
      </c>
      <c r="Y23" s="9">
        <v>14</v>
      </c>
      <c r="Z23" s="72" t="s">
        <v>760</v>
      </c>
      <c r="AA23" s="72"/>
      <c r="AB23" s="29"/>
      <c r="AC23" s="9">
        <v>14</v>
      </c>
      <c r="AD23" s="9" t="s">
        <v>67</v>
      </c>
      <c r="AF23" s="9">
        <v>13</v>
      </c>
      <c r="AG23" s="25" t="s">
        <v>62</v>
      </c>
      <c r="AI23" s="10">
        <v>14</v>
      </c>
      <c r="AJ23" s="25" t="s">
        <v>382</v>
      </c>
      <c r="AK23" s="17"/>
      <c r="AM23" s="25">
        <v>14</v>
      </c>
      <c r="AN23" s="25" t="s">
        <v>400</v>
      </c>
      <c r="AO23" s="17"/>
      <c r="AP23" s="25">
        <v>14</v>
      </c>
      <c r="AQ23" s="25" t="s">
        <v>440</v>
      </c>
      <c r="AR23" s="17"/>
      <c r="AS23" s="25">
        <v>14</v>
      </c>
      <c r="AT23" s="25" t="s">
        <v>487</v>
      </c>
      <c r="AU23" s="17"/>
      <c r="AV23" s="25">
        <v>14</v>
      </c>
      <c r="AW23" s="25" t="s">
        <v>548</v>
      </c>
      <c r="AX23" s="26"/>
      <c r="AY23" s="27">
        <v>13</v>
      </c>
      <c r="AZ23" s="17" t="str">
        <f t="shared" ca="1" si="11"/>
        <v>Armure annelée (+2)</v>
      </c>
      <c r="BA23" s="17" t="s">
        <v>832</v>
      </c>
      <c r="BB23" s="17">
        <f t="shared" ca="1" si="12"/>
        <v>11</v>
      </c>
      <c r="BC23" s="17" t="str">
        <f t="shared" ca="1" si="13"/>
        <v xml:space="preserve"> (+2)</v>
      </c>
      <c r="BD23" s="17">
        <v>14</v>
      </c>
      <c r="BE23" s="28" t="s">
        <v>58</v>
      </c>
      <c r="BH23" s="27">
        <v>13</v>
      </c>
      <c r="BI23" s="25" t="str">
        <f t="shared" ca="1" si="14"/>
        <v>Fléau (+2)</v>
      </c>
      <c r="BJ23" s="17" t="s">
        <v>640</v>
      </c>
      <c r="BK23" s="17" t="str">
        <f t="shared" ca="1" si="15"/>
        <v xml:space="preserve"> (+2)</v>
      </c>
      <c r="BL23">
        <f t="shared" ca="1" si="16"/>
        <v>14</v>
      </c>
      <c r="BM23">
        <v>13</v>
      </c>
      <c r="BN23" s="26" t="s">
        <v>58</v>
      </c>
      <c r="BS23" s="24"/>
      <c r="BU23" s="10">
        <v>19</v>
      </c>
      <c r="BV23" s="9" t="s">
        <v>738</v>
      </c>
      <c r="BW23">
        <v>58</v>
      </c>
      <c r="BX23" s="27" t="str">
        <f>BV63</f>
        <v>Bizarreries</v>
      </c>
      <c r="BY23" s="17">
        <f ca="1">RANDBETWEEN(1,40)</f>
        <v>6</v>
      </c>
      <c r="BZ23" s="37" t="str">
        <f ca="1">VLOOKUP(BY23,$AV$33:$AW$72,2,FALSE())</f>
        <v>Encensoir contrôlant les élémentaux d'air (magicien)</v>
      </c>
      <c r="CA23" s="17"/>
      <c r="CB23" s="27" t="str">
        <f t="shared" si="6"/>
        <v>Bizarreries</v>
      </c>
      <c r="CC23" s="17">
        <f ca="1">RANDBETWEEN(1,40)</f>
        <v>36</v>
      </c>
      <c r="CD23" s="37" t="str">
        <f ca="1">VLOOKUP(CC23,$AV$33:$AW$72,2,FALSE())</f>
        <v>Puits des mondes</v>
      </c>
      <c r="CE23" s="17"/>
      <c r="CF23" s="27" t="str">
        <f t="shared" si="7"/>
        <v>Bizarreries</v>
      </c>
      <c r="CG23" s="17">
        <f ca="1">RANDBETWEEN(1,40)</f>
        <v>25</v>
      </c>
      <c r="CH23" s="37" t="str">
        <f ca="1">VLOOKUP(CG23,$AV$33:$AW$72,2,FALSE())</f>
        <v>Fers du zéphyr</v>
      </c>
      <c r="CI23" s="17"/>
      <c r="CJ23" s="27" t="str">
        <f t="shared" si="8"/>
        <v>Bizarreries</v>
      </c>
      <c r="CK23" s="17">
        <f ca="1">RANDBETWEEN(1,40)</f>
        <v>9</v>
      </c>
      <c r="CL23" s="37" t="str">
        <f ca="1">VLOOKUP(CK23,$AV$33:$AW$72,2,FALSE())</f>
        <v>Boule de cristal (magicien)</v>
      </c>
      <c r="CM23" s="17"/>
      <c r="CN23" s="27" t="str">
        <f t="shared" si="9"/>
        <v>Bizarreries</v>
      </c>
      <c r="CO23" s="17">
        <f ca="1">RANDBETWEEN(1,40)</f>
        <v>40</v>
      </c>
      <c r="CP23" s="37" t="str">
        <f ca="1">VLOOKUP(CO23,$AV$33:$AW$72,2,FALSE())</f>
        <v>Bizarreries au choix du MD</v>
      </c>
      <c r="CQ23" s="17"/>
      <c r="CR23" s="27" t="str">
        <f t="shared" si="10"/>
        <v>Bizarreries</v>
      </c>
      <c r="CS23" s="17">
        <f ca="1">RANDBETWEEN(1,40)</f>
        <v>33</v>
      </c>
      <c r="CT23" s="37" t="str">
        <f ca="1">VLOOKUP(CS23,$AV$33:$AW$72,2,FALSE())</f>
        <v>Drap de petitesse</v>
      </c>
      <c r="CU23" s="17"/>
      <c r="CV23" s="25" t="s">
        <v>741</v>
      </c>
      <c r="CW23" s="25">
        <f t="shared" ref="CW23:CW29" ca="1" si="23">RANDBETWEEN(1,20)</f>
        <v>19</v>
      </c>
      <c r="CX23" s="25" t="str">
        <f ca="1">VLOOKUP(CW23,$AP$10:$AQ$29,2,FALSE())</f>
        <v>Robe de vermine (magicien)</v>
      </c>
      <c r="CY23" s="17"/>
      <c r="CZ23" s="25" t="s">
        <v>741</v>
      </c>
      <c r="DA23" s="25">
        <f t="shared" ref="DA23:DA29" ca="1" si="24">RANDBETWEEN(1,20)</f>
        <v>17</v>
      </c>
      <c r="DB23" s="25" t="str">
        <f ca="1">VLOOKUP(DA23,$AP$10:$AQ$29,2,FALSE())</f>
        <v>Robe d'utilité (magicien)</v>
      </c>
      <c r="DD23" s="29"/>
      <c r="DE23" s="29"/>
      <c r="DF23" s="29"/>
      <c r="DG23" s="29"/>
      <c r="DH23" s="29"/>
      <c r="DI23" s="29"/>
      <c r="DK23" s="17" t="s">
        <v>49</v>
      </c>
      <c r="DL23">
        <v>7</v>
      </c>
      <c r="DM23" t="s">
        <v>604</v>
      </c>
      <c r="DN23">
        <v>15</v>
      </c>
    </row>
    <row r="24" spans="1:118">
      <c r="A24" s="9" t="s">
        <v>68</v>
      </c>
      <c r="B24" s="10"/>
      <c r="C24" s="10"/>
      <c r="D24" s="10"/>
      <c r="E24" s="10"/>
      <c r="G24" s="9" t="s">
        <v>68</v>
      </c>
      <c r="H24" s="10"/>
      <c r="I24" s="10"/>
      <c r="J24" s="10"/>
      <c r="K24" s="10"/>
      <c r="M24" s="9" t="s">
        <v>68</v>
      </c>
      <c r="N24" s="10"/>
      <c r="O24" s="10"/>
      <c r="P24" s="10"/>
      <c r="Q24" s="10"/>
      <c r="S24" s="9" t="s">
        <v>0</v>
      </c>
      <c r="T24" s="10">
        <f ca="1">IF(W24&lt;=V24,U24,0)</f>
        <v>2</v>
      </c>
      <c r="U24" s="9">
        <f ca="1">RANDBETWEEN(1,8)</f>
        <v>2</v>
      </c>
      <c r="V24" s="9">
        <v>100</v>
      </c>
      <c r="W24" s="10">
        <f ca="1">RANDBETWEEN(1,100)</f>
        <v>96</v>
      </c>
      <c r="Y24" s="9">
        <v>15</v>
      </c>
      <c r="Z24" s="72" t="s">
        <v>760</v>
      </c>
      <c r="AA24" s="72"/>
      <c r="AB24" s="29"/>
      <c r="AC24" s="9">
        <v>15</v>
      </c>
      <c r="AD24" s="9" t="s">
        <v>69</v>
      </c>
      <c r="AF24" s="9">
        <v>14</v>
      </c>
      <c r="AG24" s="25" t="s">
        <v>62</v>
      </c>
      <c r="AI24" s="10">
        <v>15</v>
      </c>
      <c r="AJ24" s="25" t="s">
        <v>383</v>
      </c>
      <c r="AK24" s="17"/>
      <c r="AM24" s="25">
        <v>15</v>
      </c>
      <c r="AN24" s="25" t="s">
        <v>401</v>
      </c>
      <c r="AO24" s="17"/>
      <c r="AP24" s="25">
        <v>15</v>
      </c>
      <c r="AQ24" s="25" t="s">
        <v>441</v>
      </c>
      <c r="AR24" s="17"/>
      <c r="AS24" s="25">
        <v>15</v>
      </c>
      <c r="AT24" s="25" t="s">
        <v>488</v>
      </c>
      <c r="AU24" s="17"/>
      <c r="AV24" s="25">
        <v>15</v>
      </c>
      <c r="AW24" s="25" t="s">
        <v>550</v>
      </c>
      <c r="AX24" s="26"/>
      <c r="AY24" s="27">
        <v>14</v>
      </c>
      <c r="AZ24" s="17" t="str">
        <f t="shared" ca="1" si="11"/>
        <v>Armure d'écailles (+3)</v>
      </c>
      <c r="BA24" s="17" t="s">
        <v>833</v>
      </c>
      <c r="BB24" s="17">
        <f t="shared" ca="1" si="12"/>
        <v>16</v>
      </c>
      <c r="BC24" s="17" t="str">
        <f t="shared" ca="1" si="13"/>
        <v xml:space="preserve"> (+3)</v>
      </c>
      <c r="BD24" s="17">
        <v>15</v>
      </c>
      <c r="BE24" s="28" t="s">
        <v>71</v>
      </c>
      <c r="BH24" s="27">
        <v>14</v>
      </c>
      <c r="BI24" s="25" t="str">
        <f t="shared" ca="1" si="14"/>
        <v>Javelot (1d2) (+3)</v>
      </c>
      <c r="BJ24" s="17" t="s">
        <v>737</v>
      </c>
      <c r="BK24" s="17" t="str">
        <f t="shared" ca="1" si="15"/>
        <v xml:space="preserve"> (+3)</v>
      </c>
      <c r="BL24">
        <f t="shared" ca="1" si="16"/>
        <v>17</v>
      </c>
      <c r="BM24">
        <v>14</v>
      </c>
      <c r="BN24" s="26" t="s">
        <v>58</v>
      </c>
      <c r="BS24" s="24"/>
      <c r="BU24" s="10">
        <v>20</v>
      </c>
      <c r="BV24" s="9" t="s">
        <v>738</v>
      </c>
      <c r="BW24">
        <v>60</v>
      </c>
      <c r="BX24" s="27" t="str">
        <f>BV65</f>
        <v>Armures et boucliers</v>
      </c>
      <c r="BY24" s="17">
        <f ca="1">RANDBETWEEN(1,20)</f>
        <v>7</v>
      </c>
      <c r="BZ24" s="37" t="str">
        <f ca="1">VLOOKUP(BY24,$AY$11:$AZ$30,2,FALSE())</f>
        <v>Harnois plain (+2)</v>
      </c>
      <c r="CA24" s="17"/>
      <c r="CB24" s="27" t="str">
        <f t="shared" si="6"/>
        <v>Armures et boucliers</v>
      </c>
      <c r="CC24" s="17">
        <f ca="1">RANDBETWEEN(1,20)</f>
        <v>5</v>
      </c>
      <c r="CD24" s="37" t="str">
        <f ca="1">VLOOKUP(CC24,$AY$11:$AZ$30,2,FALSE())</f>
        <v>Cotte de mailles (+4)</v>
      </c>
      <c r="CE24" s="17"/>
      <c r="CF24" s="27" t="str">
        <f t="shared" si="7"/>
        <v>Armures et boucliers</v>
      </c>
      <c r="CG24" s="17">
        <f ca="1">RANDBETWEEN(1,20)</f>
        <v>1</v>
      </c>
      <c r="CH24" s="37" t="str">
        <f ca="1">VLOOKUP(CG24,$AY$11:$AZ$30,2,FALSE())</f>
        <v>Armure à bandes (+2)</v>
      </c>
      <c r="CI24" s="17"/>
      <c r="CJ24" s="27" t="str">
        <f t="shared" si="8"/>
        <v>Armures et boucliers</v>
      </c>
      <c r="CK24" s="17">
        <f ca="1">RANDBETWEEN(1,20)</f>
        <v>12</v>
      </c>
      <c r="CL24" s="37" t="str">
        <f ca="1">VLOOKUP(CK24,$AY$11:$AZ$30,2,FALSE())</f>
        <v>Armure de plates (+5)</v>
      </c>
      <c r="CM24" s="17"/>
      <c r="CN24" s="27" t="str">
        <f t="shared" si="9"/>
        <v>Armures et boucliers</v>
      </c>
      <c r="CO24" s="17">
        <f ca="1">RANDBETWEEN(1,20)</f>
        <v>15</v>
      </c>
      <c r="CP24" s="37" t="str">
        <f ca="1">VLOOKUP(CO24,$AY$11:$AZ$30,2,FALSE())</f>
        <v>Bouclier (+3)</v>
      </c>
      <c r="CQ24" s="17"/>
      <c r="CR24" s="27" t="str">
        <f t="shared" si="10"/>
        <v>Armures et boucliers</v>
      </c>
      <c r="CS24" s="17">
        <f ca="1">RANDBETWEEN(1,20)</f>
        <v>4</v>
      </c>
      <c r="CT24" s="37" t="str">
        <f ca="1">VLOOKUP(CS24,$AY$11:$AZ$30,2,FALSE())</f>
        <v>Cotte de mailles (+1)</v>
      </c>
      <c r="CU24" s="17"/>
      <c r="CV24" s="25" t="s">
        <v>742</v>
      </c>
      <c r="CW24" s="25">
        <f t="shared" ca="1" si="23"/>
        <v>10</v>
      </c>
      <c r="CX24" s="25" t="str">
        <f ca="1">VLOOKUP(CW24,$AP$33:$AQ$52,2,FALSE())</f>
        <v>Bracelets des jungles</v>
      </c>
      <c r="CY24" s="17"/>
      <c r="CZ24" s="25" t="s">
        <v>742</v>
      </c>
      <c r="DA24" s="25">
        <f t="shared" ca="1" si="24"/>
        <v>17</v>
      </c>
      <c r="DB24" s="25" t="str">
        <f ca="1">VLOOKUP(DA24,$AP$33:$AQ$52,2,FALSE())</f>
        <v>Gantelets de natation et d'escalade (prêtre, roublard, combattant)</v>
      </c>
      <c r="DG24" s="26"/>
      <c r="DK24" s="17" t="s">
        <v>594</v>
      </c>
      <c r="DL24">
        <v>8</v>
      </c>
      <c r="DM24" t="s">
        <v>51</v>
      </c>
      <c r="DN24">
        <v>10</v>
      </c>
    </row>
    <row r="25" spans="1:118">
      <c r="A25" s="9" t="s">
        <v>72</v>
      </c>
      <c r="B25" s="10"/>
      <c r="C25" s="10"/>
      <c r="D25" s="10"/>
      <c r="E25" s="10"/>
      <c r="G25" s="9" t="s">
        <v>72</v>
      </c>
      <c r="H25" s="10"/>
      <c r="I25" s="10"/>
      <c r="J25" s="10"/>
      <c r="K25" s="10"/>
      <c r="M25" s="9" t="s">
        <v>72</v>
      </c>
      <c r="N25" s="10">
        <f ca="1">IF(Q25&lt;=P25,O25,0)</f>
        <v>2</v>
      </c>
      <c r="O25" s="9">
        <f ca="1">RANDBETWEEN(2,16)</f>
        <v>2</v>
      </c>
      <c r="P25" s="10">
        <f>90+B31</f>
        <v>90</v>
      </c>
      <c r="Q25" s="10">
        <f ca="1">RANDBETWEEN(1,100)</f>
        <v>35</v>
      </c>
      <c r="S25" s="9" t="s">
        <v>68</v>
      </c>
      <c r="T25" s="10">
        <f ca="1">IF(W25&lt;=V25,U25,0)</f>
        <v>2</v>
      </c>
      <c r="U25" s="9">
        <f ca="1">RANDBETWEEN(1,4)</f>
        <v>2</v>
      </c>
      <c r="V25" s="9">
        <v>100</v>
      </c>
      <c r="W25" s="10">
        <f ca="1">RANDBETWEEN(1,100)</f>
        <v>24</v>
      </c>
      <c r="Y25" s="9">
        <v>16</v>
      </c>
      <c r="Z25" s="72" t="s">
        <v>761</v>
      </c>
      <c r="AA25" s="72"/>
      <c r="AB25" s="29"/>
      <c r="AC25" s="9">
        <v>16</v>
      </c>
      <c r="AD25" s="9" t="s">
        <v>73</v>
      </c>
      <c r="AF25" s="9">
        <v>15</v>
      </c>
      <c r="AG25" s="25" t="s">
        <v>74</v>
      </c>
      <c r="AI25" s="10">
        <v>16</v>
      </c>
      <c r="AJ25" s="25" t="s">
        <v>383</v>
      </c>
      <c r="AK25" s="17"/>
      <c r="AM25" s="25">
        <v>16</v>
      </c>
      <c r="AN25" s="25" t="s">
        <v>402</v>
      </c>
      <c r="AO25" s="17"/>
      <c r="AP25" s="25">
        <v>16</v>
      </c>
      <c r="AQ25" s="25" t="s">
        <v>442</v>
      </c>
      <c r="AR25" s="17"/>
      <c r="AS25" s="25">
        <v>16</v>
      </c>
      <c r="AT25" s="25" t="s">
        <v>489</v>
      </c>
      <c r="AU25" s="17"/>
      <c r="AV25" s="25">
        <v>16</v>
      </c>
      <c r="AW25" s="25" t="s">
        <v>551</v>
      </c>
      <c r="AX25" s="26"/>
      <c r="AY25" s="27">
        <v>15</v>
      </c>
      <c r="AZ25" s="17" t="str">
        <f t="shared" ca="1" si="11"/>
        <v>Bouclier (+3)</v>
      </c>
      <c r="BA25" s="17" t="s">
        <v>75</v>
      </c>
      <c r="BB25" s="17">
        <f t="shared" ca="1" si="12"/>
        <v>16</v>
      </c>
      <c r="BC25" s="17" t="str">
        <f t="shared" ca="1" si="13"/>
        <v xml:space="preserve"> (+3)</v>
      </c>
      <c r="BD25" s="17">
        <v>16</v>
      </c>
      <c r="BE25" s="28" t="s">
        <v>71</v>
      </c>
      <c r="BH25" s="27">
        <v>15</v>
      </c>
      <c r="BI25" s="25" t="str">
        <f t="shared" ca="1" si="14"/>
        <v>Couteau (+2)</v>
      </c>
      <c r="BJ25" s="17" t="s">
        <v>641</v>
      </c>
      <c r="BK25" s="17" t="str">
        <f t="shared" ca="1" si="15"/>
        <v xml:space="preserve"> (+2)</v>
      </c>
      <c r="BL25">
        <f t="shared" ca="1" si="16"/>
        <v>12</v>
      </c>
      <c r="BM25">
        <v>15</v>
      </c>
      <c r="BN25" s="26" t="s">
        <v>71</v>
      </c>
      <c r="BS25" s="24"/>
      <c r="BU25" s="10">
        <v>21</v>
      </c>
      <c r="BV25" s="9" t="s">
        <v>18</v>
      </c>
      <c r="BW25">
        <v>75</v>
      </c>
      <c r="BX25" s="27" t="str">
        <f>BV80</f>
        <v>Armes</v>
      </c>
      <c r="BY25" s="17">
        <f ca="1">RANDBETWEEN(1,59)</f>
        <v>51</v>
      </c>
      <c r="BZ25" s="37" t="str">
        <f ca="1">VLOOKUP(BY25,$BH$11:$BI$69,2,FALSE())</f>
        <v>Épée (+2)</v>
      </c>
      <c r="CA25" s="17"/>
      <c r="CB25" s="27" t="str">
        <f t="shared" si="6"/>
        <v>Armes</v>
      </c>
      <c r="CC25" s="17">
        <f ca="1">RANDBETWEEN(1,59)</f>
        <v>3</v>
      </c>
      <c r="CD25" s="37" t="str">
        <f ca="1">VLOOKUP(CC25,$BH$11:$BI$69,2,FALSE())</f>
        <v>Flèches (2d6) (+3)</v>
      </c>
      <c r="CE25" s="17"/>
      <c r="CF25" s="27" t="str">
        <f t="shared" si="7"/>
        <v>Armes</v>
      </c>
      <c r="CG25" s="17">
        <f ca="1">RANDBETWEEN(1,59)</f>
        <v>53</v>
      </c>
      <c r="CH25" s="37" t="str">
        <f ca="1">VLOOKUP(CG25,$BH$11:$BI$69,2,FALSE())</f>
        <v>Trident (+5)</v>
      </c>
      <c r="CI25" s="17"/>
      <c r="CJ25" s="27" t="str">
        <f t="shared" si="8"/>
        <v>Armes</v>
      </c>
      <c r="CK25" s="17">
        <f ca="1">RANDBETWEEN(1,59)</f>
        <v>23</v>
      </c>
      <c r="CL25" s="37" t="str">
        <f ca="1">VLOOKUP(CK25,$BH$11:$BI$69,2,FALSE())</f>
        <v>Arme d'hast (+2)</v>
      </c>
      <c r="CM25" s="17"/>
      <c r="CN25" s="27" t="str">
        <f t="shared" si="9"/>
        <v>Armes</v>
      </c>
      <c r="CO25" s="17">
        <f ca="1">RANDBETWEEN(1,59)</f>
        <v>21</v>
      </c>
      <c r="CP25" s="37" t="str">
        <f ca="1">VLOOKUP(CO25,$BH$11:$BI$69,2,FALSE())</f>
        <v>Morgenstern (+2)</v>
      </c>
      <c r="CQ25" s="17"/>
      <c r="CR25" s="27" t="str">
        <f t="shared" si="10"/>
        <v>Armes</v>
      </c>
      <c r="CS25" s="17">
        <f ca="1">RANDBETWEEN(1,59)</f>
        <v>7</v>
      </c>
      <c r="CT25" s="37" t="str">
        <f ca="1">VLOOKUP(CS25,$BH$11:$BI$69,2,FALSE())</f>
        <v>Carreaux (2d10) (+1)</v>
      </c>
      <c r="CU25" s="17"/>
      <c r="CV25" s="25" t="s">
        <v>743</v>
      </c>
      <c r="CW25" s="25">
        <f t="shared" ca="1" si="23"/>
        <v>18</v>
      </c>
      <c r="CX25" s="25" t="str">
        <f ca="1">VLOOKUP(CW25,$AP$56:$AQ$75,2,FALSE())</f>
        <v>Heaume des eaux</v>
      </c>
      <c r="CY25" s="17"/>
      <c r="CZ25" s="25" t="s">
        <v>743</v>
      </c>
      <c r="DA25" s="25">
        <f t="shared" ca="1" si="24"/>
        <v>4</v>
      </c>
      <c r="DB25" s="25" t="str">
        <f ca="1">VLOOKUP(DA25,$AP$56:$AQ$75,2,FALSE())</f>
        <v>Ceinturon d'hermaphrodite</v>
      </c>
      <c r="DF25" s="9">
        <v>1</v>
      </c>
      <c r="DG25" s="25" t="s">
        <v>746</v>
      </c>
      <c r="DK25" s="17" t="s">
        <v>54</v>
      </c>
      <c r="DL25" s="68" t="s">
        <v>595</v>
      </c>
      <c r="DM25" t="s">
        <v>602</v>
      </c>
      <c r="DN25" s="68" t="s">
        <v>603</v>
      </c>
    </row>
    <row r="26" spans="1:118">
      <c r="A26" s="9" t="s">
        <v>76</v>
      </c>
      <c r="B26" s="10"/>
      <c r="C26" s="10"/>
      <c r="D26" s="10"/>
      <c r="E26" s="10"/>
      <c r="G26" s="9" t="s">
        <v>76</v>
      </c>
      <c r="H26" s="10"/>
      <c r="I26" s="10"/>
      <c r="J26" s="10"/>
      <c r="K26" s="10"/>
      <c r="M26" s="9" t="s">
        <v>76</v>
      </c>
      <c r="N26" s="10"/>
      <c r="O26" s="10"/>
      <c r="P26" s="10"/>
      <c r="Q26" s="10"/>
      <c r="S26" s="9" t="s">
        <v>72</v>
      </c>
      <c r="T26" s="10">
        <f ca="1">IF(W26&lt;=V26,U26,0)</f>
        <v>4</v>
      </c>
      <c r="U26" s="9">
        <f ca="1">RANDBETWEEN(1,6)</f>
        <v>4</v>
      </c>
      <c r="V26" s="9">
        <v>80</v>
      </c>
      <c r="W26" s="10">
        <f ca="1">RANDBETWEEN(1,100)</f>
        <v>18</v>
      </c>
      <c r="Y26" s="9">
        <v>17</v>
      </c>
      <c r="Z26" s="72" t="s">
        <v>762</v>
      </c>
      <c r="AA26" s="72"/>
      <c r="AB26" s="29"/>
      <c r="AC26" s="9">
        <v>17</v>
      </c>
      <c r="AD26" s="9" t="s">
        <v>77</v>
      </c>
      <c r="AF26" s="9">
        <v>16</v>
      </c>
      <c r="AG26" s="25" t="s">
        <v>74</v>
      </c>
      <c r="AI26" s="10">
        <v>17</v>
      </c>
      <c r="AJ26" s="25" t="s">
        <v>384</v>
      </c>
      <c r="AK26" s="17"/>
      <c r="AM26" s="25">
        <v>17</v>
      </c>
      <c r="AN26" s="25" t="s">
        <v>403</v>
      </c>
      <c r="AO26" s="17"/>
      <c r="AP26" s="25">
        <v>17</v>
      </c>
      <c r="AQ26" s="25" t="s">
        <v>443</v>
      </c>
      <c r="AR26" s="17"/>
      <c r="AS26" s="25">
        <v>17</v>
      </c>
      <c r="AT26" s="25" t="s">
        <v>490</v>
      </c>
      <c r="AU26" s="17"/>
      <c r="AV26" s="25">
        <v>17</v>
      </c>
      <c r="AW26" s="25" t="s">
        <v>553</v>
      </c>
      <c r="AX26" s="26"/>
      <c r="AY26" s="27">
        <v>16</v>
      </c>
      <c r="AZ26" s="17" t="str">
        <f t="shared" ca="1" si="11"/>
        <v>Bouclier (+4)</v>
      </c>
      <c r="BA26" s="17" t="s">
        <v>75</v>
      </c>
      <c r="BB26" s="17">
        <f t="shared" ca="1" si="12"/>
        <v>18</v>
      </c>
      <c r="BC26" s="17" t="str">
        <f t="shared" ca="1" si="13"/>
        <v xml:space="preserve"> (+4)</v>
      </c>
      <c r="BD26" s="17">
        <v>17</v>
      </c>
      <c r="BE26" s="28" t="s">
        <v>71</v>
      </c>
      <c r="BH26" s="27">
        <v>16</v>
      </c>
      <c r="BI26" s="25" t="str">
        <f t="shared" ca="1" si="14"/>
        <v>Lance (+5)</v>
      </c>
      <c r="BJ26" s="17" t="s">
        <v>642</v>
      </c>
      <c r="BK26" s="17" t="str">
        <f t="shared" ca="1" si="15"/>
        <v xml:space="preserve"> (+5)</v>
      </c>
      <c r="BL26">
        <f t="shared" ca="1" si="16"/>
        <v>20</v>
      </c>
      <c r="BM26">
        <v>16</v>
      </c>
      <c r="BN26" s="26" t="s">
        <v>71</v>
      </c>
      <c r="BS26" s="24"/>
      <c r="BU26" s="10">
        <v>22</v>
      </c>
      <c r="BV26" s="9" t="s">
        <v>18</v>
      </c>
      <c r="BW26">
        <v>100</v>
      </c>
      <c r="BX26" s="38" t="str">
        <f>BX25</f>
        <v>Armes</v>
      </c>
      <c r="BY26" s="39"/>
      <c r="BZ26" s="40" t="str">
        <f ca="1">BZ25</f>
        <v>Épée (+2)</v>
      </c>
      <c r="CA26" s="17"/>
      <c r="CB26" s="38" t="str">
        <f t="shared" si="6"/>
        <v>Armes</v>
      </c>
      <c r="CC26" s="39"/>
      <c r="CD26" s="40" t="str">
        <f ca="1">CD25</f>
        <v>Flèches (2d6) (+3)</v>
      </c>
      <c r="CE26" s="17"/>
      <c r="CF26" s="38" t="str">
        <f t="shared" si="7"/>
        <v>Armes</v>
      </c>
      <c r="CG26" s="39"/>
      <c r="CH26" s="40" t="str">
        <f ca="1">CH25</f>
        <v>Trident (+5)</v>
      </c>
      <c r="CI26" s="17"/>
      <c r="CJ26" s="38" t="str">
        <f t="shared" si="8"/>
        <v>Armes</v>
      </c>
      <c r="CK26" s="39"/>
      <c r="CL26" s="40" t="str">
        <f ca="1">CL25</f>
        <v>Arme d'hast (+2)</v>
      </c>
      <c r="CM26" s="17"/>
      <c r="CN26" s="38" t="str">
        <f t="shared" si="9"/>
        <v>Armes</v>
      </c>
      <c r="CO26" s="39"/>
      <c r="CP26" s="40" t="str">
        <f ca="1">CP25</f>
        <v>Morgenstern (+2)</v>
      </c>
      <c r="CQ26" s="17"/>
      <c r="CR26" s="38" t="str">
        <f t="shared" si="10"/>
        <v>Armes</v>
      </c>
      <c r="CS26" s="39"/>
      <c r="CT26" s="40" t="str">
        <f ca="1">CT25</f>
        <v>Carreaux (2d10) (+1)</v>
      </c>
      <c r="CU26" s="17"/>
      <c r="CV26" s="25" t="s">
        <v>744</v>
      </c>
      <c r="CW26" s="25">
        <f t="shared" ca="1" si="23"/>
        <v>11</v>
      </c>
      <c r="CX26" s="25" t="str">
        <f ca="1">VLOOKUP(CW26,$AS$10:$AT$29,2,FALSE())</f>
        <v>Bourse de Bucknard</v>
      </c>
      <c r="CY26" s="17"/>
      <c r="CZ26" s="25" t="s">
        <v>744</v>
      </c>
      <c r="DA26" s="25">
        <f t="shared" ca="1" si="24"/>
        <v>15</v>
      </c>
      <c r="DB26" s="25" t="str">
        <f ca="1">VLOOKUP(DA26,$AS$10:$AT$29,2,FALSE())</f>
        <v>Flacon de malédiction</v>
      </c>
      <c r="DF26" s="9">
        <v>2</v>
      </c>
      <c r="DG26" s="25" t="s">
        <v>746</v>
      </c>
      <c r="DK26" s="17" t="s">
        <v>596</v>
      </c>
      <c r="DL26">
        <v>13</v>
      </c>
      <c r="DM26" t="s">
        <v>608</v>
      </c>
      <c r="DN26">
        <v>1</v>
      </c>
    </row>
    <row r="27" spans="1:118">
      <c r="A27" s="9" t="s">
        <v>78</v>
      </c>
      <c r="B27" s="10"/>
      <c r="C27" s="10"/>
      <c r="D27" s="10"/>
      <c r="E27" s="10"/>
      <c r="G27" s="9" t="s">
        <v>78</v>
      </c>
      <c r="H27" s="10"/>
      <c r="I27" s="10"/>
      <c r="J27" s="10"/>
      <c r="K27" s="10"/>
      <c r="M27" s="9" t="s">
        <v>78</v>
      </c>
      <c r="N27" s="10">
        <f ca="1">IF(Q27&lt;=P27,O27,0)</f>
        <v>3</v>
      </c>
      <c r="O27" s="9">
        <f ca="1">RANDBETWEEN(2,16)</f>
        <v>3</v>
      </c>
      <c r="P27" s="10">
        <f>60+B31</f>
        <v>60</v>
      </c>
      <c r="Q27" s="10">
        <f ca="1">RANDBETWEEN(1,100)</f>
        <v>54</v>
      </c>
      <c r="S27" s="9" t="s">
        <v>76</v>
      </c>
      <c r="T27" s="10"/>
      <c r="U27" s="10"/>
      <c r="V27" s="10"/>
      <c r="W27" s="10"/>
      <c r="Y27" s="9">
        <v>18</v>
      </c>
      <c r="Z27" s="72" t="s">
        <v>79</v>
      </c>
      <c r="AA27" s="72"/>
      <c r="AB27" s="29"/>
      <c r="AC27" s="9">
        <v>18</v>
      </c>
      <c r="AD27" s="9" t="s">
        <v>80</v>
      </c>
      <c r="AF27" s="9">
        <v>17</v>
      </c>
      <c r="AG27" s="25" t="s">
        <v>81</v>
      </c>
      <c r="AI27" s="10">
        <v>18</v>
      </c>
      <c r="AJ27" s="25" t="s">
        <v>385</v>
      </c>
      <c r="AK27" s="17"/>
      <c r="AM27" s="25">
        <v>18</v>
      </c>
      <c r="AN27" s="25" t="s">
        <v>404</v>
      </c>
      <c r="AO27" s="17"/>
      <c r="AP27" s="25">
        <v>18</v>
      </c>
      <c r="AQ27" s="25" t="s">
        <v>443</v>
      </c>
      <c r="AR27" s="17"/>
      <c r="AS27" s="25">
        <v>18</v>
      </c>
      <c r="AT27" s="25" t="s">
        <v>491</v>
      </c>
      <c r="AU27" s="17"/>
      <c r="AV27" s="25">
        <v>18</v>
      </c>
      <c r="AW27" s="25" t="s">
        <v>552</v>
      </c>
      <c r="AX27" s="26"/>
      <c r="AY27" s="27">
        <v>17</v>
      </c>
      <c r="AZ27" s="17" t="str">
        <f t="shared" ca="1" si="11"/>
        <v>Bouclier (+1)</v>
      </c>
      <c r="BA27" s="17" t="s">
        <v>75</v>
      </c>
      <c r="BB27" s="17">
        <f t="shared" ca="1" si="12"/>
        <v>3</v>
      </c>
      <c r="BC27" s="17" t="str">
        <f t="shared" ca="1" si="13"/>
        <v xml:space="preserve"> (+1)</v>
      </c>
      <c r="BD27" s="17">
        <v>18</v>
      </c>
      <c r="BE27" s="28" t="s">
        <v>82</v>
      </c>
      <c r="BH27" s="27">
        <v>17</v>
      </c>
      <c r="BI27" s="25" t="str">
        <f t="shared" ca="1" si="14"/>
        <v>Masse (-1)</v>
      </c>
      <c r="BJ27" s="17" t="s">
        <v>643</v>
      </c>
      <c r="BK27" s="17" t="str">
        <f t="shared" ca="1" si="15"/>
        <v xml:space="preserve"> (-1)</v>
      </c>
      <c r="BL27">
        <f t="shared" ca="1" si="16"/>
        <v>2</v>
      </c>
      <c r="BM27">
        <v>17</v>
      </c>
      <c r="BN27" s="26" t="s">
        <v>71</v>
      </c>
      <c r="BS27" s="24"/>
      <c r="BU27" s="10">
        <v>23</v>
      </c>
      <c r="BV27" s="9" t="s">
        <v>18</v>
      </c>
      <c r="BW27" s="29"/>
      <c r="BX27" s="26"/>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25" t="s">
        <v>745</v>
      </c>
      <c r="CW27" s="25">
        <f t="shared" ca="1" si="23"/>
        <v>11</v>
      </c>
      <c r="CX27" s="25" t="str">
        <f ca="1">VLOOKUP(CW27,$AS$33:$AT$52,2,FALSE())</f>
        <v>Onguent de Kéoghtom</v>
      </c>
      <c r="CY27" s="17"/>
      <c r="CZ27" s="25" t="s">
        <v>745</v>
      </c>
      <c r="DA27" s="25">
        <f t="shared" ca="1" si="24"/>
        <v>15</v>
      </c>
      <c r="DB27" s="25" t="str">
        <f ca="1">VLOOKUP(DA27,$AS$33:$AT$52,2,FALSE())</f>
        <v>Colle suprême</v>
      </c>
      <c r="DF27" s="9">
        <v>3</v>
      </c>
      <c r="DG27" s="25" t="s">
        <v>746</v>
      </c>
      <c r="DK27" s="17" t="s">
        <v>70</v>
      </c>
      <c r="DL27">
        <v>14</v>
      </c>
      <c r="DM27" t="s">
        <v>600</v>
      </c>
      <c r="DN27">
        <v>12</v>
      </c>
    </row>
    <row r="28" spans="1:118">
      <c r="A28" s="9" t="s">
        <v>83</v>
      </c>
      <c r="B28" s="10"/>
      <c r="C28" s="10"/>
      <c r="D28" s="10"/>
      <c r="E28" s="10"/>
      <c r="G28" s="9" t="s">
        <v>83</v>
      </c>
      <c r="H28" s="10"/>
      <c r="I28" s="10"/>
      <c r="J28" s="10"/>
      <c r="K28" s="10"/>
      <c r="M28" s="9" t="s">
        <v>83</v>
      </c>
      <c r="N28" s="10"/>
      <c r="O28" s="10"/>
      <c r="P28" s="10"/>
      <c r="Q28" s="10"/>
      <c r="S28" s="9" t="s">
        <v>78</v>
      </c>
      <c r="T28" s="10">
        <f ca="1">IF(W28&lt;=V28,U28,0)</f>
        <v>0</v>
      </c>
      <c r="U28" s="9">
        <f ca="1">RANDBETWEEN(1,8)</f>
        <v>3</v>
      </c>
      <c r="V28" s="9">
        <f>50+B31</f>
        <v>50</v>
      </c>
      <c r="W28" s="10">
        <f ca="1">RANDBETWEEN(1,100)</f>
        <v>95</v>
      </c>
      <c r="Y28" s="9">
        <v>19</v>
      </c>
      <c r="Z28" s="72" t="s">
        <v>763</v>
      </c>
      <c r="AA28" s="72"/>
      <c r="AB28" s="29"/>
      <c r="AC28" s="9">
        <v>19</v>
      </c>
      <c r="AD28" s="9" t="s">
        <v>84</v>
      </c>
      <c r="AF28" s="9">
        <v>18</v>
      </c>
      <c r="AG28" s="25" t="s">
        <v>81</v>
      </c>
      <c r="AI28" s="10">
        <v>19</v>
      </c>
      <c r="AJ28" s="25" t="s">
        <v>385</v>
      </c>
      <c r="AK28" s="17"/>
      <c r="AM28" s="25">
        <v>19</v>
      </c>
      <c r="AN28" s="25" t="s">
        <v>405</v>
      </c>
      <c r="AO28" s="17"/>
      <c r="AP28" s="25">
        <v>19</v>
      </c>
      <c r="AQ28" s="25" t="s">
        <v>444</v>
      </c>
      <c r="AR28" s="17"/>
      <c r="AS28" s="25">
        <v>19</v>
      </c>
      <c r="AT28" s="25" t="s">
        <v>492</v>
      </c>
      <c r="AU28" s="17"/>
      <c r="AV28" s="25">
        <v>19</v>
      </c>
      <c r="AW28" s="25" t="s">
        <v>554</v>
      </c>
      <c r="AX28" s="26"/>
      <c r="AY28" s="27">
        <v>18</v>
      </c>
      <c r="AZ28" s="17" t="str">
        <f t="shared" ca="1" si="11"/>
        <v>Armure feuilletée (+1)</v>
      </c>
      <c r="BA28" s="17" t="s">
        <v>834</v>
      </c>
      <c r="BB28" s="17">
        <f t="shared" ca="1" si="12"/>
        <v>6</v>
      </c>
      <c r="BC28" s="17" t="str">
        <f t="shared" ca="1" si="13"/>
        <v xml:space="preserve"> (+1)</v>
      </c>
      <c r="BD28" s="17">
        <v>19</v>
      </c>
      <c r="BE28" s="28" t="s">
        <v>82</v>
      </c>
      <c r="BH28" s="27">
        <v>18</v>
      </c>
      <c r="BI28" s="25" t="str">
        <f t="shared" ca="1" si="14"/>
        <v>Masse (-1)</v>
      </c>
      <c r="BJ28" s="17" t="s">
        <v>643</v>
      </c>
      <c r="BK28" s="17" t="str">
        <f t="shared" ca="1" si="15"/>
        <v xml:space="preserve"> (-1)</v>
      </c>
      <c r="BL28">
        <f t="shared" ca="1" si="16"/>
        <v>1</v>
      </c>
      <c r="BM28">
        <v>18</v>
      </c>
      <c r="BN28" s="26" t="s">
        <v>82</v>
      </c>
      <c r="BS28" s="24"/>
      <c r="BU28" s="10">
        <v>24</v>
      </c>
      <c r="BV28" s="9" t="s">
        <v>18</v>
      </c>
      <c r="BX28" s="41">
        <v>2</v>
      </c>
      <c r="BY28" s="22" t="s">
        <v>734</v>
      </c>
      <c r="BZ28" s="42"/>
      <c r="CA28" s="17"/>
      <c r="CB28" s="41">
        <v>5</v>
      </c>
      <c r="CC28" s="22" t="s">
        <v>734</v>
      </c>
      <c r="CD28" s="42"/>
      <c r="CE28" s="17"/>
      <c r="CF28" s="41">
        <v>8</v>
      </c>
      <c r="CG28" s="22" t="s">
        <v>734</v>
      </c>
      <c r="CH28" s="42"/>
      <c r="CI28" s="17"/>
      <c r="CJ28" s="41">
        <v>11</v>
      </c>
      <c r="CK28" s="22" t="s">
        <v>734</v>
      </c>
      <c r="CL28" s="42"/>
      <c r="CM28" s="17"/>
      <c r="CN28" s="41">
        <v>14</v>
      </c>
      <c r="CO28" s="22" t="s">
        <v>734</v>
      </c>
      <c r="CP28" s="42"/>
      <c r="CQ28" s="17"/>
      <c r="CR28" s="41">
        <v>17</v>
      </c>
      <c r="CS28" s="22" t="s">
        <v>734</v>
      </c>
      <c r="CT28" s="42"/>
      <c r="CU28" s="17"/>
      <c r="CV28" s="25" t="s">
        <v>515</v>
      </c>
      <c r="CW28" s="25">
        <f t="shared" ca="1" si="23"/>
        <v>20</v>
      </c>
      <c r="CX28" s="25" t="str">
        <f ca="1">VLOOKUP(CW28,$AS$56:$AT$75,2,FALSE())</f>
        <v>Outil au choix du MD</v>
      </c>
      <c r="CY28" s="17"/>
      <c r="CZ28" s="25" t="s">
        <v>515</v>
      </c>
      <c r="DA28" s="25">
        <f t="shared" ca="1" si="24"/>
        <v>6</v>
      </c>
      <c r="DB28" s="25" t="str">
        <f ca="1">VLOOKUP(DA28,$AS$56:$AT$75,2,FALSE())</f>
        <v>Pioche des titans (combattant)</v>
      </c>
      <c r="DF28" s="9">
        <v>4</v>
      </c>
      <c r="DG28" s="25" t="s">
        <v>746</v>
      </c>
      <c r="DK28" s="17" t="s">
        <v>597</v>
      </c>
      <c r="DL28" s="68" t="s">
        <v>598</v>
      </c>
      <c r="DM28" t="s">
        <v>75</v>
      </c>
      <c r="DN28" s="68" t="s">
        <v>593</v>
      </c>
    </row>
    <row r="29" spans="1:118">
      <c r="A29" s="9" t="s">
        <v>86</v>
      </c>
      <c r="B29" s="10"/>
      <c r="C29" s="10"/>
      <c r="D29" s="10"/>
      <c r="E29" s="10"/>
      <c r="G29" s="9" t="s">
        <v>86</v>
      </c>
      <c r="H29" s="10"/>
      <c r="I29" s="10"/>
      <c r="J29" s="10"/>
      <c r="K29" s="10"/>
      <c r="M29" s="9" t="s">
        <v>86</v>
      </c>
      <c r="N29" s="10"/>
      <c r="O29" s="9"/>
      <c r="P29" s="10"/>
      <c r="Q29" s="10"/>
      <c r="S29" s="9" t="s">
        <v>83</v>
      </c>
      <c r="T29" s="10"/>
      <c r="U29" s="10"/>
      <c r="V29" s="10"/>
      <c r="W29" s="10"/>
      <c r="Y29" s="9">
        <v>20</v>
      </c>
      <c r="Z29" s="72" t="s">
        <v>756</v>
      </c>
      <c r="AA29" s="72"/>
      <c r="AB29" s="29"/>
      <c r="AC29" s="9">
        <v>20</v>
      </c>
      <c r="AD29" s="9" t="s">
        <v>87</v>
      </c>
      <c r="AF29" s="9">
        <v>19</v>
      </c>
      <c r="AG29" s="25" t="s">
        <v>88</v>
      </c>
      <c r="AI29" s="10">
        <v>20</v>
      </c>
      <c r="AJ29" s="10" t="s">
        <v>387</v>
      </c>
      <c r="AM29" s="25">
        <v>20</v>
      </c>
      <c r="AN29" s="25" t="s">
        <v>447</v>
      </c>
      <c r="AO29" s="17"/>
      <c r="AP29" s="25">
        <v>20</v>
      </c>
      <c r="AQ29" s="25" t="s">
        <v>445</v>
      </c>
      <c r="AR29" s="17"/>
      <c r="AS29" s="25">
        <v>20</v>
      </c>
      <c r="AT29" s="25" t="s">
        <v>493</v>
      </c>
      <c r="AU29" s="17"/>
      <c r="AV29" s="25">
        <v>20</v>
      </c>
      <c r="AW29" s="25" t="s">
        <v>89</v>
      </c>
      <c r="AX29" s="26"/>
      <c r="AY29" s="27">
        <v>19</v>
      </c>
      <c r="AZ29" s="17" t="str">
        <f t="shared" ca="1" si="11"/>
        <v>Armure de cuir clouté (+2)</v>
      </c>
      <c r="BA29" s="17" t="s">
        <v>835</v>
      </c>
      <c r="BB29" s="17">
        <f t="shared" ca="1" si="12"/>
        <v>11</v>
      </c>
      <c r="BC29" s="17" t="str">
        <f t="shared" ca="1" si="13"/>
        <v xml:space="preserve"> (+2)</v>
      </c>
      <c r="BD29" s="17">
        <v>20</v>
      </c>
      <c r="BE29" s="28" t="s">
        <v>91</v>
      </c>
      <c r="BH29" s="27">
        <v>19</v>
      </c>
      <c r="BI29" s="25" t="str">
        <f t="shared" ca="1" si="14"/>
        <v>Pic de guerre (+3)</v>
      </c>
      <c r="BJ29" s="17" t="s">
        <v>649</v>
      </c>
      <c r="BK29" s="17" t="str">
        <f t="shared" ca="1" si="15"/>
        <v xml:space="preserve"> (+3)</v>
      </c>
      <c r="BL29">
        <f t="shared" ca="1" si="16"/>
        <v>16</v>
      </c>
      <c r="BM29">
        <v>19</v>
      </c>
      <c r="BN29" s="26" t="s">
        <v>82</v>
      </c>
      <c r="BS29" s="24"/>
      <c r="BU29" s="10">
        <v>25</v>
      </c>
      <c r="BV29" s="9" t="s">
        <v>18</v>
      </c>
      <c r="BX29" s="27" t="str">
        <f>BX8</f>
        <v>Potions et huiles</v>
      </c>
      <c r="BY29" s="17">
        <f ca="1">RANDBETWEEN(1,60)</f>
        <v>4</v>
      </c>
      <c r="BZ29" s="37" t="str">
        <f ca="1">VLOOKUP(BY29,$Y$10:$AA$69,2,FALSE())</f>
        <v>Potion d'Escalade</v>
      </c>
      <c r="CA29" s="17"/>
      <c r="CB29" s="27" t="str">
        <f>BX29</f>
        <v>Potions et huiles</v>
      </c>
      <c r="CC29" s="17">
        <f ca="1">RANDBETWEEN(1,60)</f>
        <v>39</v>
      </c>
      <c r="CD29" s="37" t="str">
        <f ca="1">VLOOKUP(CC29,$Y$10:$AA$69,2,FALSE())</f>
        <v>Huile de glisse</v>
      </c>
      <c r="CE29" s="17"/>
      <c r="CF29" s="27" t="str">
        <f>CB29</f>
        <v>Potions et huiles</v>
      </c>
      <c r="CG29" s="17">
        <f ca="1">RANDBETWEEN(1,60)</f>
        <v>32</v>
      </c>
      <c r="CH29" s="37" t="str">
        <f ca="1">VLOOKUP(CG29,$Y$10:$AA$69,2,FALSE())</f>
        <v>Huile antiacide</v>
      </c>
      <c r="CI29" s="17"/>
      <c r="CJ29" s="27" t="str">
        <f>CF29</f>
        <v>Potions et huiles</v>
      </c>
      <c r="CK29" s="17">
        <f ca="1">RANDBETWEEN(1,60)</f>
        <v>43</v>
      </c>
      <c r="CL29" s="37" t="str">
        <f ca="1">VLOOKUP(CK29,$Y$10:$AA$69,2,FALSE())</f>
        <v>Philtre d'amour</v>
      </c>
      <c r="CM29" s="17"/>
      <c r="CN29" s="27" t="str">
        <f>CJ29</f>
        <v>Potions et huiles</v>
      </c>
      <c r="CO29" s="17">
        <f ca="1">RANDBETWEEN(1,60)</f>
        <v>35</v>
      </c>
      <c r="CP29" s="37" t="str">
        <f ca="1">VLOOKUP(CO29,$Y$10:$AA$69,2,FALSE())</f>
        <v>Huile éthérée</v>
      </c>
      <c r="CQ29" s="17"/>
      <c r="CR29" s="27" t="str">
        <f>CN29</f>
        <v>Potions et huiles</v>
      </c>
      <c r="CS29" s="17">
        <f ca="1">RANDBETWEEN(1,60)</f>
        <v>50</v>
      </c>
      <c r="CT29" s="37" t="str">
        <f ca="1">VLOOKUP(CS29,$Y$10:$AA$69,2,FALSE())</f>
        <v>Potion d'Éclat irisé</v>
      </c>
      <c r="CU29" s="17"/>
      <c r="CV29" s="25" t="s">
        <v>535</v>
      </c>
      <c r="CW29" s="25">
        <f t="shared" ca="1" si="23"/>
        <v>14</v>
      </c>
      <c r="CX29" s="25" t="str">
        <f ca="1">VLOOKUP(CW29,$AV$10:$AW$29,2,FALSE())</f>
        <v>Cor du Walhalla</v>
      </c>
      <c r="CY29" s="17"/>
      <c r="CZ29" s="25" t="s">
        <v>535</v>
      </c>
      <c r="DA29" s="25">
        <f t="shared" ca="1" si="24"/>
        <v>3</v>
      </c>
      <c r="DB29" s="25" t="str">
        <f ca="1">VLOOKUP(DA29,$AV$10:$AW$29,2,FALSE())</f>
        <v>Carillon d'immense faim</v>
      </c>
      <c r="DF29" s="9">
        <v>5</v>
      </c>
      <c r="DG29" s="25" t="s">
        <v>746</v>
      </c>
      <c r="DK29" s="17" t="s">
        <v>85</v>
      </c>
      <c r="DL29" s="68">
        <v>18</v>
      </c>
      <c r="DM29" t="s">
        <v>609</v>
      </c>
      <c r="DN29">
        <v>13</v>
      </c>
    </row>
    <row r="30" spans="1:118">
      <c r="A30" s="9" t="s">
        <v>92</v>
      </c>
      <c r="B30" s="10">
        <f ca="1">IF(E30&lt;=D30,C30,0)</f>
        <v>135</v>
      </c>
      <c r="C30" s="9">
        <f ca="1">RANDBETWEEN(100,300)</f>
        <v>135</v>
      </c>
      <c r="D30" s="10">
        <v>100</v>
      </c>
      <c r="E30" s="10">
        <f ca="1">RANDBETWEEN(1,100)</f>
        <v>28</v>
      </c>
      <c r="G30" s="9" t="s">
        <v>92</v>
      </c>
      <c r="H30" s="10">
        <f ca="1">IF(K30&lt;=J30,I30,0)</f>
        <v>326</v>
      </c>
      <c r="I30" s="9">
        <f ca="1">RANDBETWEEN(100,400)</f>
        <v>326</v>
      </c>
      <c r="J30" s="10">
        <v>100</v>
      </c>
      <c r="K30" s="10"/>
      <c r="M30" s="9" t="s">
        <v>92</v>
      </c>
      <c r="N30" s="10">
        <f ca="1">IF(Q30&lt;=P30,O30,0)</f>
        <v>4</v>
      </c>
      <c r="O30" s="9">
        <f ca="1">RANDBETWEEN(1,6)</f>
        <v>4</v>
      </c>
      <c r="P30" s="10">
        <f>55+B31</f>
        <v>55</v>
      </c>
      <c r="Q30" s="10">
        <f ca="1">RANDBETWEEN(1,100)</f>
        <v>51</v>
      </c>
      <c r="S30" s="9" t="s">
        <v>86</v>
      </c>
      <c r="T30" s="10"/>
      <c r="U30" s="9"/>
      <c r="V30" s="10"/>
      <c r="W30" s="10"/>
      <c r="Y30" s="9">
        <v>21</v>
      </c>
      <c r="Z30" s="72" t="s">
        <v>780</v>
      </c>
      <c r="AA30" s="72"/>
      <c r="AB30" s="29"/>
      <c r="AC30" s="9">
        <v>21</v>
      </c>
      <c r="AD30" s="9" t="s">
        <v>93</v>
      </c>
      <c r="AF30" s="9">
        <v>20</v>
      </c>
      <c r="AG30" s="25" t="s">
        <v>88</v>
      </c>
      <c r="AO30" s="17"/>
      <c r="AP30" s="17"/>
      <c r="AQ30" s="17"/>
      <c r="AR30" s="17"/>
      <c r="AS30" s="17"/>
      <c r="AT30" s="17"/>
      <c r="AU30" s="17"/>
      <c r="AV30" s="17"/>
      <c r="AW30" s="17"/>
      <c r="AX30" s="26"/>
      <c r="AY30" s="27">
        <v>20</v>
      </c>
      <c r="AZ30" s="17" t="str">
        <f ca="1">BA30</f>
        <v>Cotte de mailles elfique (+2)</v>
      </c>
      <c r="BA30" s="17" t="str">
        <f ca="1">VLOOKUP(BB30,AY32:AZ222,2,FALSE())</f>
        <v>Cotte de mailles elfique (+2)</v>
      </c>
      <c r="BB30" s="17">
        <f ca="1">RANDBETWEEN(1,191)</f>
        <v>82</v>
      </c>
      <c r="BC30" s="17"/>
      <c r="BD30" s="17"/>
      <c r="BE30" s="37"/>
      <c r="BF30" s="17"/>
      <c r="BH30" s="27">
        <v>20</v>
      </c>
      <c r="BI30" s="25" t="str">
        <f t="shared" ca="1" si="14"/>
        <v>Pic de guerre (+5)</v>
      </c>
      <c r="BJ30" s="17" t="s">
        <v>649</v>
      </c>
      <c r="BK30" s="17" t="str">
        <f t="shared" ca="1" si="15"/>
        <v xml:space="preserve"> (+5)</v>
      </c>
      <c r="BL30">
        <f t="shared" ca="1" si="16"/>
        <v>20</v>
      </c>
      <c r="BM30">
        <v>20</v>
      </c>
      <c r="BN30" s="26" t="s">
        <v>91</v>
      </c>
      <c r="BS30" s="24"/>
      <c r="BU30" s="10">
        <v>26</v>
      </c>
      <c r="BV30" s="9" t="s">
        <v>18</v>
      </c>
      <c r="BX30" s="27" t="str">
        <f t="shared" ref="BX30:BX47" si="25">BX9</f>
        <v>Parchemins</v>
      </c>
      <c r="BY30" s="17">
        <f ca="1">RANDBETWEEN(1,45)</f>
        <v>39</v>
      </c>
      <c r="BZ30" s="37" t="str">
        <f ca="1">VLOOKUP(BY30,$AC$10:$AD$54,2,FALSE())</f>
        <v>Protection contre les plantes</v>
      </c>
      <c r="CA30" s="17"/>
      <c r="CB30" s="27" t="str">
        <f t="shared" ref="CB30:CB47" si="26">BX30</f>
        <v>Parchemins</v>
      </c>
      <c r="CC30" s="17">
        <f ca="1">RANDBETWEEN(1,45)</f>
        <v>41</v>
      </c>
      <c r="CD30" s="37" t="str">
        <f ca="1">VLOOKUP(CC30,$AC$10:$AD$54,2,FALSE())</f>
        <v>Protection contre la possession</v>
      </c>
      <c r="CE30" s="17"/>
      <c r="CF30" s="27" t="str">
        <f t="shared" ref="CF30:CF47" si="27">CB30</f>
        <v>Parchemins</v>
      </c>
      <c r="CG30" s="17">
        <f ca="1">RANDBETWEEN(1,45)</f>
        <v>32</v>
      </c>
      <c r="CH30" s="37" t="str">
        <f ca="1">VLOOKUP(CG30,$AC$10:$AD$54,2,FALSE())</f>
        <v>Protection contre les élémentaux</v>
      </c>
      <c r="CI30" s="17"/>
      <c r="CJ30" s="27" t="str">
        <f t="shared" ref="CJ30:CJ47" si="28">CF30</f>
        <v>Parchemins</v>
      </c>
      <c r="CK30" s="17">
        <f ca="1">RANDBETWEEN(1,45)</f>
        <v>29</v>
      </c>
      <c r="CL30" s="37" t="str">
        <f ca="1">VLOOKUP(CK30,$AC$10:$AD$54,2,FALSE())</f>
        <v>Protection contre les souffles de dragon</v>
      </c>
      <c r="CM30" s="17"/>
      <c r="CN30" s="27" t="str">
        <f t="shared" ref="CN30:CN47" si="29">CJ30</f>
        <v>Parchemins</v>
      </c>
      <c r="CO30" s="17">
        <f ca="1">RANDBETWEEN(1,45)</f>
        <v>17</v>
      </c>
      <c r="CP30" s="37" t="str">
        <f ca="1">VLOOKUP(CO30,$AC$10:$AD$54,2,FALSE())</f>
        <v>4 Sorts 1d8/niveau 1d6</v>
      </c>
      <c r="CQ30" s="17"/>
      <c r="CR30" s="27" t="str">
        <f t="shared" ref="CR30:CR47" si="30">CN30</f>
        <v>Parchemins</v>
      </c>
      <c r="CS30" s="17">
        <f ca="1">RANDBETWEEN(1,45)</f>
        <v>40</v>
      </c>
      <c r="CT30" s="37" t="str">
        <f ca="1">VLOOKUP(CS30,$AC$10:$AD$54,2,FALSE())</f>
        <v>Protection contre le poison</v>
      </c>
      <c r="CU30" s="17"/>
      <c r="CV30" s="25" t="s">
        <v>555</v>
      </c>
      <c r="CW30" s="25">
        <f ca="1">RANDBETWEEN(1,40)</f>
        <v>37</v>
      </c>
      <c r="CX30" s="25" t="str">
        <f ca="1">VLOOKUP(CW30,$AV$33:$AW$72,2,FALSE())</f>
        <v>Ëventail des vents</v>
      </c>
      <c r="CY30" s="17"/>
      <c r="CZ30" s="25" t="s">
        <v>555</v>
      </c>
      <c r="DA30" s="25">
        <f ca="1">RANDBETWEEN(1,40)</f>
        <v>33</v>
      </c>
      <c r="DB30" s="25" t="str">
        <f ca="1">VLOOKUP(DA30,$AV$33:$AW$72,2,FALSE())</f>
        <v>Drap de petitesse</v>
      </c>
      <c r="DF30" s="9">
        <v>6</v>
      </c>
      <c r="DG30" s="25" t="s">
        <v>746</v>
      </c>
      <c r="DK30" s="17" t="s">
        <v>90</v>
      </c>
      <c r="DL30">
        <v>19</v>
      </c>
      <c r="DM30" t="s">
        <v>599</v>
      </c>
      <c r="DN30">
        <v>11</v>
      </c>
    </row>
    <row r="31" spans="1:118" ht="20.65">
      <c r="A31" s="43" t="s">
        <v>1</v>
      </c>
      <c r="B31" s="44">
        <f>Trésor!B3</f>
        <v>0</v>
      </c>
      <c r="S31" s="9" t="s">
        <v>92</v>
      </c>
      <c r="T31" s="10">
        <f ca="1">IF(W31&lt;=V31,U31,0)</f>
        <v>10</v>
      </c>
      <c r="U31" s="9">
        <f ca="1">RANDBETWEEN(2,12)</f>
        <v>10</v>
      </c>
      <c r="V31" s="9">
        <f>50+B31</f>
        <v>50</v>
      </c>
      <c r="W31" s="10">
        <f ca="1">RANDBETWEEN(1,100)</f>
        <v>13</v>
      </c>
      <c r="Y31" s="9">
        <v>22</v>
      </c>
      <c r="Z31" s="72" t="s">
        <v>781</v>
      </c>
      <c r="AA31" s="72"/>
      <c r="AB31" s="29"/>
      <c r="AC31" s="9">
        <v>22</v>
      </c>
      <c r="AD31" s="9" t="s">
        <v>94</v>
      </c>
      <c r="AF31" s="9">
        <v>21</v>
      </c>
      <c r="AG31" s="25" t="s">
        <v>95</v>
      </c>
      <c r="AI31" s="81" t="s">
        <v>96</v>
      </c>
      <c r="AJ31" s="81"/>
      <c r="AK31" s="21"/>
      <c r="AM31" s="81" t="s">
        <v>406</v>
      </c>
      <c r="AN31" s="81"/>
      <c r="AO31" s="17"/>
      <c r="AP31" s="81" t="s">
        <v>363</v>
      </c>
      <c r="AQ31" s="81"/>
      <c r="AR31" s="17"/>
      <c r="AS31" s="81" t="s">
        <v>494</v>
      </c>
      <c r="AT31" s="81"/>
      <c r="AU31" s="17"/>
      <c r="AV31" s="81" t="s">
        <v>555</v>
      </c>
      <c r="AW31" s="81"/>
      <c r="AX31" s="26"/>
      <c r="AY31" s="27"/>
      <c r="AZ31" s="17"/>
      <c r="BA31" s="17"/>
      <c r="BB31" s="17"/>
      <c r="BC31" s="17"/>
      <c r="BD31" s="17"/>
      <c r="BE31" s="37"/>
      <c r="BF31" s="17"/>
      <c r="BH31" s="27">
        <v>21</v>
      </c>
      <c r="BI31" s="25" t="str">
        <f t="shared" ca="1" si="14"/>
        <v>Morgenstern (+2)</v>
      </c>
      <c r="BJ31" s="17" t="s">
        <v>645</v>
      </c>
      <c r="BK31" s="17" t="str">
        <f t="shared" ca="1" si="15"/>
        <v xml:space="preserve"> (+2)</v>
      </c>
      <c r="BL31">
        <f t="shared" ca="1" si="16"/>
        <v>14</v>
      </c>
      <c r="BS31" s="24"/>
      <c r="BU31" s="10">
        <v>27</v>
      </c>
      <c r="BV31" s="9" t="s">
        <v>18</v>
      </c>
      <c r="BX31" s="27" t="str">
        <f t="shared" si="25"/>
        <v>Anneaux</v>
      </c>
      <c r="BY31" s="17">
        <f ca="1">RANDBETWEEN(1,60)</f>
        <v>11</v>
      </c>
      <c r="BZ31" s="37" t="str">
        <f ca="1">VLOOKUP(BY31,$AF$11:$AG$70,2,FALSE())</f>
        <v>Anneau de Folie</v>
      </c>
      <c r="CA31" s="17"/>
      <c r="CB31" s="27" t="str">
        <f t="shared" si="26"/>
        <v>Anneaux</v>
      </c>
      <c r="CC31" s="17">
        <f ca="1">RANDBETWEEN(1,60)</f>
        <v>11</v>
      </c>
      <c r="CD31" s="37" t="str">
        <f ca="1">VLOOKUP(CC31,$AF$11:$AG$70,2,FALSE())</f>
        <v>Anneau de Folie</v>
      </c>
      <c r="CE31" s="17"/>
      <c r="CF31" s="27" t="str">
        <f t="shared" si="27"/>
        <v>Anneaux</v>
      </c>
      <c r="CG31" s="17">
        <f ca="1">RANDBETWEEN(1,60)</f>
        <v>15</v>
      </c>
      <c r="CH31" s="37" t="str">
        <f ca="1">VLOOKUP(CG31,$AF$11:$AG$70,2,FALSE())</f>
        <v>Anneau de Conjuration de Djinns</v>
      </c>
      <c r="CI31" s="17"/>
      <c r="CJ31" s="27" t="str">
        <f t="shared" si="28"/>
        <v>Anneaux</v>
      </c>
      <c r="CK31" s="17">
        <f ca="1">RANDBETWEEN(1,60)</f>
        <v>5</v>
      </c>
      <c r="CL31" s="37" t="str">
        <f ca="1">VLOOKUP(CK31,$AF$11:$AG$70,2,FALSE())</f>
        <v>Anneau de Caméléon</v>
      </c>
      <c r="CM31" s="17"/>
      <c r="CN31" s="27" t="str">
        <f t="shared" si="29"/>
        <v>Anneaux</v>
      </c>
      <c r="CO31" s="17">
        <f ca="1">RANDBETWEEN(1,60)</f>
        <v>37</v>
      </c>
      <c r="CP31" s="37" t="str">
        <f ca="1">VLOOKUP(CO31,$AF$11:$AG$70,2,FALSE())</f>
        <v>Anneau de Protection</v>
      </c>
      <c r="CQ31" s="17"/>
      <c r="CR31" s="27" t="str">
        <f t="shared" si="30"/>
        <v>Anneaux</v>
      </c>
      <c r="CS31" s="17">
        <f ca="1">RANDBETWEEN(1,60)</f>
        <v>33</v>
      </c>
      <c r="CT31" s="37" t="str">
        <f ca="1">VLOOKUP(CS31,$AF$11:$AG$70,2,FALSE())</f>
        <v>Anneau de Contrôle des Mammifères</v>
      </c>
      <c r="CU31" s="17"/>
      <c r="CV31" s="25" t="s">
        <v>746</v>
      </c>
      <c r="CW31" s="25">
        <f ca="1">RANDBETWEEN(1,20)</f>
        <v>5</v>
      </c>
      <c r="CX31" s="25" t="str">
        <f ca="1">VLOOKUP(CW31,$AY$11:$AZ$30,2,FALSE())</f>
        <v>Cotte de mailles (+4)</v>
      </c>
      <c r="CY31" s="17"/>
      <c r="CZ31" s="25" t="s">
        <v>746</v>
      </c>
      <c r="DA31" s="25">
        <f ca="1">RANDBETWEEN(1,20)</f>
        <v>4</v>
      </c>
      <c r="DB31" s="25" t="str">
        <f ca="1">VLOOKUP(DA31,$AY$11:$AZ$30,2,FALSE())</f>
        <v>Cotte de mailles (+1)</v>
      </c>
      <c r="DF31" s="9">
        <v>7</v>
      </c>
      <c r="DG31" s="25" t="s">
        <v>746</v>
      </c>
    </row>
    <row r="32" spans="1:118" ht="20.65">
      <c r="A32" s="84" t="s">
        <v>825</v>
      </c>
      <c r="B32" s="84"/>
      <c r="C32" s="84"/>
      <c r="D32" s="84"/>
      <c r="E32" s="84"/>
      <c r="G32" s="85" t="s">
        <v>5</v>
      </c>
      <c r="H32" s="85"/>
      <c r="I32" s="85"/>
      <c r="J32" s="85"/>
      <c r="K32" s="85"/>
      <c r="M32" s="86" t="s">
        <v>826</v>
      </c>
      <c r="N32" s="86"/>
      <c r="O32" s="86"/>
      <c r="P32" s="86"/>
      <c r="Q32" s="86"/>
      <c r="Y32" s="9">
        <v>23</v>
      </c>
      <c r="Z32" s="72" t="s">
        <v>97</v>
      </c>
      <c r="AA32" s="72"/>
      <c r="AB32" s="29"/>
      <c r="AC32" s="9">
        <v>23</v>
      </c>
      <c r="AD32" s="30" t="s">
        <v>98</v>
      </c>
      <c r="AF32" s="9">
        <v>22</v>
      </c>
      <c r="AG32" s="25" t="s">
        <v>95</v>
      </c>
      <c r="AI32" s="81"/>
      <c r="AJ32" s="81"/>
      <c r="AK32" s="21"/>
      <c r="AM32" s="81"/>
      <c r="AN32" s="81"/>
      <c r="AO32" s="17"/>
      <c r="AP32" s="81"/>
      <c r="AQ32" s="81"/>
      <c r="AR32" s="17"/>
      <c r="AS32" s="81"/>
      <c r="AT32" s="81"/>
      <c r="AU32" s="17"/>
      <c r="AV32" s="81"/>
      <c r="AW32" s="81"/>
      <c r="AX32" s="26"/>
      <c r="AY32" s="27">
        <v>1</v>
      </c>
      <c r="AZ32" s="17" t="str">
        <f t="shared" ref="AZ32:AZ63" ca="1" si="31">CONCATENATE(BA32,BC32)</f>
        <v>Armure à bandes de commandement (+4)</v>
      </c>
      <c r="BA32" s="17" t="s">
        <v>610</v>
      </c>
      <c r="BB32" s="17">
        <f t="shared" ref="BB32:BB63" ca="1" si="32">RANDBETWEEN(1,18)</f>
        <v>16</v>
      </c>
      <c r="BC32" s="17" t="str">
        <f t="shared" ref="BC32:BC63" ca="1" si="33">VLOOKUP(BB32,$BD$32:$BE$49,2,FALSE())</f>
        <v xml:space="preserve"> (+4)</v>
      </c>
      <c r="BD32" s="17">
        <v>1</v>
      </c>
      <c r="BE32" s="28" t="s">
        <v>33</v>
      </c>
      <c r="BF32" s="17"/>
      <c r="BH32" s="27">
        <v>22</v>
      </c>
      <c r="BI32" s="25" t="str">
        <f t="shared" ca="1" si="14"/>
        <v>Morgenstern (+3)</v>
      </c>
      <c r="BJ32" s="17" t="s">
        <v>645</v>
      </c>
      <c r="BK32" s="17" t="str">
        <f t="shared" ca="1" si="15"/>
        <v xml:space="preserve"> (+3)</v>
      </c>
      <c r="BL32">
        <f t="shared" ca="1" si="16"/>
        <v>16</v>
      </c>
      <c r="BS32" s="24"/>
      <c r="BU32" s="10">
        <v>28</v>
      </c>
      <c r="BV32" s="9" t="s">
        <v>18</v>
      </c>
      <c r="BX32" s="27" t="str">
        <f t="shared" si="25"/>
        <v>Sceptres</v>
      </c>
      <c r="BY32" s="17">
        <f ca="1">RANDBETWEEN(1,20)</f>
        <v>18</v>
      </c>
      <c r="BZ32" s="37" t="str">
        <f ca="1">VLOOKUP(BY32,$AI$10:$AJ$29,2,FALSE())</f>
        <v>Sceptre de Terreur</v>
      </c>
      <c r="CA32" s="17"/>
      <c r="CB32" s="27" t="str">
        <f t="shared" si="26"/>
        <v>Sceptres</v>
      </c>
      <c r="CC32" s="17">
        <f ca="1">RANDBETWEEN(1,20)</f>
        <v>19</v>
      </c>
      <c r="CD32" s="37" t="str">
        <f ca="1">VLOOKUP(CC32,$AI$10:$AJ$29,2,FALSE())</f>
        <v>Sceptre de Terreur</v>
      </c>
      <c r="CE32" s="17"/>
      <c r="CF32" s="27" t="str">
        <f t="shared" si="27"/>
        <v>Sceptres</v>
      </c>
      <c r="CG32" s="17">
        <f ca="1">RANDBETWEEN(1,20)</f>
        <v>10</v>
      </c>
      <c r="CH32" s="37" t="str">
        <f ca="1">VLOOKUP(CG32,$AI$10:$AJ$29,2,FALSE())</f>
        <v>Sceptre de Passage</v>
      </c>
      <c r="CI32" s="17"/>
      <c r="CJ32" s="27" t="str">
        <f t="shared" si="28"/>
        <v>Sceptres</v>
      </c>
      <c r="CK32" s="17">
        <f ca="1">RANDBETWEEN(1,20)</f>
        <v>9</v>
      </c>
      <c r="CL32" s="37" t="str">
        <f ca="1">VLOOKUP(CK32,$AI$10:$AJ$29,2,FALSE())</f>
        <v>Sceptre de Puissance altière</v>
      </c>
      <c r="CM32" s="17"/>
      <c r="CN32" s="27" t="str">
        <f t="shared" si="29"/>
        <v>Sceptres</v>
      </c>
      <c r="CO32" s="17">
        <f ca="1">RANDBETWEEN(1,20)</f>
        <v>2</v>
      </c>
      <c r="CP32" s="37" t="str">
        <f ca="1">VLOOKUP(CO32,$AI$10:$AJ$29,2,FALSE())</f>
        <v>Sceptre de Absorption</v>
      </c>
      <c r="CQ32" s="17"/>
      <c r="CR32" s="27" t="str">
        <f t="shared" si="30"/>
        <v>Sceptres</v>
      </c>
      <c r="CS32" s="17">
        <f ca="1">RANDBETWEEN(1,20)</f>
        <v>8</v>
      </c>
      <c r="CT32" s="37" t="str">
        <f ca="1">VLOOKUP(CS32,$AI$10:$AJ$29,2,FALSE())</f>
        <v>Sceptre de Fléau d'armes</v>
      </c>
      <c r="CU32" s="17"/>
      <c r="CV32" s="25" t="s">
        <v>746</v>
      </c>
      <c r="CW32" s="25"/>
      <c r="CX32" s="25" t="str">
        <f ca="1">CX31</f>
        <v>Cotte de mailles (+4)</v>
      </c>
      <c r="CY32" s="17"/>
      <c r="CZ32" s="25" t="s">
        <v>746</v>
      </c>
      <c r="DA32" s="25"/>
      <c r="DB32" s="25" t="str">
        <f ca="1">DB31</f>
        <v>Cotte de mailles (+1)</v>
      </c>
      <c r="DF32" s="9">
        <v>8</v>
      </c>
      <c r="DG32" s="25" t="s">
        <v>746</v>
      </c>
    </row>
    <row r="33" spans="1:111">
      <c r="A33" s="34"/>
      <c r="B33" s="11" t="s">
        <v>8</v>
      </c>
      <c r="C33" s="11" t="s">
        <v>9</v>
      </c>
      <c r="D33" s="11" t="s">
        <v>10</v>
      </c>
      <c r="E33" s="11" t="s">
        <v>11</v>
      </c>
      <c r="G33" s="9"/>
      <c r="H33" s="10" t="s">
        <v>8</v>
      </c>
      <c r="I33" s="10" t="s">
        <v>9</v>
      </c>
      <c r="J33" s="10" t="s">
        <v>10</v>
      </c>
      <c r="K33" s="10" t="s">
        <v>11</v>
      </c>
      <c r="M33" s="9"/>
      <c r="N33" s="10" t="s">
        <v>8</v>
      </c>
      <c r="O33" s="10" t="s">
        <v>9</v>
      </c>
      <c r="P33" s="10" t="s">
        <v>10</v>
      </c>
      <c r="Q33" s="20" t="s">
        <v>11</v>
      </c>
      <c r="Y33" s="9">
        <v>24</v>
      </c>
      <c r="Z33" s="72" t="s">
        <v>99</v>
      </c>
      <c r="AA33" s="72"/>
      <c r="AB33" s="29"/>
      <c r="AC33" s="9">
        <v>24</v>
      </c>
      <c r="AD33" s="30" t="s">
        <v>100</v>
      </c>
      <c r="AF33" s="9">
        <v>23</v>
      </c>
      <c r="AG33" s="25" t="s">
        <v>358</v>
      </c>
      <c r="AI33" s="10">
        <v>1</v>
      </c>
      <c r="AJ33" s="25" t="s">
        <v>101</v>
      </c>
      <c r="AK33" s="17"/>
      <c r="AM33" s="30">
        <v>1</v>
      </c>
      <c r="AN33" s="30" t="s">
        <v>102</v>
      </c>
      <c r="AO33" s="17"/>
      <c r="AP33" s="25">
        <v>1</v>
      </c>
      <c r="AQ33" s="25" t="s">
        <v>449</v>
      </c>
      <c r="AR33" s="17"/>
      <c r="AS33" s="25">
        <v>1</v>
      </c>
      <c r="AT33" s="25" t="s">
        <v>495</v>
      </c>
      <c r="AU33" s="17"/>
      <c r="AV33" s="25">
        <v>1</v>
      </c>
      <c r="AW33" s="25" t="s">
        <v>556</v>
      </c>
      <c r="AX33" s="26"/>
      <c r="AY33" s="27">
        <v>2</v>
      </c>
      <c r="AZ33" s="17" t="str">
        <f t="shared" ca="1" si="31"/>
        <v>Brigandine de commandement (+4)</v>
      </c>
      <c r="BA33" s="17" t="s">
        <v>611</v>
      </c>
      <c r="BB33" s="17">
        <f t="shared" ca="1" si="32"/>
        <v>17</v>
      </c>
      <c r="BC33" s="17" t="str">
        <f t="shared" ca="1" si="33"/>
        <v xml:space="preserve"> (+4)</v>
      </c>
      <c r="BD33" s="17">
        <v>2</v>
      </c>
      <c r="BE33" s="28" t="s">
        <v>33</v>
      </c>
      <c r="BF33" s="17"/>
      <c r="BH33" s="27">
        <v>23</v>
      </c>
      <c r="BI33" s="25" t="str">
        <f t="shared" ca="1" si="14"/>
        <v>Arme d'hast (+2)</v>
      </c>
      <c r="BJ33" s="17" t="s">
        <v>646</v>
      </c>
      <c r="BK33" s="17" t="str">
        <f t="shared" ca="1" si="15"/>
        <v xml:space="preserve"> (+2)</v>
      </c>
      <c r="BL33">
        <f t="shared" ca="1" si="16"/>
        <v>13</v>
      </c>
      <c r="BS33" s="24"/>
      <c r="BU33" s="10">
        <v>29</v>
      </c>
      <c r="BV33" s="9" t="s">
        <v>18</v>
      </c>
      <c r="BX33" s="27" t="str">
        <f t="shared" si="25"/>
        <v>Bâtons</v>
      </c>
      <c r="BY33" s="17">
        <f ca="1">RANDBETWEEN(1,20)</f>
        <v>8</v>
      </c>
      <c r="BZ33" s="37" t="str">
        <f ca="1">VLOOKUP(BY33,$AI$33:$AJ$52,2,FALSE())</f>
        <v>Bâton Serpent</v>
      </c>
      <c r="CA33" s="17"/>
      <c r="CB33" s="27" t="str">
        <f t="shared" si="26"/>
        <v>Bâtons</v>
      </c>
      <c r="CC33" s="17">
        <f ca="1">RANDBETWEEN(1,20)</f>
        <v>19</v>
      </c>
      <c r="CD33" s="37" t="str">
        <f ca="1">VLOOKUP(CC33,$AI$33:$AJ$52,2,FALSE())</f>
        <v>Bâton des Grandes Forêts</v>
      </c>
      <c r="CE33" s="17"/>
      <c r="CF33" s="27" t="str">
        <f t="shared" si="27"/>
        <v>Bâtons</v>
      </c>
      <c r="CG33" s="17">
        <f ca="1">RANDBETWEEN(1,20)</f>
        <v>17</v>
      </c>
      <c r="CH33" s="37" t="str">
        <f ca="1">VLOOKUP(CG33,$AI$33:$AJ$52,2,FALSE())</f>
        <v>Bâton de Soins</v>
      </c>
      <c r="CI33" s="17"/>
      <c r="CJ33" s="27" t="str">
        <f t="shared" si="28"/>
        <v>Bâtons</v>
      </c>
      <c r="CK33" s="17">
        <f ca="1">RANDBETWEEN(1,20)</f>
        <v>6</v>
      </c>
      <c r="CL33" s="37" t="str">
        <f ca="1">VLOOKUP(CK33,$AI$33:$AJ$52,2,FALSE())</f>
        <v>Bâton de Mage</v>
      </c>
      <c r="CM33" s="17"/>
      <c r="CN33" s="27" t="str">
        <f t="shared" si="29"/>
        <v>Bâtons</v>
      </c>
      <c r="CO33" s="17">
        <f ca="1">RANDBETWEEN(1,20)</f>
        <v>2</v>
      </c>
      <c r="CP33" s="37" t="str">
        <f ca="1">VLOOKUP(CO33,$AI$33:$AJ$52,2,FALSE())</f>
        <v>Bâton Masse d'Armes</v>
      </c>
      <c r="CQ33" s="17"/>
      <c r="CR33" s="27" t="str">
        <f t="shared" si="30"/>
        <v>Bâtons</v>
      </c>
      <c r="CS33" s="17">
        <f ca="1">RANDBETWEEN(1,20)</f>
        <v>1</v>
      </c>
      <c r="CT33" s="37" t="str">
        <f ca="1">VLOOKUP(CS33,$AI$33:$AJ$52,2,FALSE())</f>
        <v>Bâton Masse d'Armes</v>
      </c>
      <c r="CU33" s="17"/>
      <c r="CV33" s="17"/>
      <c r="CW33" s="17"/>
      <c r="CX33" s="17"/>
      <c r="CY33" s="17"/>
      <c r="CZ33" s="17"/>
      <c r="DA33" s="17"/>
      <c r="DB33" s="17"/>
      <c r="DF33" s="9">
        <v>9</v>
      </c>
      <c r="DG33" s="25" t="s">
        <v>746</v>
      </c>
    </row>
    <row r="34" spans="1:111">
      <c r="A34" s="9" t="s">
        <v>12</v>
      </c>
      <c r="B34" s="10">
        <f ca="1">IF(E34&lt;=D34,C34,0)</f>
        <v>0</v>
      </c>
      <c r="C34" s="9">
        <f ca="1">RANDBETWEEN(1000,6000)</f>
        <v>5503</v>
      </c>
      <c r="D34" s="10">
        <f>40+B31</f>
        <v>40</v>
      </c>
      <c r="E34" s="10">
        <f ca="1">RANDBETWEEN(1,100)</f>
        <v>68</v>
      </c>
      <c r="G34" s="9" t="s">
        <v>12</v>
      </c>
      <c r="H34" s="10">
        <f t="shared" ref="H34:H42" ca="1" si="34">IF(K34&lt;=J34,I34,0)</f>
        <v>0</v>
      </c>
      <c r="I34" s="9">
        <f ca="1">RANDBETWEEN(300,1800)</f>
        <v>565</v>
      </c>
      <c r="J34" s="9">
        <f>35+B31</f>
        <v>35</v>
      </c>
      <c r="K34" s="10">
        <f t="shared" ref="K34:K42" ca="1" si="35">RANDBETWEEN(1,100)</f>
        <v>56</v>
      </c>
      <c r="M34" s="34" t="s">
        <v>12</v>
      </c>
      <c r="N34" s="11" t="str">
        <f t="shared" ref="N34:N42" ca="1" si="36">IF(Q34&lt;=P34,O34,0)</f>
        <v>Tous 3 items</v>
      </c>
      <c r="O34" s="45" t="s">
        <v>103</v>
      </c>
      <c r="P34" s="34">
        <f>30+B31</f>
        <v>30</v>
      </c>
      <c r="Q34" s="10">
        <f t="shared" ref="Q34:Q42" ca="1" si="37">RANDBETWEEN(1,100)</f>
        <v>1</v>
      </c>
      <c r="S34" s="87" t="s">
        <v>110</v>
      </c>
      <c r="T34" s="87"/>
      <c r="U34" s="87"/>
      <c r="V34" s="87"/>
      <c r="Y34" s="9">
        <v>25</v>
      </c>
      <c r="Z34" s="72" t="s">
        <v>99</v>
      </c>
      <c r="AA34" s="72"/>
      <c r="AB34" s="29"/>
      <c r="AC34" s="9">
        <v>25</v>
      </c>
      <c r="AD34" s="9" t="s">
        <v>104</v>
      </c>
      <c r="AF34" s="9">
        <v>24</v>
      </c>
      <c r="AG34" s="25" t="s">
        <v>358</v>
      </c>
      <c r="AI34" s="10">
        <v>2</v>
      </c>
      <c r="AJ34" s="25" t="s">
        <v>101</v>
      </c>
      <c r="AK34" s="17"/>
      <c r="AM34" s="30">
        <v>2</v>
      </c>
      <c r="AN34" s="30" t="s">
        <v>105</v>
      </c>
      <c r="AO34" s="17"/>
      <c r="AP34" s="25">
        <v>2</v>
      </c>
      <c r="AQ34" s="25" t="s">
        <v>365</v>
      </c>
      <c r="AR34" s="17"/>
      <c r="AS34" s="25">
        <v>2</v>
      </c>
      <c r="AT34" s="25" t="s">
        <v>496</v>
      </c>
      <c r="AU34" s="17"/>
      <c r="AV34" s="25">
        <v>2</v>
      </c>
      <c r="AW34" s="25" t="s">
        <v>557</v>
      </c>
      <c r="AX34" s="26"/>
      <c r="AY34" s="27">
        <v>3</v>
      </c>
      <c r="AZ34" s="17" t="str">
        <f t="shared" ca="1" si="31"/>
        <v>Cotte de mailles de commandement (+4)</v>
      </c>
      <c r="BA34" s="17" t="s">
        <v>612</v>
      </c>
      <c r="BB34" s="17">
        <f t="shared" ca="1" si="32"/>
        <v>17</v>
      </c>
      <c r="BC34" s="17" t="str">
        <f t="shared" ca="1" si="33"/>
        <v xml:space="preserve"> (+4)</v>
      </c>
      <c r="BD34" s="17">
        <v>3</v>
      </c>
      <c r="BE34" s="28" t="s">
        <v>33</v>
      </c>
      <c r="BF34" s="17"/>
      <c r="BH34" s="27">
        <v>24</v>
      </c>
      <c r="BI34" s="25" t="str">
        <f t="shared" ca="1" si="14"/>
        <v>Arme d'hast (+1)</v>
      </c>
      <c r="BJ34" s="17" t="s">
        <v>646</v>
      </c>
      <c r="BK34" s="17" t="str">
        <f t="shared" ca="1" si="15"/>
        <v xml:space="preserve"> (+1)</v>
      </c>
      <c r="BL34">
        <f t="shared" ca="1" si="16"/>
        <v>4</v>
      </c>
      <c r="BS34" s="24"/>
      <c r="BU34" s="10">
        <v>30</v>
      </c>
      <c r="BV34" s="9" t="s">
        <v>18</v>
      </c>
      <c r="BX34" s="27" t="str">
        <f t="shared" si="25"/>
        <v>Baguettes</v>
      </c>
      <c r="BY34" s="17">
        <f ca="1">RANDBETWEEN(1,20)</f>
        <v>11</v>
      </c>
      <c r="BZ34" s="37" t="str">
        <f ca="1">VLOOKUP(BY34,$AI$56:$AJ$75,2,FALSE())</f>
        <v>Baguette de Détection de la magie 21 Charges</v>
      </c>
      <c r="CA34" s="17"/>
      <c r="CB34" s="27" t="str">
        <f t="shared" si="26"/>
        <v>Baguettes</v>
      </c>
      <c r="CC34" s="17">
        <f ca="1">RANDBETWEEN(1,20)</f>
        <v>10</v>
      </c>
      <c r="CD34" s="37" t="str">
        <f ca="1">VLOOKUP(CC34,$AI$56:$AJ$75,2,FALSE())</f>
        <v>Baguette de Foudre (magicien) 47 Charges</v>
      </c>
      <c r="CE34" s="17"/>
      <c r="CF34" s="27" t="str">
        <f t="shared" si="27"/>
        <v>Baguettes</v>
      </c>
      <c r="CG34" s="17">
        <f ca="1">RANDBETWEEN(1,20)</f>
        <v>19</v>
      </c>
      <c r="CH34" s="37" t="str">
        <f ca="1">VLOOKUP(CG34,$AI$56:$AJ$75,2,FALSE())</f>
        <v>Baguette Prodigieuse 13 Charges</v>
      </c>
      <c r="CI34" s="17"/>
      <c r="CJ34" s="27" t="str">
        <f t="shared" si="28"/>
        <v>Baguettes</v>
      </c>
      <c r="CK34" s="17">
        <f ca="1">RANDBETWEEN(1,20)</f>
        <v>5</v>
      </c>
      <c r="CL34" s="37" t="str">
        <f ca="1">VLOOKUP(CK34,$AI$56:$AJ$75,2,FALSE())</f>
        <v>Baguette de Feu (magicien) 93 Charges</v>
      </c>
      <c r="CM34" s="17"/>
      <c r="CN34" s="27" t="str">
        <f t="shared" si="29"/>
        <v>Baguettes</v>
      </c>
      <c r="CO34" s="17">
        <f ca="1">RANDBETWEEN(1,20)</f>
        <v>20</v>
      </c>
      <c r="CP34" s="37" t="str">
        <f ca="1">VLOOKUP(CO34,$AI$56:$AJ$75,2,FALSE())</f>
        <v>Baguette choix du MD</v>
      </c>
      <c r="CQ34" s="17"/>
      <c r="CR34" s="27" t="str">
        <f t="shared" si="30"/>
        <v>Baguettes</v>
      </c>
      <c r="CS34" s="17">
        <f ca="1">RANDBETWEEN(1,20)</f>
        <v>10</v>
      </c>
      <c r="CT34" s="37" t="str">
        <f ca="1">VLOOKUP(CS34,$AI$56:$AJ$75,2,FALSE())</f>
        <v>Baguette de Foudre (magicien) 47 Charges</v>
      </c>
      <c r="CU34" s="17"/>
      <c r="CV34" s="25">
        <v>2</v>
      </c>
      <c r="CW34" s="70" t="s">
        <v>734</v>
      </c>
      <c r="CX34" s="25"/>
      <c r="CY34" s="17"/>
      <c r="CZ34" s="25">
        <v>5</v>
      </c>
      <c r="DA34" s="70" t="s">
        <v>734</v>
      </c>
      <c r="DB34" s="25"/>
      <c r="DF34" s="9">
        <v>10</v>
      </c>
      <c r="DG34" s="25" t="s">
        <v>746</v>
      </c>
    </row>
    <row r="35" spans="1:111">
      <c r="A35" s="9" t="s">
        <v>13</v>
      </c>
      <c r="B35" s="10">
        <f ca="1">IF(E35&lt;=D35,C35,0)</f>
        <v>0</v>
      </c>
      <c r="C35" s="9">
        <f ca="1">RANDBETWEEN(200,2000)</f>
        <v>740</v>
      </c>
      <c r="D35" s="10">
        <f>25+B31</f>
        <v>25</v>
      </c>
      <c r="E35" s="10">
        <f ca="1">RANDBETWEEN(1,100)</f>
        <v>61</v>
      </c>
      <c r="G35" s="9" t="s">
        <v>13</v>
      </c>
      <c r="H35" s="10">
        <f t="shared" ca="1" si="34"/>
        <v>876</v>
      </c>
      <c r="I35" s="9">
        <f ca="1">RANDBETWEEN(100,1000)</f>
        <v>876</v>
      </c>
      <c r="J35" s="9">
        <f>25+B31</f>
        <v>25</v>
      </c>
      <c r="K35" s="10">
        <f t="shared" ca="1" si="35"/>
        <v>11</v>
      </c>
      <c r="M35" s="9" t="s">
        <v>13</v>
      </c>
      <c r="N35" s="10">
        <f t="shared" ca="1" si="36"/>
        <v>0</v>
      </c>
      <c r="O35" s="32" t="s">
        <v>55</v>
      </c>
      <c r="P35" s="9">
        <f>10+B31</f>
        <v>10</v>
      </c>
      <c r="Q35" s="10">
        <f t="shared" ca="1" si="37"/>
        <v>43</v>
      </c>
      <c r="S35" s="87"/>
      <c r="T35" s="87"/>
      <c r="U35" s="87"/>
      <c r="V35" s="87"/>
      <c r="Y35" s="9">
        <v>26</v>
      </c>
      <c r="Z35" s="72" t="s">
        <v>359</v>
      </c>
      <c r="AA35" s="72"/>
      <c r="AB35" s="29"/>
      <c r="AC35" s="9">
        <v>26</v>
      </c>
      <c r="AD35" s="9" t="s">
        <v>106</v>
      </c>
      <c r="AF35" s="9">
        <v>25</v>
      </c>
      <c r="AG35" s="25" t="s">
        <v>360</v>
      </c>
      <c r="AI35" s="10">
        <v>3</v>
      </c>
      <c r="AJ35" s="25" t="s">
        <v>369</v>
      </c>
      <c r="AK35" s="17"/>
      <c r="AM35" s="30">
        <v>3</v>
      </c>
      <c r="AN35" s="30" t="s">
        <v>107</v>
      </c>
      <c r="AO35" s="17"/>
      <c r="AP35" s="25">
        <v>3</v>
      </c>
      <c r="AQ35" s="25" t="s">
        <v>450</v>
      </c>
      <c r="AR35" s="17"/>
      <c r="AS35" s="25">
        <v>3</v>
      </c>
      <c r="AT35" s="25" t="s">
        <v>497</v>
      </c>
      <c r="AU35" s="17"/>
      <c r="AV35" s="25">
        <v>3</v>
      </c>
      <c r="AW35" s="25" t="s">
        <v>557</v>
      </c>
      <c r="AX35" s="26"/>
      <c r="AY35" s="27">
        <v>4</v>
      </c>
      <c r="AZ35" s="17" t="str">
        <f t="shared" ca="1" si="31"/>
        <v>Cotte de mailles de commandement (+1)</v>
      </c>
      <c r="BA35" s="17" t="s">
        <v>612</v>
      </c>
      <c r="BB35" s="17">
        <f t="shared" ca="1" si="32"/>
        <v>8</v>
      </c>
      <c r="BC35" s="17" t="str">
        <f t="shared" ca="1" si="33"/>
        <v xml:space="preserve"> (+1)</v>
      </c>
      <c r="BD35" s="17">
        <v>4</v>
      </c>
      <c r="BE35" s="28" t="s">
        <v>33</v>
      </c>
      <c r="BF35" s="17"/>
      <c r="BH35" s="27">
        <v>25</v>
      </c>
      <c r="BI35" s="25" t="str">
        <f t="shared" ca="1" si="14"/>
        <v>Cimeterre (+1)</v>
      </c>
      <c r="BJ35" s="17" t="s">
        <v>647</v>
      </c>
      <c r="BK35" s="17" t="str">
        <f t="shared" ca="1" si="15"/>
        <v xml:space="preserve"> (+1)</v>
      </c>
      <c r="BL35">
        <f t="shared" ca="1" si="16"/>
        <v>4</v>
      </c>
      <c r="BO35" s="69" t="s">
        <v>108</v>
      </c>
      <c r="BS35" s="24"/>
      <c r="BU35" s="10">
        <v>31</v>
      </c>
      <c r="BV35" s="9" t="s">
        <v>18</v>
      </c>
      <c r="BX35" s="27" t="str">
        <f t="shared" si="25"/>
        <v>Livres et grimoires</v>
      </c>
      <c r="BY35" s="17">
        <f ca="1">RANDBETWEEN(1,20)</f>
        <v>20</v>
      </c>
      <c r="BZ35" s="37" t="str">
        <f ca="1">VLOOKUP(BY35,$AM$10:$AN$29,2,FALSE())</f>
        <v>Livre au choix du MD</v>
      </c>
      <c r="CA35" s="17"/>
      <c r="CB35" s="27" t="str">
        <f t="shared" si="26"/>
        <v>Livres et grimoires</v>
      </c>
      <c r="CC35" s="17">
        <f ca="1">RANDBETWEEN(1,20)</f>
        <v>18</v>
      </c>
      <c r="CD35" s="37" t="str">
        <f ca="1">VLOOKUP(CC35,$AM$10:$AN$29,2,FALSE())</f>
        <v>Traité de compréhension</v>
      </c>
      <c r="CE35" s="17"/>
      <c r="CF35" s="27" t="str">
        <f t="shared" si="27"/>
        <v>Livres et grimoires</v>
      </c>
      <c r="CG35" s="17">
        <f ca="1">RANDBETWEEN(1,20)</f>
        <v>8</v>
      </c>
      <c r="CH35" s="37" t="str">
        <f ca="1">VLOOKUP(CG35,$AM$10:$AN$29,2,FALSE())</f>
        <v>Grimoire d'ineffable damnation</v>
      </c>
      <c r="CI35" s="17"/>
      <c r="CJ35" s="27" t="str">
        <f t="shared" si="28"/>
        <v>Livres et grimoires</v>
      </c>
      <c r="CK35" s="17">
        <f ca="1">RANDBETWEEN(1,20)</f>
        <v>4</v>
      </c>
      <c r="CL35" s="37" t="str">
        <f ca="1">VLOOKUP(CK35,$AM$10:$AN$29,2,FALSE())</f>
        <v>Livre d'exaltation suprême</v>
      </c>
      <c r="CM35" s="17"/>
      <c r="CN35" s="27" t="str">
        <f t="shared" si="29"/>
        <v>Livres et grimoires</v>
      </c>
      <c r="CO35" s="17">
        <f ca="1">RANDBETWEEN(1,20)</f>
        <v>15</v>
      </c>
      <c r="CP35" s="37" t="str">
        <f ca="1">VLOOKUP(CO35,$AM$10:$AN$29,2,FALSE())</f>
        <v>Manuel des larcins furtifs</v>
      </c>
      <c r="CQ35" s="17"/>
      <c r="CR35" s="27" t="str">
        <f t="shared" si="30"/>
        <v>Livres et grimoires</v>
      </c>
      <c r="CS35" s="17">
        <f ca="1">RANDBETWEEN(1,20)</f>
        <v>14</v>
      </c>
      <c r="CT35" s="37" t="str">
        <f ca="1">VLOOKUP(CS35,$AM$10:$AN$29,2,FALSE())</f>
        <v>Manuel d'agilité</v>
      </c>
      <c r="CU35" s="17"/>
      <c r="CV35" s="25" t="s">
        <v>738</v>
      </c>
      <c r="CW35" s="25">
        <f ca="1">RANDBETWEEN(1,60)</f>
        <v>20</v>
      </c>
      <c r="CX35" s="25" t="str">
        <f ca="1">VLOOKUP(CW35,$Y$10:$AA$69,2,FALSE())</f>
        <v>Potion au choix du MD</v>
      </c>
      <c r="CY35" s="17"/>
      <c r="CZ35" s="25" t="s">
        <v>738</v>
      </c>
      <c r="DA35" s="25">
        <f ca="1">RANDBETWEEN(1,60)</f>
        <v>10</v>
      </c>
      <c r="DB35" s="25" t="str">
        <f ca="1">VLOOKUP(DA35,$Y$10:$AA$69,2,FALSE())</f>
        <v>Élixir de folie</v>
      </c>
      <c r="DF35" s="9">
        <v>11</v>
      </c>
      <c r="DG35" s="25" t="s">
        <v>746</v>
      </c>
    </row>
    <row r="36" spans="1:111">
      <c r="A36" s="9" t="s">
        <v>14</v>
      </c>
      <c r="B36" s="10"/>
      <c r="C36" s="9"/>
      <c r="D36" s="10"/>
      <c r="E36" s="10"/>
      <c r="G36" s="9" t="s">
        <v>14</v>
      </c>
      <c r="H36" s="10">
        <f t="shared" ca="1" si="34"/>
        <v>0</v>
      </c>
      <c r="I36" s="9">
        <f ca="1">RANDBETWEEN(100,600)</f>
        <v>219</v>
      </c>
      <c r="J36" s="9">
        <f>10+B31</f>
        <v>10</v>
      </c>
      <c r="K36" s="10">
        <f t="shared" ca="1" si="35"/>
        <v>26</v>
      </c>
      <c r="M36" s="9" t="s">
        <v>14</v>
      </c>
      <c r="N36" s="10">
        <f t="shared" ca="1" si="36"/>
        <v>0</v>
      </c>
      <c r="O36" s="32" t="s">
        <v>109</v>
      </c>
      <c r="P36" s="9">
        <f>10+B31</f>
        <v>10</v>
      </c>
      <c r="Q36" s="10">
        <f t="shared" ca="1" si="37"/>
        <v>36</v>
      </c>
      <c r="S36" s="9" t="s">
        <v>110</v>
      </c>
      <c r="T36" s="10">
        <f ca="1">B75</f>
        <v>35</v>
      </c>
      <c r="U36" s="10" t="str">
        <f t="shared" ref="U36:U52" ca="1" si="38">VLOOKUP(T36,$BU$4:$BV$104,2,FALSE())</f>
        <v>Parchemins</v>
      </c>
      <c r="V36" s="10" t="str">
        <f ca="1">VLOOKUP(U36,$BX$8:$BZ$26,3,FALSE())</f>
        <v>1 Sorts niveau 1d4</v>
      </c>
      <c r="Y36" s="9">
        <v>27</v>
      </c>
      <c r="Z36" s="72" t="s">
        <v>782</v>
      </c>
      <c r="AA36" s="72"/>
      <c r="AB36" s="29"/>
      <c r="AC36" s="9">
        <v>27</v>
      </c>
      <c r="AD36" s="9" t="s">
        <v>789</v>
      </c>
      <c r="AF36" s="9">
        <v>26</v>
      </c>
      <c r="AG36" s="25" t="s">
        <v>360</v>
      </c>
      <c r="AI36" s="10">
        <v>4</v>
      </c>
      <c r="AJ36" s="25" t="s">
        <v>370</v>
      </c>
      <c r="AK36" s="17"/>
      <c r="AM36" s="30">
        <v>4</v>
      </c>
      <c r="AN36" s="30" t="s">
        <v>407</v>
      </c>
      <c r="AO36" s="17"/>
      <c r="AP36" s="25">
        <v>4</v>
      </c>
      <c r="AQ36" s="25" t="s">
        <v>364</v>
      </c>
      <c r="AR36" s="17"/>
      <c r="AS36" s="25">
        <v>4</v>
      </c>
      <c r="AT36" s="25" t="s">
        <v>498</v>
      </c>
      <c r="AU36" s="17"/>
      <c r="AV36" s="25">
        <v>4</v>
      </c>
      <c r="AW36" s="25" t="s">
        <v>558</v>
      </c>
      <c r="AX36" s="26"/>
      <c r="AY36" s="27">
        <v>5</v>
      </c>
      <c r="AZ36" s="17" t="str">
        <f t="shared" ca="1" si="31"/>
        <v>Cotte de mailles de commandement (+3)</v>
      </c>
      <c r="BA36" s="17" t="s">
        <v>612</v>
      </c>
      <c r="BB36" s="17">
        <f t="shared" ca="1" si="32"/>
        <v>13</v>
      </c>
      <c r="BC36" s="17" t="str">
        <f t="shared" ca="1" si="33"/>
        <v xml:space="preserve"> (+3)</v>
      </c>
      <c r="BD36" s="17">
        <v>5</v>
      </c>
      <c r="BE36" s="28" t="s">
        <v>33</v>
      </c>
      <c r="BF36" s="17"/>
      <c r="BH36" s="27">
        <v>26</v>
      </c>
      <c r="BI36" s="25" t="str">
        <f t="shared" ca="1" si="14"/>
        <v>Cimeterre (+1)</v>
      </c>
      <c r="BJ36" s="17" t="s">
        <v>647</v>
      </c>
      <c r="BK36" s="17" t="str">
        <f t="shared" ca="1" si="15"/>
        <v xml:space="preserve"> (+1)</v>
      </c>
      <c r="BL36">
        <f t="shared" ca="1" si="16"/>
        <v>5</v>
      </c>
      <c r="BN36">
        <v>1</v>
      </c>
      <c r="BO36" s="17" t="s">
        <v>653</v>
      </c>
      <c r="BS36" s="24"/>
      <c r="BU36" s="10">
        <v>32</v>
      </c>
      <c r="BV36" s="9" t="s">
        <v>18</v>
      </c>
      <c r="BX36" s="27" t="str">
        <f t="shared" si="25"/>
        <v>Joyaux et bijoux</v>
      </c>
      <c r="BY36" s="17">
        <f ca="1">RANDBETWEEN(1,40)</f>
        <v>29</v>
      </c>
      <c r="BZ36" s="37" t="str">
        <f ca="1">VLOOKUP(BY36,$AM$33:$AN$72,2,FALSE())</f>
        <v>Phylactère de longévité (prêtre)</v>
      </c>
      <c r="CA36" s="17"/>
      <c r="CB36" s="27" t="str">
        <f t="shared" si="26"/>
        <v>Joyaux et bijoux</v>
      </c>
      <c r="CC36" s="17">
        <f ca="1">RANDBETWEEN(1,40)</f>
        <v>29</v>
      </c>
      <c r="CD36" s="37" t="str">
        <f ca="1">VLOOKUP(CC36,$AM$33:$AN$72,2,FALSE())</f>
        <v>Phylactère de longévité (prêtre)</v>
      </c>
      <c r="CE36" s="17"/>
      <c r="CF36" s="27" t="str">
        <f t="shared" si="27"/>
        <v>Joyaux et bijoux</v>
      </c>
      <c r="CG36" s="17">
        <f ca="1">RANDBETWEEN(1,40)</f>
        <v>2</v>
      </c>
      <c r="CH36" s="37" t="str">
        <f ca="1">VLOOKUP(CG36,$AM$33:$AN$72,2,FALSE())</f>
        <v>Amulette de Protection Vitale</v>
      </c>
      <c r="CI36" s="17"/>
      <c r="CJ36" s="27" t="str">
        <f t="shared" si="28"/>
        <v>Joyaux et bijoux</v>
      </c>
      <c r="CK36" s="17">
        <f ca="1">RANDBETWEEN(1,40)</f>
        <v>2</v>
      </c>
      <c r="CL36" s="37" t="str">
        <f ca="1">VLOOKUP(CK36,$AM$33:$AN$72,2,FALSE())</f>
        <v>Amulette de Protection Vitale</v>
      </c>
      <c r="CM36" s="17"/>
      <c r="CN36" s="27" t="str">
        <f t="shared" si="29"/>
        <v>Joyaux et bijoux</v>
      </c>
      <c r="CO36" s="17">
        <f ca="1">RANDBETWEEN(1,40)</f>
        <v>21</v>
      </c>
      <c r="CP36" s="37" t="str">
        <f ca="1">VLOOKUP(CO36,$AM$33:$AN$72,2,FALSE())</f>
        <v>Perle de puissance (magicien)</v>
      </c>
      <c r="CQ36" s="17"/>
      <c r="CR36" s="27" t="str">
        <f t="shared" si="30"/>
        <v>Joyaux et bijoux</v>
      </c>
      <c r="CS36" s="17">
        <f ca="1">RANDBETWEEN(1,40)</f>
        <v>32</v>
      </c>
      <c r="CT36" s="37" t="str">
        <f ca="1">VLOOKUP(CS36,$AM$33:$AN$72,2,FALSE())</f>
        <v>Broche de rage ennemie</v>
      </c>
      <c r="CU36" s="17"/>
      <c r="CV36" s="25" t="s">
        <v>18</v>
      </c>
      <c r="CW36" s="25">
        <f ca="1">RANDBETWEEN(1,45)</f>
        <v>26</v>
      </c>
      <c r="CX36" s="25" t="str">
        <f ca="1">VLOOKUP(CW36,$AC$10:$AD$54,2,FALSE())</f>
        <v>Carte</v>
      </c>
      <c r="CY36" s="17"/>
      <c r="CZ36" s="25" t="s">
        <v>18</v>
      </c>
      <c r="DA36" s="25">
        <f ca="1">RANDBETWEEN(1,45)</f>
        <v>25</v>
      </c>
      <c r="DB36" s="25" t="str">
        <f ca="1">VLOOKUP(DA36,$AC$10:$AD$54,2,FALSE())</f>
        <v>Parchemin choix du MD</v>
      </c>
      <c r="DF36" s="9">
        <v>12</v>
      </c>
      <c r="DG36" s="25" t="s">
        <v>746</v>
      </c>
    </row>
    <row r="37" spans="1:111">
      <c r="A37" s="9" t="s">
        <v>16</v>
      </c>
      <c r="B37" s="10">
        <f ca="1">IF(E37&lt;=D37,C37,0)</f>
        <v>1152</v>
      </c>
      <c r="C37" s="9">
        <f ca="1">RANDBETWEEN(1000,3000)</f>
        <v>1152</v>
      </c>
      <c r="D37" s="10">
        <f>50+B31</f>
        <v>50</v>
      </c>
      <c r="E37" s="10">
        <f ca="1">RANDBETWEEN(1,100)</f>
        <v>30</v>
      </c>
      <c r="G37" s="9" t="s">
        <v>16</v>
      </c>
      <c r="H37" s="10">
        <f t="shared" ca="1" si="34"/>
        <v>0</v>
      </c>
      <c r="I37" s="9">
        <f ca="1">RANDBETWEEN(100,600)</f>
        <v>376</v>
      </c>
      <c r="J37" s="9">
        <f>15+B31</f>
        <v>15</v>
      </c>
      <c r="K37" s="10">
        <f t="shared" ca="1" si="35"/>
        <v>50</v>
      </c>
      <c r="M37" s="9" t="s">
        <v>16</v>
      </c>
      <c r="N37" s="10" t="str">
        <f t="shared" ca="1" si="36"/>
        <v>Tous 2 items + 1 potion</v>
      </c>
      <c r="O37" s="32" t="s">
        <v>111</v>
      </c>
      <c r="P37" s="9">
        <f>15+B31</f>
        <v>15</v>
      </c>
      <c r="Q37" s="10">
        <f t="shared" ca="1" si="37"/>
        <v>12</v>
      </c>
      <c r="S37" s="9" t="s">
        <v>110</v>
      </c>
      <c r="T37" s="10">
        <f ca="1">B76</f>
        <v>7</v>
      </c>
      <c r="U37" s="10" t="str">
        <f ca="1">VLOOKUP(T37,$BU$4:$BV$104,2,FALSE())</f>
        <v>Potions et huiles</v>
      </c>
      <c r="V37" s="10" t="str">
        <f ca="1">VLOOKUP(U37,$BX$29:$BZ$47,3,FALSE())</f>
        <v>Potion d'Escalade</v>
      </c>
      <c r="Y37" s="9">
        <v>28</v>
      </c>
      <c r="Z37" s="72" t="s">
        <v>112</v>
      </c>
      <c r="AA37" s="72"/>
      <c r="AB37" s="29"/>
      <c r="AC37" s="9">
        <v>28</v>
      </c>
      <c r="AD37" s="9" t="s">
        <v>790</v>
      </c>
      <c r="AF37" s="9">
        <v>27</v>
      </c>
      <c r="AG37" s="25" t="s">
        <v>113</v>
      </c>
      <c r="AI37" s="10">
        <v>5</v>
      </c>
      <c r="AJ37" s="25" t="s">
        <v>370</v>
      </c>
      <c r="AK37" s="17"/>
      <c r="AM37" s="30">
        <v>5</v>
      </c>
      <c r="AN37" s="30" t="s">
        <v>114</v>
      </c>
      <c r="AO37" s="17"/>
      <c r="AP37" s="25">
        <v>5</v>
      </c>
      <c r="AQ37" s="25" t="s">
        <v>451</v>
      </c>
      <c r="AR37" s="17"/>
      <c r="AS37" s="25">
        <v>5</v>
      </c>
      <c r="AT37" s="25" t="s">
        <v>499</v>
      </c>
      <c r="AU37" s="17"/>
      <c r="AV37" s="25">
        <v>5</v>
      </c>
      <c r="AW37" s="25" t="s">
        <v>559</v>
      </c>
      <c r="AX37" s="26"/>
      <c r="AY37" s="27">
        <v>6</v>
      </c>
      <c r="AZ37" s="17" t="str">
        <f t="shared" ca="1" si="31"/>
        <v>Harnois de commandement (+3)</v>
      </c>
      <c r="BA37" s="17" t="s">
        <v>613</v>
      </c>
      <c r="BB37" s="17">
        <f t="shared" ca="1" si="32"/>
        <v>15</v>
      </c>
      <c r="BC37" s="17" t="str">
        <f t="shared" ca="1" si="33"/>
        <v xml:space="preserve"> (+3)</v>
      </c>
      <c r="BD37" s="17">
        <v>6</v>
      </c>
      <c r="BE37" s="28" t="s">
        <v>33</v>
      </c>
      <c r="BF37" s="17"/>
      <c r="BH37" s="27">
        <v>27</v>
      </c>
      <c r="BI37" s="25" t="str">
        <f t="shared" ca="1" si="14"/>
        <v>Cimeterre (+1)</v>
      </c>
      <c r="BJ37" s="17" t="s">
        <v>647</v>
      </c>
      <c r="BK37" s="17" t="str">
        <f t="shared" ca="1" si="15"/>
        <v xml:space="preserve"> (+1)</v>
      </c>
      <c r="BL37">
        <f t="shared" ca="1" si="16"/>
        <v>3</v>
      </c>
      <c r="BN37">
        <v>2</v>
      </c>
      <c r="BO37" s="17" t="s">
        <v>654</v>
      </c>
      <c r="BS37" s="24"/>
      <c r="BU37" s="10">
        <v>33</v>
      </c>
      <c r="BV37" s="9" t="s">
        <v>18</v>
      </c>
      <c r="BX37" s="27" t="str">
        <f t="shared" si="25"/>
        <v>Capes et robes</v>
      </c>
      <c r="BY37" s="17">
        <f t="shared" ref="BY37:BY43" ca="1" si="39">RANDBETWEEN(1,20)</f>
        <v>7</v>
      </c>
      <c r="BZ37" s="37" t="str">
        <f ca="1">VLOOKUP(BY37,$AP$10:$AQ$29,2,FALSE())</f>
        <v>Cape de protection</v>
      </c>
      <c r="CA37" s="17"/>
      <c r="CB37" s="27" t="str">
        <f t="shared" si="26"/>
        <v>Capes et robes</v>
      </c>
      <c r="CC37" s="17">
        <f t="shared" ref="CC37:CC43" ca="1" si="40">RANDBETWEEN(1,20)</f>
        <v>9</v>
      </c>
      <c r="CD37" s="37" t="str">
        <f ca="1">VLOOKUP(CC37,$AP$10:$AQ$29,2,FALSE())</f>
        <v>Cape chauve-souris</v>
      </c>
      <c r="CE37" s="17"/>
      <c r="CF37" s="27" t="str">
        <f t="shared" si="27"/>
        <v>Capes et robes</v>
      </c>
      <c r="CG37" s="17">
        <f t="shared" ref="CG37:CG43" ca="1" si="41">RANDBETWEEN(1,20)</f>
        <v>17</v>
      </c>
      <c r="CH37" s="37" t="str">
        <f ca="1">VLOOKUP(CG37,$AP$10:$AQ$29,2,FALSE())</f>
        <v>Robe d'utilité (magicien)</v>
      </c>
      <c r="CI37" s="17"/>
      <c r="CJ37" s="27" t="str">
        <f t="shared" si="28"/>
        <v>Capes et robes</v>
      </c>
      <c r="CK37" s="17">
        <f t="shared" ref="CK37:CK43" ca="1" si="42">RANDBETWEEN(1,20)</f>
        <v>13</v>
      </c>
      <c r="CL37" s="37" t="str">
        <f ca="1">VLOOKUP(CK37,$AP$10:$AQ$29,2,FALSE())</f>
        <v>Robe d'yeux (magicien)</v>
      </c>
      <c r="CM37" s="17"/>
      <c r="CN37" s="27" t="str">
        <f t="shared" si="29"/>
        <v>Capes et robes</v>
      </c>
      <c r="CO37" s="17">
        <f t="shared" ref="CO37:CO43" ca="1" si="43">RANDBETWEEN(1,20)</f>
        <v>13</v>
      </c>
      <c r="CP37" s="37" t="str">
        <f ca="1">VLOOKUP(CO37,$AP$10:$AQ$29,2,FALSE())</f>
        <v>Robe d'yeux (magicien)</v>
      </c>
      <c r="CQ37" s="17"/>
      <c r="CR37" s="27" t="str">
        <f t="shared" si="30"/>
        <v>Capes et robes</v>
      </c>
      <c r="CS37" s="17">
        <f t="shared" ref="CS37:CS43" ca="1" si="44">RANDBETWEEN(1,20)</f>
        <v>16</v>
      </c>
      <c r="CT37" s="37" t="str">
        <f ca="1">VLOOKUP(CS37,$AP$10:$AQ$29,2,FALSE())</f>
        <v>Robe étoilée (magicien)</v>
      </c>
      <c r="CU37" s="17"/>
      <c r="CV37" s="25" t="s">
        <v>19</v>
      </c>
      <c r="CW37" s="25">
        <f ca="1">RANDBETWEEN(1,60)</f>
        <v>55</v>
      </c>
      <c r="CX37" s="25" t="str">
        <f ca="1">VLOOKUP(CW37,$AF$11:$AG$70,2,FALSE())</f>
        <v>Anneau de Faiblesse</v>
      </c>
      <c r="CY37" s="17"/>
      <c r="CZ37" s="25" t="s">
        <v>19</v>
      </c>
      <c r="DA37" s="25">
        <f ca="1">RANDBETWEEN(1,60)</f>
        <v>42</v>
      </c>
      <c r="DB37" s="25" t="str">
        <f ca="1">VLOOKUP(DA37,$AF$11:$AG$70,2,FALSE())</f>
        <v>Anneau de Protection</v>
      </c>
      <c r="DF37" s="9">
        <v>13</v>
      </c>
      <c r="DG37" s="25" t="s">
        <v>746</v>
      </c>
    </row>
    <row r="38" spans="1:111">
      <c r="A38" s="9" t="s">
        <v>21</v>
      </c>
      <c r="B38" s="10">
        <f ca="1">IF(E38&lt;=D38,C38,0)</f>
        <v>0</v>
      </c>
      <c r="C38" s="9">
        <f ca="1">RANDBETWEEN(1000,4000)</f>
        <v>2481</v>
      </c>
      <c r="D38" s="10">
        <f>25+B31</f>
        <v>25</v>
      </c>
      <c r="E38" s="10">
        <f ca="1">RANDBETWEEN(1,100)</f>
        <v>62</v>
      </c>
      <c r="G38" s="9" t="s">
        <v>21</v>
      </c>
      <c r="H38" s="10">
        <f t="shared" ca="1" si="34"/>
        <v>0</v>
      </c>
      <c r="I38" s="9">
        <f ca="1">RANDBETWEEN(300,1800)</f>
        <v>373</v>
      </c>
      <c r="J38" s="9">
        <f>25+B31</f>
        <v>25</v>
      </c>
      <c r="K38" s="10">
        <f t="shared" ca="1" si="35"/>
        <v>66</v>
      </c>
      <c r="M38" s="9" t="s">
        <v>21</v>
      </c>
      <c r="N38" s="10">
        <f t="shared" ca="1" si="36"/>
        <v>0</v>
      </c>
      <c r="O38" s="32" t="s">
        <v>115</v>
      </c>
      <c r="P38" s="9">
        <f>25+B31</f>
        <v>25</v>
      </c>
      <c r="Q38" s="10">
        <f t="shared" ca="1" si="37"/>
        <v>66</v>
      </c>
      <c r="S38" s="9" t="s">
        <v>110</v>
      </c>
      <c r="T38" s="10">
        <f ca="1">C76</f>
        <v>42</v>
      </c>
      <c r="U38" s="10" t="str">
        <f t="shared" ca="1" si="38"/>
        <v>Bâtons</v>
      </c>
      <c r="V38" s="10" t="str">
        <f ca="1">VLOOKUP(U38,$BX$50:$BZ$68,3,FALSE())</f>
        <v>Bâton de Fustibale</v>
      </c>
      <c r="Y38" s="9">
        <v>29</v>
      </c>
      <c r="Z38" s="72" t="s">
        <v>783</v>
      </c>
      <c r="AA38" s="72"/>
      <c r="AB38" s="29"/>
      <c r="AC38" s="9">
        <v>29</v>
      </c>
      <c r="AD38" s="9" t="s">
        <v>791</v>
      </c>
      <c r="AF38" s="9">
        <v>28</v>
      </c>
      <c r="AG38" s="25" t="s">
        <v>113</v>
      </c>
      <c r="AI38" s="10">
        <v>6</v>
      </c>
      <c r="AJ38" s="25" t="s">
        <v>116</v>
      </c>
      <c r="AK38" s="17"/>
      <c r="AM38" s="30">
        <v>6</v>
      </c>
      <c r="AN38" s="30" t="s">
        <v>408</v>
      </c>
      <c r="AO38" s="17"/>
      <c r="AP38" s="25">
        <v>6</v>
      </c>
      <c r="AQ38" s="25" t="s">
        <v>452</v>
      </c>
      <c r="AR38" s="17"/>
      <c r="AS38" s="25">
        <v>6</v>
      </c>
      <c r="AT38" s="25" t="s">
        <v>500</v>
      </c>
      <c r="AU38" s="17"/>
      <c r="AV38" s="25">
        <v>6</v>
      </c>
      <c r="AW38" s="25" t="s">
        <v>560</v>
      </c>
      <c r="AX38" s="26"/>
      <c r="AY38" s="27">
        <v>7</v>
      </c>
      <c r="AZ38" s="17" t="str">
        <f t="shared" ca="1" si="31"/>
        <v>Harnois plain de commandement (+2)</v>
      </c>
      <c r="BA38" s="17" t="s">
        <v>614</v>
      </c>
      <c r="BB38" s="17">
        <f t="shared" ca="1" si="32"/>
        <v>10</v>
      </c>
      <c r="BC38" s="17" t="str">
        <f t="shared" ca="1" si="33"/>
        <v xml:space="preserve"> (+2)</v>
      </c>
      <c r="BD38" s="17">
        <v>7</v>
      </c>
      <c r="BE38" s="28" t="s">
        <v>33</v>
      </c>
      <c r="BF38" s="17"/>
      <c r="BH38" s="27">
        <v>28</v>
      </c>
      <c r="BI38" s="25" t="str">
        <f t="shared" ca="1" si="14"/>
        <v>Cimeterre (+2)</v>
      </c>
      <c r="BJ38" s="17" t="s">
        <v>647</v>
      </c>
      <c r="BK38" s="17" t="str">
        <f t="shared" ca="1" si="15"/>
        <v xml:space="preserve"> (+2)</v>
      </c>
      <c r="BL38">
        <f t="shared" ca="1" si="16"/>
        <v>14</v>
      </c>
      <c r="BN38">
        <v>3</v>
      </c>
      <c r="BO38" s="17" t="s">
        <v>655</v>
      </c>
      <c r="BS38" s="24"/>
      <c r="BU38" s="10">
        <v>34</v>
      </c>
      <c r="BV38" s="9" t="s">
        <v>18</v>
      </c>
      <c r="BX38" s="27" t="str">
        <f t="shared" si="25"/>
        <v>Bottes et gants</v>
      </c>
      <c r="BY38" s="17">
        <f t="shared" ca="1" si="39"/>
        <v>5</v>
      </c>
      <c r="BZ38" s="37" t="str">
        <f ca="1">VLOOKUP(BY38,$AP$33:$AQ$52,2,FALSE())</f>
        <v>Bottes de sept lieues</v>
      </c>
      <c r="CA38" s="17"/>
      <c r="CB38" s="27" t="str">
        <f t="shared" si="26"/>
        <v>Bottes et gants</v>
      </c>
      <c r="CC38" s="17">
        <f t="shared" ca="1" si="40"/>
        <v>14</v>
      </c>
      <c r="CD38" s="37" t="str">
        <f ca="1">VLOOKUP(CC38,$AP$33:$AQ$52,2,FALSE())</f>
        <v>Gantelets de dextérité</v>
      </c>
      <c r="CE38" s="17"/>
      <c r="CF38" s="27" t="str">
        <f t="shared" si="27"/>
        <v>Bottes et gants</v>
      </c>
      <c r="CG38" s="17">
        <f t="shared" ca="1" si="41"/>
        <v>4</v>
      </c>
      <c r="CH38" s="37" t="str">
        <f ca="1">VLOOKUP(CG38,$AP$33:$AQ$52,2,FALSE())</f>
        <v>Bottes de rapidité</v>
      </c>
      <c r="CI38" s="17"/>
      <c r="CJ38" s="27" t="str">
        <f t="shared" si="28"/>
        <v>Bottes et gants</v>
      </c>
      <c r="CK38" s="17">
        <f t="shared" ca="1" si="42"/>
        <v>18</v>
      </c>
      <c r="CL38" s="37" t="str">
        <f ca="1">VLOOKUP(CK38,$AP$33:$AQ$52,2,FALSE())</f>
        <v>Gants antiprojectile</v>
      </c>
      <c r="CM38" s="17"/>
      <c r="CN38" s="27" t="str">
        <f t="shared" si="29"/>
        <v>Bottes et gants</v>
      </c>
      <c r="CO38" s="17">
        <f t="shared" ca="1" si="43"/>
        <v>17</v>
      </c>
      <c r="CP38" s="37" t="str">
        <f ca="1">VLOOKUP(CO38,$AP$33:$AQ$52,2,FALSE())</f>
        <v>Gantelets de natation et d'escalade (prêtre, roublard, combattant)</v>
      </c>
      <c r="CQ38" s="17"/>
      <c r="CR38" s="27" t="str">
        <f t="shared" si="30"/>
        <v>Bottes et gants</v>
      </c>
      <c r="CS38" s="17">
        <f t="shared" ca="1" si="44"/>
        <v>20</v>
      </c>
      <c r="CT38" s="37" t="str">
        <f ca="1">VLOOKUP(CS38,$AP$33:$AQ$52,2,FALSE())</f>
        <v>Botte, bracelet ou gant au choix du MD</v>
      </c>
      <c r="CU38" s="17"/>
      <c r="CV38" s="25" t="s">
        <v>376</v>
      </c>
      <c r="CW38" s="25">
        <f ca="1">RANDBETWEEN(1,20)</f>
        <v>17</v>
      </c>
      <c r="CX38" s="25" t="str">
        <f ca="1">VLOOKUP(CW38,$AI$10:$AJ$29,2,FALSE())</f>
        <v>Sceptre de Splendeur</v>
      </c>
      <c r="CY38" s="17"/>
      <c r="CZ38" s="25" t="s">
        <v>376</v>
      </c>
      <c r="DA38" s="25">
        <f ca="1">RANDBETWEEN(1,20)</f>
        <v>10</v>
      </c>
      <c r="DB38" s="25" t="str">
        <f ca="1">VLOOKUP(DA38,$AI$10:$AJ$29,2,FALSE())</f>
        <v>Sceptre de Passage</v>
      </c>
      <c r="DF38" s="9">
        <v>14</v>
      </c>
      <c r="DG38" s="25" t="s">
        <v>746</v>
      </c>
    </row>
    <row r="39" spans="1:111">
      <c r="A39" s="9" t="s">
        <v>22</v>
      </c>
      <c r="B39" s="10">
        <f ca="1">IF(E39&lt;=D39,C39,0)</f>
        <v>0</v>
      </c>
      <c r="C39" s="9">
        <f ca="1">RANDBETWEEN(1000,6000)</f>
        <v>4653</v>
      </c>
      <c r="D39" s="10">
        <f>40+B31</f>
        <v>40</v>
      </c>
      <c r="E39" s="10">
        <f ca="1">RANDBETWEEN(1,100)</f>
        <v>99</v>
      </c>
      <c r="G39" s="9" t="s">
        <v>22</v>
      </c>
      <c r="H39" s="10">
        <f t="shared" ca="1" si="34"/>
        <v>0</v>
      </c>
      <c r="I39" s="9">
        <f ca="1">RANDBETWEEN(1000,4000)</f>
        <v>1562</v>
      </c>
      <c r="J39" s="9">
        <f>15+B31</f>
        <v>15</v>
      </c>
      <c r="K39" s="10">
        <f t="shared" ca="1" si="35"/>
        <v>29</v>
      </c>
      <c r="M39" s="9" t="s">
        <v>22</v>
      </c>
      <c r="N39" s="10">
        <f t="shared" ca="1" si="36"/>
        <v>0</v>
      </c>
      <c r="O39" s="32" t="s">
        <v>117</v>
      </c>
      <c r="P39" s="9">
        <f>30+B31</f>
        <v>30</v>
      </c>
      <c r="Q39" s="10">
        <f t="shared" ca="1" si="37"/>
        <v>86</v>
      </c>
      <c r="S39" s="9" t="s">
        <v>110</v>
      </c>
      <c r="T39" s="10">
        <f ca="1">B77</f>
        <v>25</v>
      </c>
      <c r="U39" s="10" t="str">
        <f t="shared" ca="1" si="38"/>
        <v>Parchemins</v>
      </c>
      <c r="V39" s="10" t="str">
        <f ca="1">VLOOKUP(U39,$CB$8:$CD$26,3,FALSE())</f>
        <v>Carte</v>
      </c>
      <c r="Y39" s="9">
        <v>30</v>
      </c>
      <c r="Z39" s="72" t="s">
        <v>118</v>
      </c>
      <c r="AA39" s="72"/>
      <c r="AB39" s="29"/>
      <c r="AC39" s="9">
        <v>30</v>
      </c>
      <c r="AD39" s="9" t="s">
        <v>839</v>
      </c>
      <c r="AF39" s="9">
        <v>29</v>
      </c>
      <c r="AG39" s="25" t="s">
        <v>119</v>
      </c>
      <c r="AI39" s="10">
        <v>7</v>
      </c>
      <c r="AJ39" s="25" t="s">
        <v>371</v>
      </c>
      <c r="AK39" s="17"/>
      <c r="AM39" s="30">
        <v>7</v>
      </c>
      <c r="AN39" s="30" t="s">
        <v>165</v>
      </c>
      <c r="AO39" s="17"/>
      <c r="AP39" s="25">
        <v>7</v>
      </c>
      <c r="AQ39" s="25" t="s">
        <v>366</v>
      </c>
      <c r="AR39" s="17"/>
      <c r="AS39" s="25">
        <v>7</v>
      </c>
      <c r="AT39" s="25" t="s">
        <v>501</v>
      </c>
      <c r="AU39" s="17"/>
      <c r="AV39" s="25">
        <v>7</v>
      </c>
      <c r="AW39" s="25" t="s">
        <v>561</v>
      </c>
      <c r="AX39" s="26"/>
      <c r="AY39" s="27">
        <v>8</v>
      </c>
      <c r="AZ39" s="17" t="str">
        <f t="shared" ca="1" si="31"/>
        <v>Armure en cuir de commandement (+1)</v>
      </c>
      <c r="BA39" s="17" t="s">
        <v>615</v>
      </c>
      <c r="BB39" s="17">
        <f t="shared" ca="1" si="32"/>
        <v>1</v>
      </c>
      <c r="BC39" s="17" t="str">
        <f t="shared" ca="1" si="33"/>
        <v xml:space="preserve"> (+1)</v>
      </c>
      <c r="BD39" s="17">
        <v>8</v>
      </c>
      <c r="BE39" s="28" t="s">
        <v>33</v>
      </c>
      <c r="BF39" s="17"/>
      <c r="BH39" s="27">
        <v>29</v>
      </c>
      <c r="BI39" s="25" t="str">
        <f t="shared" ca="1" si="14"/>
        <v>Épieu (+3)</v>
      </c>
      <c r="BJ39" s="17" t="s">
        <v>650</v>
      </c>
      <c r="BK39" s="17" t="str">
        <f t="shared" ca="1" si="15"/>
        <v xml:space="preserve"> (+3)</v>
      </c>
      <c r="BL39">
        <f t="shared" ca="1" si="16"/>
        <v>15</v>
      </c>
      <c r="BN39">
        <v>4</v>
      </c>
      <c r="BO39" s="17" t="s">
        <v>656</v>
      </c>
      <c r="BS39" s="24"/>
      <c r="BU39" s="25">
        <v>35</v>
      </c>
      <c r="BV39" s="30" t="s">
        <v>18</v>
      </c>
      <c r="BX39" s="27" t="str">
        <f t="shared" si="25"/>
        <v>Ceinturons et heaumes</v>
      </c>
      <c r="BY39" s="17">
        <f t="shared" ca="1" si="39"/>
        <v>11</v>
      </c>
      <c r="BZ39" s="37" t="str">
        <f ca="1">VLOOKUP(BY39,$AP$56:$AQ$75,2,FALSE())</f>
        <v>Chapeau de stupidité</v>
      </c>
      <c r="CA39" s="17"/>
      <c r="CB39" s="27" t="str">
        <f t="shared" si="26"/>
        <v>Ceinturons et heaumes</v>
      </c>
      <c r="CC39" s="17">
        <f t="shared" ca="1" si="40"/>
        <v>12</v>
      </c>
      <c r="CD39" s="37" t="str">
        <f ca="1">VLOOKUP(CC39,$AP$56:$AQ$75,2,FALSE())</f>
        <v>Heaume de brillance</v>
      </c>
      <c r="CE39" s="17"/>
      <c r="CF39" s="27" t="str">
        <f t="shared" si="27"/>
        <v>Ceinturons et heaumes</v>
      </c>
      <c r="CG39" s="17">
        <f t="shared" ca="1" si="41"/>
        <v>11</v>
      </c>
      <c r="CH39" s="37" t="str">
        <f ca="1">VLOOKUP(CG39,$AP$56:$AQ$75,2,FALSE())</f>
        <v>Chapeau de stupidité</v>
      </c>
      <c r="CI39" s="17"/>
      <c r="CJ39" s="27" t="str">
        <f t="shared" si="28"/>
        <v>Ceinturons et heaumes</v>
      </c>
      <c r="CK39" s="17">
        <f t="shared" ca="1" si="42"/>
        <v>6</v>
      </c>
      <c r="CL39" s="37" t="str">
        <f ca="1">VLOOKUP(CK39,$AP$56:$AQ$75,2,FALSE())</f>
        <v>Ceinturon des géants (prêtre, roublard, combattant)</v>
      </c>
      <c r="CM39" s="17"/>
      <c r="CN39" s="27" t="str">
        <f t="shared" si="29"/>
        <v>Ceinturons et heaumes</v>
      </c>
      <c r="CO39" s="17">
        <f t="shared" ca="1" si="43"/>
        <v>17</v>
      </c>
      <c r="CP39" s="37" t="str">
        <f ca="1">VLOOKUP(CO39,$AP$56:$AQ$75,2,FALSE())</f>
        <v>Heaume de téléportation</v>
      </c>
      <c r="CQ39" s="17"/>
      <c r="CR39" s="27" t="str">
        <f t="shared" si="30"/>
        <v>Ceinturons et heaumes</v>
      </c>
      <c r="CS39" s="17">
        <f t="shared" ca="1" si="44"/>
        <v>9</v>
      </c>
      <c r="CT39" s="37" t="str">
        <f ca="1">VLOOKUP(CS39,$AP$56:$AQ$75,2,FALSE())</f>
        <v>Ceinturon à poches</v>
      </c>
      <c r="CU39" s="17"/>
      <c r="CV39" s="25" t="s">
        <v>96</v>
      </c>
      <c r="CW39" s="25">
        <f ca="1">RANDBETWEEN(1,20)</f>
        <v>13</v>
      </c>
      <c r="CX39" s="25" t="str">
        <f ca="1">VLOOKUP(CW39,$AI$33:$AJ$52,2,FALSE())</f>
        <v>Bâton de Flétrissement</v>
      </c>
      <c r="CY39" s="17"/>
      <c r="CZ39" s="25" t="s">
        <v>96</v>
      </c>
      <c r="DA39" s="25">
        <f ca="1">RANDBETWEEN(1,20)</f>
        <v>20</v>
      </c>
      <c r="DB39" s="25" t="str">
        <f ca="1">VLOOKUP(DA39,$AI$33:$AJ$52,2,FALSE())</f>
        <v>Bâton choix du MD</v>
      </c>
      <c r="DF39" s="9">
        <v>15</v>
      </c>
      <c r="DG39" s="25" t="s">
        <v>746</v>
      </c>
    </row>
    <row r="40" spans="1:111">
      <c r="A40" s="9" t="s">
        <v>26</v>
      </c>
      <c r="B40" s="10">
        <f ca="1">IF(E40&lt;=D40,C40,0)</f>
        <v>4615</v>
      </c>
      <c r="C40" s="9">
        <f ca="1">RANDBETWEEN(2000,20000)</f>
        <v>4615</v>
      </c>
      <c r="D40" s="10">
        <f>50+B31</f>
        <v>50</v>
      </c>
      <c r="E40" s="10">
        <f ca="1">RANDBETWEEN(1,100)</f>
        <v>32</v>
      </c>
      <c r="G40" s="9" t="s">
        <v>26</v>
      </c>
      <c r="H40" s="10">
        <f t="shared" ca="1" si="34"/>
        <v>0</v>
      </c>
      <c r="I40" s="9">
        <f ca="1">RANDBETWEEN(1000,10000)</f>
        <v>9567</v>
      </c>
      <c r="J40" s="9">
        <f>50+B31</f>
        <v>50</v>
      </c>
      <c r="K40" s="10">
        <f t="shared" ca="1" si="35"/>
        <v>78</v>
      </c>
      <c r="M40" s="9" t="s">
        <v>26</v>
      </c>
      <c r="N40" s="10" t="str">
        <f t="shared" ca="1" si="36"/>
        <v>Tous 5 items</v>
      </c>
      <c r="O40" s="32" t="s">
        <v>120</v>
      </c>
      <c r="P40" s="9">
        <f>35+B31</f>
        <v>35</v>
      </c>
      <c r="Q40" s="10">
        <f t="shared" ca="1" si="37"/>
        <v>4</v>
      </c>
      <c r="S40" s="9" t="s">
        <v>110</v>
      </c>
      <c r="T40" s="10">
        <f ca="1">C77</f>
        <v>67</v>
      </c>
      <c r="U40" s="10" t="str">
        <f t="shared" ca="1" si="38"/>
        <v>Armures et boucliers</v>
      </c>
      <c r="V40" s="10" t="str">
        <f ca="1">VLOOKUP(U40,$CB$29:$CD$47,3,FALSE())</f>
        <v>Armure de plates (+2)</v>
      </c>
      <c r="Y40" s="9">
        <v>31</v>
      </c>
      <c r="Z40" s="72" t="s">
        <v>121</v>
      </c>
      <c r="AA40" s="72"/>
      <c r="AB40" s="29"/>
      <c r="AC40" s="9">
        <v>31</v>
      </c>
      <c r="AD40" s="9" t="s">
        <v>792</v>
      </c>
      <c r="AF40" s="9">
        <v>30</v>
      </c>
      <c r="AG40" s="25" t="s">
        <v>119</v>
      </c>
      <c r="AI40" s="10">
        <v>8</v>
      </c>
      <c r="AJ40" s="25" t="s">
        <v>372</v>
      </c>
      <c r="AK40" s="17"/>
      <c r="AM40" s="30">
        <v>8</v>
      </c>
      <c r="AN40" s="30" t="s">
        <v>122</v>
      </c>
      <c r="AO40" s="17"/>
      <c r="AP40" s="25">
        <v>8</v>
      </c>
      <c r="AQ40" s="25" t="s">
        <v>367</v>
      </c>
      <c r="AR40" s="17"/>
      <c r="AS40" s="25">
        <v>8</v>
      </c>
      <c r="AT40" s="25" t="s">
        <v>502</v>
      </c>
      <c r="AU40" s="17"/>
      <c r="AV40" s="25">
        <v>8</v>
      </c>
      <c r="AW40" s="25" t="s">
        <v>562</v>
      </c>
      <c r="AX40" s="26"/>
      <c r="AY40" s="27">
        <v>9</v>
      </c>
      <c r="AZ40" s="17" t="str">
        <f t="shared" ca="1" si="31"/>
        <v>Plates de commandement (+1)</v>
      </c>
      <c r="BA40" s="17" t="s">
        <v>616</v>
      </c>
      <c r="BB40" s="17">
        <f t="shared" ca="1" si="32"/>
        <v>2</v>
      </c>
      <c r="BC40" s="17" t="str">
        <f t="shared" ca="1" si="33"/>
        <v xml:space="preserve"> (+1)</v>
      </c>
      <c r="BD40" s="17">
        <v>9</v>
      </c>
      <c r="BE40" s="28" t="s">
        <v>58</v>
      </c>
      <c r="BF40" s="17"/>
      <c r="BH40" s="27">
        <v>30</v>
      </c>
      <c r="BI40" s="25" t="str">
        <f t="shared" ca="1" si="14"/>
        <v>Épieu (+2)</v>
      </c>
      <c r="BJ40" s="17" t="s">
        <v>650</v>
      </c>
      <c r="BK40" s="17" t="str">
        <f t="shared" ca="1" si="15"/>
        <v xml:space="preserve"> (+2)</v>
      </c>
      <c r="BL40">
        <f t="shared" ca="1" si="16"/>
        <v>14</v>
      </c>
      <c r="BN40">
        <v>5</v>
      </c>
      <c r="BO40" s="17" t="s">
        <v>657</v>
      </c>
      <c r="BS40" s="24"/>
      <c r="BU40" s="25">
        <v>36</v>
      </c>
      <c r="BV40" s="30" t="s">
        <v>19</v>
      </c>
      <c r="BX40" s="27" t="str">
        <f t="shared" si="25"/>
        <v>Sacs et bouteilles</v>
      </c>
      <c r="BY40" s="17">
        <f t="shared" ca="1" si="39"/>
        <v>7</v>
      </c>
      <c r="BZ40" s="37" t="str">
        <f ca="1">VLOOKUP(BY40,$AS$10:$AT$29,2,FALSE())</f>
        <v>Sac sans fond</v>
      </c>
      <c r="CA40" s="17"/>
      <c r="CB40" s="27" t="str">
        <f t="shared" si="26"/>
        <v>Sacs et bouteilles</v>
      </c>
      <c r="CC40" s="17">
        <f t="shared" ca="1" si="40"/>
        <v>20</v>
      </c>
      <c r="CD40" s="37" t="str">
        <f ca="1">VLOOKUP(CC40,$AS$10:$AT$29,2,FALSE())</f>
        <v>Sac, bouteille ou récipient au choix du MD</v>
      </c>
      <c r="CE40" s="17"/>
      <c r="CF40" s="27" t="str">
        <f t="shared" si="27"/>
        <v>Sacs et bouteilles</v>
      </c>
      <c r="CG40" s="17">
        <f t="shared" ca="1" si="41"/>
        <v>11</v>
      </c>
      <c r="CH40" s="37" t="str">
        <f ca="1">VLOOKUP(CG40,$AS$10:$AT$29,2,FALSE())</f>
        <v>Bourse de Bucknard</v>
      </c>
      <c r="CI40" s="17"/>
      <c r="CJ40" s="27" t="str">
        <f t="shared" si="28"/>
        <v>Sacs et bouteilles</v>
      </c>
      <c r="CK40" s="17">
        <f t="shared" ca="1" si="42"/>
        <v>17</v>
      </c>
      <c r="CL40" s="37" t="str">
        <f ca="1">VLOOKUP(CK40,$AS$10:$AT$29,2,FALSE())</f>
        <v>Flasque de fer</v>
      </c>
      <c r="CM40" s="17"/>
      <c r="CN40" s="27" t="str">
        <f t="shared" si="29"/>
        <v>Sacs et bouteilles</v>
      </c>
      <c r="CO40" s="17">
        <f t="shared" ca="1" si="43"/>
        <v>7</v>
      </c>
      <c r="CP40" s="37" t="str">
        <f ca="1">VLOOKUP(CO40,$AS$10:$AT$29,2,FALSE())</f>
        <v>Sac sans fond</v>
      </c>
      <c r="CQ40" s="17"/>
      <c r="CR40" s="27" t="str">
        <f t="shared" si="30"/>
        <v>Sacs et bouteilles</v>
      </c>
      <c r="CS40" s="17">
        <f t="shared" ca="1" si="44"/>
        <v>13</v>
      </c>
      <c r="CT40" s="37" t="str">
        <f ca="1">VLOOKUP(CS40,$AS$10:$AT$29,2,FALSE())</f>
        <v>Bouteille d'efrit</v>
      </c>
      <c r="CU40" s="17"/>
      <c r="CV40" s="25" t="s">
        <v>38</v>
      </c>
      <c r="CW40" s="25">
        <f ca="1">RANDBETWEEN(1,20)</f>
        <v>2</v>
      </c>
      <c r="CX40" s="25" t="str">
        <f ca="1">VLOOKUP(CW40,$AI$56:$AJ$75,2,FALSE())</f>
        <v>Baguette de Terre et pierre 63 Charges</v>
      </c>
      <c r="CY40" s="17"/>
      <c r="CZ40" s="25" t="s">
        <v>38</v>
      </c>
      <c r="DA40" s="25">
        <f ca="1">RANDBETWEEN(1,20)</f>
        <v>16</v>
      </c>
      <c r="DB40" s="25" t="str">
        <f ca="1">VLOOKUP(DA40,$AI$56:$AJ$75,2,FALSE())</f>
        <v>Baguette de Métamorphose (magicien) 61 Charges</v>
      </c>
      <c r="DF40" s="9">
        <v>16</v>
      </c>
      <c r="DG40" s="25" t="s">
        <v>644</v>
      </c>
    </row>
    <row r="41" spans="1:111">
      <c r="A41" s="9" t="s">
        <v>30</v>
      </c>
      <c r="B41" s="10">
        <f ca="1">IF(E41&lt;=D41,C41,0)</f>
        <v>0</v>
      </c>
      <c r="C41" s="9">
        <f ca="1">RANDBETWEEN(2000,20000)</f>
        <v>11424</v>
      </c>
      <c r="D41" s="10">
        <f>55+B31</f>
        <v>55</v>
      </c>
      <c r="E41" s="10">
        <f ca="1">RANDBETWEEN(1,100)</f>
        <v>59</v>
      </c>
      <c r="G41" s="9" t="s">
        <v>30</v>
      </c>
      <c r="H41" s="10">
        <f t="shared" ca="1" si="34"/>
        <v>0</v>
      </c>
      <c r="I41" s="9">
        <f ca="1">RANDBETWEEN(1000,8000)</f>
        <v>6164</v>
      </c>
      <c r="J41" s="9">
        <f>40+B31</f>
        <v>40</v>
      </c>
      <c r="K41" s="10">
        <f t="shared" ca="1" si="35"/>
        <v>46</v>
      </c>
      <c r="M41" s="9" t="s">
        <v>30</v>
      </c>
      <c r="N41" s="10">
        <f t="shared" ca="1" si="36"/>
        <v>0</v>
      </c>
      <c r="O41" s="32" t="s">
        <v>123</v>
      </c>
      <c r="P41" s="9">
        <f>15+B31</f>
        <v>15</v>
      </c>
      <c r="Q41" s="10">
        <f t="shared" ca="1" si="37"/>
        <v>32</v>
      </c>
      <c r="S41" s="9" t="s">
        <v>110</v>
      </c>
      <c r="T41" s="10">
        <f ca="1">D77</f>
        <v>7</v>
      </c>
      <c r="U41" s="10" t="str">
        <f t="shared" ca="1" si="38"/>
        <v>Potions et huiles</v>
      </c>
      <c r="V41" s="10" t="str">
        <f ca="1">VLOOKUP(U41,$CB$50:$CD$68,3,FALSE())</f>
        <v>Potion d'Éclat irisé</v>
      </c>
      <c r="Y41" s="9">
        <v>32</v>
      </c>
      <c r="Z41" s="72" t="s">
        <v>764</v>
      </c>
      <c r="AA41" s="72"/>
      <c r="AB41" s="29"/>
      <c r="AC41" s="9">
        <v>32</v>
      </c>
      <c r="AD41" s="9" t="s">
        <v>792</v>
      </c>
      <c r="AF41" s="9">
        <v>31</v>
      </c>
      <c r="AG41" s="25" t="s">
        <v>119</v>
      </c>
      <c r="AI41" s="10">
        <v>9</v>
      </c>
      <c r="AJ41" s="25" t="s">
        <v>373</v>
      </c>
      <c r="AK41" s="17"/>
      <c r="AM41" s="30">
        <v>9</v>
      </c>
      <c r="AN41" s="30" t="s">
        <v>124</v>
      </c>
      <c r="AO41" s="17"/>
      <c r="AP41" s="25">
        <v>9</v>
      </c>
      <c r="AQ41" s="25" t="s">
        <v>453</v>
      </c>
      <c r="AR41" s="17"/>
      <c r="AS41" s="25">
        <v>9</v>
      </c>
      <c r="AT41" s="25" t="s">
        <v>503</v>
      </c>
      <c r="AU41" s="17"/>
      <c r="AV41" s="25">
        <v>9</v>
      </c>
      <c r="AW41" s="25" t="s">
        <v>562</v>
      </c>
      <c r="AX41" s="26"/>
      <c r="AY41" s="27">
        <v>10</v>
      </c>
      <c r="AZ41" s="17" t="str">
        <f t="shared" ca="1" si="31"/>
        <v>Plates de commandement (+2)</v>
      </c>
      <c r="BA41" s="17" t="s">
        <v>616</v>
      </c>
      <c r="BB41" s="17">
        <f t="shared" ca="1" si="32"/>
        <v>11</v>
      </c>
      <c r="BC41" s="17" t="str">
        <f t="shared" ca="1" si="33"/>
        <v xml:space="preserve"> (+2)</v>
      </c>
      <c r="BD41" s="17">
        <v>10</v>
      </c>
      <c r="BE41" s="28" t="s">
        <v>58</v>
      </c>
      <c r="BF41" s="17"/>
      <c r="BH41" s="27">
        <v>31</v>
      </c>
      <c r="BI41" s="25" t="str">
        <f t="shared" ca="1" si="14"/>
        <v>Épieu (+1)</v>
      </c>
      <c r="BJ41" s="17" t="s">
        <v>650</v>
      </c>
      <c r="BK41" s="17" t="str">
        <f t="shared" ca="1" si="15"/>
        <v xml:space="preserve"> (+1)</v>
      </c>
      <c r="BL41">
        <f t="shared" ca="1" si="16"/>
        <v>8</v>
      </c>
      <c r="BN41">
        <v>6</v>
      </c>
      <c r="BO41" s="17" t="s">
        <v>658</v>
      </c>
      <c r="BS41" s="24"/>
      <c r="BU41" s="25">
        <v>37</v>
      </c>
      <c r="BV41" s="30" t="s">
        <v>19</v>
      </c>
      <c r="BX41" s="27" t="str">
        <f t="shared" si="25"/>
        <v>Poudres et pierres</v>
      </c>
      <c r="BY41" s="17">
        <f t="shared" ca="1" si="39"/>
        <v>10</v>
      </c>
      <c r="BZ41" s="37" t="str">
        <f ca="1">VLOOKUP(BY41,$AS$33:$AT$52,2,FALSE())</f>
        <v>Pierres ioun</v>
      </c>
      <c r="CA41" s="17"/>
      <c r="CB41" s="27" t="str">
        <f t="shared" si="26"/>
        <v>Poudres et pierres</v>
      </c>
      <c r="CC41" s="17">
        <f t="shared" ca="1" si="40"/>
        <v>12</v>
      </c>
      <c r="CD41" s="37" t="str">
        <f ca="1">VLOOKUP(CC41,$AS$33:$AT$52,2,FALSE())</f>
        <v>Pigments de Nolzur</v>
      </c>
      <c r="CE41" s="17"/>
      <c r="CF41" s="27" t="str">
        <f t="shared" si="27"/>
        <v>Poudres et pierres</v>
      </c>
      <c r="CG41" s="17">
        <f t="shared" ca="1" si="41"/>
        <v>7</v>
      </c>
      <c r="CH41" s="37" t="str">
        <f ca="1">VLOOKUP(CG41,$AS$33:$AT$52,2,FALSE())</f>
        <v>Poudre de toux et étouffement</v>
      </c>
      <c r="CI41" s="17"/>
      <c r="CJ41" s="27" t="str">
        <f t="shared" si="28"/>
        <v>Poudres et pierres</v>
      </c>
      <c r="CK41" s="17">
        <f t="shared" ca="1" si="42"/>
        <v>13</v>
      </c>
      <c r="CL41" s="37" t="str">
        <f ca="1">VLOOKUP(CK41,$AS$33:$AT$52,2,FALSE())</f>
        <v>Pierre philosophale</v>
      </c>
      <c r="CM41" s="17"/>
      <c r="CN41" s="27" t="str">
        <f t="shared" si="29"/>
        <v>Poudres et pierres</v>
      </c>
      <c r="CO41" s="17">
        <f t="shared" ca="1" si="43"/>
        <v>12</v>
      </c>
      <c r="CP41" s="37" t="str">
        <f ca="1">VLOOKUP(CO41,$AS$33:$AT$52,2,FALSE())</f>
        <v>Pigments de Nolzur</v>
      </c>
      <c r="CQ41" s="17"/>
      <c r="CR41" s="27" t="str">
        <f t="shared" si="30"/>
        <v>Poudres et pierres</v>
      </c>
      <c r="CS41" s="17">
        <f t="shared" ca="1" si="44"/>
        <v>1</v>
      </c>
      <c r="CT41" s="37" t="str">
        <f ca="1">VLOOKUP(CS41,$AS$33:$AT$52,2,FALSE())</f>
        <v>Cierge d'invocation (prêtre)</v>
      </c>
      <c r="CU41" s="17"/>
      <c r="CV41" s="25" t="s">
        <v>739</v>
      </c>
      <c r="CW41" s="25">
        <f ca="1">RANDBETWEEN(1,20)</f>
        <v>15</v>
      </c>
      <c r="CX41" s="25" t="str">
        <f ca="1">VLOOKUP(CW41,$AM$10:$AN$29,2,FALSE())</f>
        <v>Manuel des larcins furtifs</v>
      </c>
      <c r="CY41" s="17"/>
      <c r="CZ41" s="25" t="s">
        <v>739</v>
      </c>
      <c r="DA41" s="25">
        <f ca="1">RANDBETWEEN(1,20)</f>
        <v>14</v>
      </c>
      <c r="DB41" s="25" t="str">
        <f ca="1">VLOOKUP(DA41,$AM$10:$AN$29,2,FALSE())</f>
        <v>Manuel d'agilité</v>
      </c>
      <c r="DF41" s="9">
        <v>17</v>
      </c>
      <c r="DG41" s="25" t="s">
        <v>644</v>
      </c>
    </row>
    <row r="42" spans="1:111">
      <c r="A42" s="9" t="s">
        <v>34</v>
      </c>
      <c r="B42" s="10"/>
      <c r="C42" s="10"/>
      <c r="D42" s="10"/>
      <c r="E42" s="10"/>
      <c r="G42" s="9" t="s">
        <v>34</v>
      </c>
      <c r="H42" s="10">
        <f t="shared" ca="1" si="34"/>
        <v>0</v>
      </c>
      <c r="I42" s="9">
        <f ca="1">RANDBETWEEN(100,600)</f>
        <v>587</v>
      </c>
      <c r="J42" s="9">
        <f>30+B31</f>
        <v>30</v>
      </c>
      <c r="K42" s="10">
        <f t="shared" ca="1" si="35"/>
        <v>50</v>
      </c>
      <c r="M42" s="9" t="s">
        <v>34</v>
      </c>
      <c r="N42" s="10">
        <f t="shared" ca="1" si="36"/>
        <v>0</v>
      </c>
      <c r="O42" s="32" t="s">
        <v>125</v>
      </c>
      <c r="P42" s="9">
        <f>15+B31</f>
        <v>15</v>
      </c>
      <c r="Q42" s="10">
        <f t="shared" ca="1" si="37"/>
        <v>96</v>
      </c>
      <c r="S42" s="9" t="s">
        <v>110</v>
      </c>
      <c r="T42" s="10">
        <f ca="1">B78</f>
        <v>8</v>
      </c>
      <c r="U42" s="10" t="str">
        <f t="shared" ca="1" si="38"/>
        <v>Potions et huiles</v>
      </c>
      <c r="V42" s="10" t="str">
        <f ca="1">VLOOKUP(U42,$CF$8:$CH$26,3,FALSE())</f>
        <v>Philtre de persuasion</v>
      </c>
      <c r="Y42" s="9">
        <v>33</v>
      </c>
      <c r="Z42" s="72" t="s">
        <v>765</v>
      </c>
      <c r="AA42" s="72"/>
      <c r="AB42" s="29"/>
      <c r="AC42" s="9">
        <v>33</v>
      </c>
      <c r="AD42" s="9" t="s">
        <v>793</v>
      </c>
      <c r="AF42" s="9">
        <v>32</v>
      </c>
      <c r="AG42" s="25" t="s">
        <v>119</v>
      </c>
      <c r="AI42" s="10">
        <v>10</v>
      </c>
      <c r="AJ42" s="25" t="s">
        <v>373</v>
      </c>
      <c r="AK42" s="17"/>
      <c r="AM42" s="30">
        <v>10</v>
      </c>
      <c r="AN42" s="30" t="s">
        <v>126</v>
      </c>
      <c r="AO42" s="17"/>
      <c r="AP42" s="25">
        <v>10</v>
      </c>
      <c r="AQ42" s="25" t="s">
        <v>455</v>
      </c>
      <c r="AR42" s="17"/>
      <c r="AS42" s="25">
        <v>10</v>
      </c>
      <c r="AT42" s="25" t="s">
        <v>504</v>
      </c>
      <c r="AU42" s="17"/>
      <c r="AV42" s="25">
        <v>10</v>
      </c>
      <c r="AW42" s="25" t="s">
        <v>563</v>
      </c>
      <c r="AX42" s="26"/>
      <c r="AY42" s="27">
        <v>11</v>
      </c>
      <c r="AZ42" s="17" t="str">
        <f t="shared" ca="1" si="31"/>
        <v>Plates de commandement (+2)</v>
      </c>
      <c r="BA42" s="17" t="s">
        <v>616</v>
      </c>
      <c r="BB42" s="17">
        <f t="shared" ca="1" si="32"/>
        <v>9</v>
      </c>
      <c r="BC42" s="17" t="str">
        <f t="shared" ca="1" si="33"/>
        <v xml:space="preserve"> (+2)</v>
      </c>
      <c r="BD42" s="17">
        <v>11</v>
      </c>
      <c r="BE42" s="28" t="s">
        <v>58</v>
      </c>
      <c r="BF42" s="17"/>
      <c r="BH42" s="27">
        <v>32</v>
      </c>
      <c r="BI42" s="25" t="str">
        <f t="shared" ca="1" si="14"/>
        <v>Épieu (+1)</v>
      </c>
      <c r="BJ42" s="17" t="s">
        <v>650</v>
      </c>
      <c r="BK42" s="17" t="str">
        <f t="shared" ca="1" si="15"/>
        <v xml:space="preserve"> (+1)</v>
      </c>
      <c r="BL42">
        <f t="shared" ca="1" si="16"/>
        <v>9</v>
      </c>
      <c r="BN42">
        <v>7</v>
      </c>
      <c r="BO42" s="17" t="s">
        <v>659</v>
      </c>
      <c r="BS42" s="24"/>
      <c r="BU42" s="25">
        <v>38</v>
      </c>
      <c r="BV42" s="30" t="s">
        <v>19</v>
      </c>
      <c r="BX42" s="27" t="str">
        <f t="shared" si="25"/>
        <v>Outils et ustensiles ménagers</v>
      </c>
      <c r="BY42" s="17">
        <f t="shared" ca="1" si="39"/>
        <v>6</v>
      </c>
      <c r="BZ42" s="37" t="str">
        <f ca="1">VLOOKUP(BY42,$AS$56:$AT$75,2,FALSE())</f>
        <v>Pioche des titans (combattant)</v>
      </c>
      <c r="CA42" s="17"/>
      <c r="CB42" s="27" t="str">
        <f t="shared" si="26"/>
        <v>Outils et ustensiles ménagers</v>
      </c>
      <c r="CC42" s="17">
        <f t="shared" ca="1" si="40"/>
        <v>5</v>
      </c>
      <c r="CD42" s="37" t="str">
        <f ca="1">VLOOKUP(CC42,$AS$56:$AT$75,2,FALSE())</f>
        <v>Tapis volant</v>
      </c>
      <c r="CE42" s="17"/>
      <c r="CF42" s="27" t="str">
        <f t="shared" si="27"/>
        <v>Outils et ustensiles ménagers</v>
      </c>
      <c r="CG42" s="17">
        <f t="shared" ca="1" si="41"/>
        <v>6</v>
      </c>
      <c r="CH42" s="37" t="str">
        <f ca="1">VLOOKUP(CG42,$AS$56:$AT$75,2,FALSE())</f>
        <v>Pioche des titans (combattant)</v>
      </c>
      <c r="CI42" s="17"/>
      <c r="CJ42" s="27" t="str">
        <f t="shared" si="28"/>
        <v>Outils et ustensiles ménagers</v>
      </c>
      <c r="CK42" s="17">
        <f t="shared" ca="1" si="42"/>
        <v>18</v>
      </c>
      <c r="CL42" s="37" t="str">
        <f ca="1">VLOOKUP(CK42,$AS$56:$AT$75,2,FALSE())</f>
        <v>Scie fabuleuse (combattant)</v>
      </c>
      <c r="CM42" s="17"/>
      <c r="CN42" s="27" t="str">
        <f t="shared" si="29"/>
        <v>Outils et ustensiles ménagers</v>
      </c>
      <c r="CO42" s="17">
        <f t="shared" ca="1" si="43"/>
        <v>7</v>
      </c>
      <c r="CP42" s="37" t="str">
        <f ca="1">VLOOKUP(CO42,$AS$56:$AT$75,2,FALSE())</f>
        <v>Maillet des titans (combattant)</v>
      </c>
      <c r="CQ42" s="17"/>
      <c r="CR42" s="27" t="str">
        <f t="shared" si="30"/>
        <v>Outils et ustensiles ménagers</v>
      </c>
      <c r="CS42" s="17">
        <f t="shared" ca="1" si="44"/>
        <v>12</v>
      </c>
      <c r="CT42" s="37" t="str">
        <f ca="1">VLOOKUP(CS42,$AS$56:$AT$75,2,FALSE())</f>
        <v>Corde d'escalade</v>
      </c>
      <c r="CU42" s="17"/>
      <c r="CV42" s="25" t="s">
        <v>740</v>
      </c>
      <c r="CW42" s="25">
        <f ca="1">RANDBETWEEN(1,40)</f>
        <v>1</v>
      </c>
      <c r="CX42" s="25" t="str">
        <f ca="1">VLOOKUP(CW42,$AM$33:$AN$72,2,FALSE())</f>
        <v>Amulette de Détection Infaillible</v>
      </c>
      <c r="CY42" s="17"/>
      <c r="CZ42" s="25" t="s">
        <v>740</v>
      </c>
      <c r="DA42" s="25">
        <f ca="1">RANDBETWEEN(1,40)</f>
        <v>17</v>
      </c>
      <c r="DB42" s="25" t="str">
        <f ca="1">VLOOKUP(DA42,$AM$33:$AN$72,2,FALSE())</f>
        <v>Collier de Projectiles</v>
      </c>
      <c r="DF42" s="9">
        <v>18</v>
      </c>
      <c r="DG42" s="25" t="s">
        <v>644</v>
      </c>
    </row>
    <row r="43" spans="1:111">
      <c r="A43" s="9" t="s">
        <v>39</v>
      </c>
      <c r="B43" s="10"/>
      <c r="C43" s="9"/>
      <c r="D43" s="10"/>
      <c r="E43" s="10"/>
      <c r="G43" s="9" t="s">
        <v>39</v>
      </c>
      <c r="H43" s="10"/>
      <c r="I43" s="9"/>
      <c r="J43" s="10"/>
      <c r="K43" s="10"/>
      <c r="M43" s="9" t="s">
        <v>39</v>
      </c>
      <c r="N43" s="10"/>
      <c r="O43" s="30"/>
      <c r="P43" s="10"/>
      <c r="Q43" s="10"/>
      <c r="S43" s="9" t="s">
        <v>110</v>
      </c>
      <c r="T43" s="10">
        <f ca="1">C78</f>
        <v>40</v>
      </c>
      <c r="U43" s="10" t="str">
        <f t="shared" ca="1" si="38"/>
        <v>Anneaux</v>
      </c>
      <c r="V43" s="10" t="str">
        <f ca="1">VLOOKUP(U43,$CF$29:$CH$47,3,FALSE())</f>
        <v>Anneau de Conjuration de Djinns</v>
      </c>
      <c r="Y43" s="9">
        <v>34</v>
      </c>
      <c r="Z43" s="72" t="s">
        <v>766</v>
      </c>
      <c r="AA43" s="72"/>
      <c r="AB43" s="29"/>
      <c r="AC43" s="9">
        <v>34</v>
      </c>
      <c r="AD43" s="9" t="s">
        <v>794</v>
      </c>
      <c r="AF43" s="9">
        <v>33</v>
      </c>
      <c r="AG43" s="25" t="s">
        <v>127</v>
      </c>
      <c r="AI43" s="10">
        <v>11</v>
      </c>
      <c r="AJ43" s="25" t="s">
        <v>374</v>
      </c>
      <c r="AK43" s="17"/>
      <c r="AM43" s="30">
        <v>11</v>
      </c>
      <c r="AN43" s="30" t="s">
        <v>128</v>
      </c>
      <c r="AO43" s="17"/>
      <c r="AP43" s="25">
        <v>11</v>
      </c>
      <c r="AQ43" s="25" t="s">
        <v>454</v>
      </c>
      <c r="AR43" s="17"/>
      <c r="AS43" s="25">
        <v>11</v>
      </c>
      <c r="AT43" s="25" t="s">
        <v>505</v>
      </c>
      <c r="AU43" s="17"/>
      <c r="AV43" s="25">
        <v>11</v>
      </c>
      <c r="AW43" s="25" t="s">
        <v>564</v>
      </c>
      <c r="AX43" s="26"/>
      <c r="AY43" s="27">
        <v>12</v>
      </c>
      <c r="AZ43" s="17" t="str">
        <f t="shared" ca="1" si="31"/>
        <v>Plates de commandement (+1)</v>
      </c>
      <c r="BA43" s="17" t="s">
        <v>616</v>
      </c>
      <c r="BB43" s="17">
        <f t="shared" ca="1" si="32"/>
        <v>1</v>
      </c>
      <c r="BC43" s="17" t="str">
        <f t="shared" ca="1" si="33"/>
        <v xml:space="preserve"> (+1)</v>
      </c>
      <c r="BD43" s="17">
        <v>12</v>
      </c>
      <c r="BE43" s="28" t="s">
        <v>58</v>
      </c>
      <c r="BF43" s="17"/>
      <c r="BH43" s="27">
        <v>33</v>
      </c>
      <c r="BI43" s="25" t="str">
        <f t="shared" ref="BI43:BI66" ca="1" si="45">CONCATENATE(BJ43,BK43)</f>
        <v>Épieu (+4)</v>
      </c>
      <c r="BJ43" s="17" t="s">
        <v>650</v>
      </c>
      <c r="BK43" s="17" t="str">
        <f t="shared" ref="BK43:BK66" ca="1" si="46">VLOOKUP(BL43,$BM$11:$BN$30,2,FALSE())</f>
        <v xml:space="preserve"> (+4)</v>
      </c>
      <c r="BL43">
        <f t="shared" ref="BL43:BL66" ca="1" si="47">RANDBETWEEN(1,20)</f>
        <v>18</v>
      </c>
      <c r="BN43">
        <v>8</v>
      </c>
      <c r="BO43" s="17" t="s">
        <v>660</v>
      </c>
      <c r="BS43" s="24"/>
      <c r="BU43" s="25">
        <v>39</v>
      </c>
      <c r="BV43" s="30" t="s">
        <v>19</v>
      </c>
      <c r="BX43" s="27" t="str">
        <f t="shared" si="25"/>
        <v>Instruments de musique</v>
      </c>
      <c r="BY43" s="17">
        <f t="shared" ca="1" si="39"/>
        <v>2</v>
      </c>
      <c r="BZ43" s="37" t="str">
        <f ca="1">VLOOKUP(BY43,$AV$10:$AW$29,2,FALSE())</f>
        <v>Carillon d'ouverture</v>
      </c>
      <c r="CA43" s="17"/>
      <c r="CB43" s="27" t="str">
        <f t="shared" si="26"/>
        <v>Instruments de musique</v>
      </c>
      <c r="CC43" s="17">
        <f t="shared" ca="1" si="40"/>
        <v>13</v>
      </c>
      <c r="CD43" s="37" t="str">
        <f ca="1">VLOOKUP(CC43,$AV$10:$AW$29,2,FALSE())</f>
        <v>Conque des tritons (prêtre, combattant)</v>
      </c>
      <c r="CE43" s="17"/>
      <c r="CF43" s="27" t="str">
        <f t="shared" si="27"/>
        <v>Instruments de musique</v>
      </c>
      <c r="CG43" s="17">
        <f t="shared" ca="1" si="41"/>
        <v>19</v>
      </c>
      <c r="CH43" s="37" t="str">
        <f ca="1">VLOOKUP(CG43,$AV$10:$AW$29,2,FALSE())</f>
        <v>Flûte enchantée</v>
      </c>
      <c r="CI43" s="17"/>
      <c r="CJ43" s="27" t="str">
        <f t="shared" si="28"/>
        <v>Instruments de musique</v>
      </c>
      <c r="CK43" s="17">
        <f t="shared" ca="1" si="42"/>
        <v>15</v>
      </c>
      <c r="CL43" s="37" t="str">
        <f ca="1">VLOOKUP(CK43,$AV$10:$AW$29,2,FALSE())</f>
        <v>Lyre de construction</v>
      </c>
      <c r="CM43" s="17"/>
      <c r="CN43" s="27" t="str">
        <f t="shared" si="29"/>
        <v>Instruments de musique</v>
      </c>
      <c r="CO43" s="17">
        <f t="shared" ca="1" si="43"/>
        <v>13</v>
      </c>
      <c r="CP43" s="37" t="str">
        <f ca="1">VLOOKUP(CO43,$AV$10:$AW$29,2,FALSE())</f>
        <v>Conque des tritons (prêtre, combattant)</v>
      </c>
      <c r="CQ43" s="17"/>
      <c r="CR43" s="27" t="str">
        <f t="shared" si="30"/>
        <v>Instruments de musique</v>
      </c>
      <c r="CS43" s="17">
        <f t="shared" ca="1" si="44"/>
        <v>8</v>
      </c>
      <c r="CT43" s="37" t="str">
        <f ca="1">VLOOKUP(CS43,$AV$10:$AW$29,2,FALSE())</f>
        <v>Cor de destruction</v>
      </c>
      <c r="CU43" s="17"/>
      <c r="CV43" s="25" t="s">
        <v>741</v>
      </c>
      <c r="CW43" s="25">
        <f t="shared" ref="CW43:CW49" ca="1" si="48">RANDBETWEEN(1,20)</f>
        <v>16</v>
      </c>
      <c r="CX43" s="25" t="str">
        <f ca="1">VLOOKUP(CW43,$AP$10:$AQ$29,2,FALSE())</f>
        <v>Robe étoilée (magicien)</v>
      </c>
      <c r="CY43" s="17"/>
      <c r="CZ43" s="25" t="s">
        <v>741</v>
      </c>
      <c r="DA43" s="25">
        <f t="shared" ref="DA43:DA49" ca="1" si="49">RANDBETWEEN(1,20)</f>
        <v>4</v>
      </c>
      <c r="DB43" s="25" t="str">
        <f ca="1">VLOOKUP(DA43,$AP$10:$AQ$29,2,FALSE())</f>
        <v>Cape elfique</v>
      </c>
      <c r="DF43" s="9">
        <v>19</v>
      </c>
      <c r="DG43" s="25" t="s">
        <v>644</v>
      </c>
    </row>
    <row r="44" spans="1:111">
      <c r="A44" s="9" t="s">
        <v>42</v>
      </c>
      <c r="B44" s="10"/>
      <c r="C44" s="9"/>
      <c r="D44" s="10"/>
      <c r="E44" s="10"/>
      <c r="G44" s="9" t="s">
        <v>42</v>
      </c>
      <c r="H44" s="10"/>
      <c r="I44" s="9"/>
      <c r="J44" s="10"/>
      <c r="K44" s="10"/>
      <c r="M44" s="9" t="s">
        <v>42</v>
      </c>
      <c r="N44" s="10"/>
      <c r="O44" s="30"/>
      <c r="P44" s="10"/>
      <c r="Q44" s="10"/>
      <c r="S44" s="9" t="s">
        <v>110</v>
      </c>
      <c r="T44" s="10">
        <f ca="1">D78</f>
        <v>91</v>
      </c>
      <c r="U44" s="10" t="str">
        <f t="shared" ca="1" si="38"/>
        <v>Armes</v>
      </c>
      <c r="V44" s="10" t="str">
        <f ca="1">VLOOKUP(U44,$CF$50:$CH$68,3,FALSE())</f>
        <v>Épée (+3)</v>
      </c>
      <c r="Y44" s="9">
        <v>35</v>
      </c>
      <c r="Z44" s="72" t="s">
        <v>767</v>
      </c>
      <c r="AA44" s="72"/>
      <c r="AB44" s="29"/>
      <c r="AC44" s="9">
        <v>35</v>
      </c>
      <c r="AD44" s="9" t="s">
        <v>795</v>
      </c>
      <c r="AF44" s="9">
        <v>34</v>
      </c>
      <c r="AG44" s="25" t="s">
        <v>127</v>
      </c>
      <c r="AI44" s="10">
        <v>12</v>
      </c>
      <c r="AJ44" s="25" t="s">
        <v>374</v>
      </c>
      <c r="AK44" s="17"/>
      <c r="AM44" s="30">
        <v>12</v>
      </c>
      <c r="AN44" s="30" t="s">
        <v>129</v>
      </c>
      <c r="AO44" s="17"/>
      <c r="AP44" s="25">
        <v>12</v>
      </c>
      <c r="AQ44" s="25" t="s">
        <v>454</v>
      </c>
      <c r="AR44" s="17"/>
      <c r="AS44" s="25">
        <v>12</v>
      </c>
      <c r="AT44" s="25" t="s">
        <v>506</v>
      </c>
      <c r="AU44" s="17"/>
      <c r="AV44" s="25">
        <v>12</v>
      </c>
      <c r="AW44" s="25" t="s">
        <v>565</v>
      </c>
      <c r="AX44" s="26"/>
      <c r="AY44" s="27">
        <v>13</v>
      </c>
      <c r="AZ44" s="17" t="str">
        <f t="shared" ca="1" si="31"/>
        <v>Armure annelée de commandement (+1)</v>
      </c>
      <c r="BA44" s="17" t="s">
        <v>617</v>
      </c>
      <c r="BB44" s="17">
        <f t="shared" ca="1" si="32"/>
        <v>6</v>
      </c>
      <c r="BC44" s="17" t="str">
        <f t="shared" ca="1" si="33"/>
        <v xml:space="preserve"> (+1)</v>
      </c>
      <c r="BD44" s="17">
        <v>13</v>
      </c>
      <c r="BE44" s="28" t="s">
        <v>71</v>
      </c>
      <c r="BF44" s="17"/>
      <c r="BH44" s="27">
        <v>34</v>
      </c>
      <c r="BI44" s="25" t="str">
        <f t="shared" ca="1" si="45"/>
        <v>Épieu (+3)</v>
      </c>
      <c r="BJ44" s="17" t="s">
        <v>650</v>
      </c>
      <c r="BK44" s="17" t="str">
        <f t="shared" ca="1" si="46"/>
        <v xml:space="preserve"> (+3)</v>
      </c>
      <c r="BL44">
        <f t="shared" ca="1" si="47"/>
        <v>17</v>
      </c>
      <c r="BN44">
        <v>9</v>
      </c>
      <c r="BO44" s="17" t="s">
        <v>661</v>
      </c>
      <c r="BS44" s="24"/>
      <c r="BU44" s="25">
        <v>40</v>
      </c>
      <c r="BV44" s="30" t="s">
        <v>19</v>
      </c>
      <c r="BX44" s="27" t="str">
        <f t="shared" si="25"/>
        <v>Bizarreries</v>
      </c>
      <c r="BY44" s="17">
        <f ca="1">RANDBETWEEN(1,40)</f>
        <v>31</v>
      </c>
      <c r="BZ44" s="37" t="str">
        <f ca="1">VLOOKUP(BY44,$AV$33:$AW$72,2,FALSE())</f>
        <v>Carquois d'Ehlonna</v>
      </c>
      <c r="CA44" s="17"/>
      <c r="CB44" s="27" t="str">
        <f t="shared" si="26"/>
        <v>Bizarreries</v>
      </c>
      <c r="CC44" s="17">
        <f ca="1">RANDBETWEEN(1,40)</f>
        <v>18</v>
      </c>
      <c r="CD44" s="37" t="str">
        <f ca="1">VLOOKUP(CC44,$AV$33:$AW$72,2,FALSE())</f>
        <v>Yeux de charme</v>
      </c>
      <c r="CE44" s="17"/>
      <c r="CF44" s="27" t="str">
        <f t="shared" si="27"/>
        <v>Bizarreries</v>
      </c>
      <c r="CG44" s="17">
        <f ca="1">RANDBETWEEN(1,40)</f>
        <v>38</v>
      </c>
      <c r="CH44" s="37" t="str">
        <f ca="1">VLOOKUP(CG44,$AV$33:$AW$72,2,FALSE())</f>
        <v>Ëventail des vents</v>
      </c>
      <c r="CI44" s="17"/>
      <c r="CJ44" s="27" t="str">
        <f t="shared" si="28"/>
        <v>Bizarreries</v>
      </c>
      <c r="CK44" s="17">
        <f ca="1">RANDBETWEEN(1,40)</f>
        <v>26</v>
      </c>
      <c r="CL44" s="37" t="str">
        <f ca="1">VLOOKUP(CK44,$AV$33:$AW$72,2,FALSE())</f>
        <v>Fers de rapidité</v>
      </c>
      <c r="CM44" s="17"/>
      <c r="CN44" s="27" t="str">
        <f t="shared" si="29"/>
        <v>Bizarreries</v>
      </c>
      <c r="CO44" s="17">
        <f ca="1">RANDBETWEEN(1,40)</f>
        <v>32</v>
      </c>
      <c r="CP44" s="37" t="str">
        <f ca="1">VLOOKUP(CO44,$AV$33:$AW$72,2,FALSE())</f>
        <v>Carquois d'Ehlonna</v>
      </c>
      <c r="CQ44" s="17"/>
      <c r="CR44" s="27" t="str">
        <f t="shared" si="30"/>
        <v>Bizarreries</v>
      </c>
      <c r="CS44" s="17">
        <f ca="1">RANDBETWEEN(1,40)</f>
        <v>37</v>
      </c>
      <c r="CT44" s="37" t="str">
        <f ca="1">VLOOKUP(CS44,$AV$33:$AW$72,2,FALSE())</f>
        <v>Ëventail des vents</v>
      </c>
      <c r="CU44" s="17"/>
      <c r="CV44" s="25" t="s">
        <v>742</v>
      </c>
      <c r="CW44" s="25">
        <f t="shared" ca="1" si="48"/>
        <v>5</v>
      </c>
      <c r="CX44" s="25" t="str">
        <f ca="1">VLOOKUP(CW44,$AP$33:$AQ$52,2,FALSE())</f>
        <v>Bottes de sept lieues</v>
      </c>
      <c r="CY44" s="17"/>
      <c r="CZ44" s="25" t="s">
        <v>742</v>
      </c>
      <c r="DA44" s="25">
        <f t="shared" ca="1" si="49"/>
        <v>1</v>
      </c>
      <c r="DB44" s="25" t="str">
        <f ca="1">VLOOKUP(DA44,$AP$33:$AQ$52,2,FALSE())</f>
        <v>Bottes de danse</v>
      </c>
      <c r="DF44" s="9">
        <v>20</v>
      </c>
      <c r="DG44" s="25" t="s">
        <v>644</v>
      </c>
    </row>
    <row r="45" spans="1:111">
      <c r="A45" s="9" t="s">
        <v>44</v>
      </c>
      <c r="B45" s="10"/>
      <c r="C45" s="9"/>
      <c r="D45" s="10"/>
      <c r="E45" s="10"/>
      <c r="G45" s="9" t="s">
        <v>44</v>
      </c>
      <c r="H45" s="10">
        <f ca="1">IF(K45&lt;=J45,I45,0)</f>
        <v>10</v>
      </c>
      <c r="I45" s="9">
        <f ca="1">RANDBETWEEN(2,12)</f>
        <v>10</v>
      </c>
      <c r="J45" s="10">
        <v>100</v>
      </c>
      <c r="K45" s="10"/>
      <c r="M45" s="9" t="s">
        <v>44</v>
      </c>
      <c r="N45" s="10"/>
      <c r="O45" s="30"/>
      <c r="P45" s="10"/>
      <c r="Q45" s="10"/>
      <c r="S45" s="9" t="s">
        <v>110</v>
      </c>
      <c r="T45" s="10">
        <f ca="1">E78</f>
        <v>17</v>
      </c>
      <c r="U45" s="10" t="str">
        <f t="shared" ca="1" si="38"/>
        <v>Potions et huiles</v>
      </c>
      <c r="V45" s="10" t="str">
        <f ca="1">VLOOKUP(U45,$CJ$8:$CL$26,3,FALSE())</f>
        <v>Potion de Forme gazeuse</v>
      </c>
      <c r="Y45" s="9">
        <v>36</v>
      </c>
      <c r="Z45" s="72" t="s">
        <v>768</v>
      </c>
      <c r="AA45" s="72"/>
      <c r="AB45" s="29"/>
      <c r="AC45" s="9">
        <v>36</v>
      </c>
      <c r="AD45" s="9" t="s">
        <v>795</v>
      </c>
      <c r="AF45" s="9">
        <v>35</v>
      </c>
      <c r="AG45" s="25" t="s">
        <v>130</v>
      </c>
      <c r="AI45" s="10">
        <v>13</v>
      </c>
      <c r="AJ45" s="32" t="s">
        <v>131</v>
      </c>
      <c r="AK45" s="17"/>
      <c r="AM45" s="30">
        <v>13</v>
      </c>
      <c r="AN45" s="30" t="s">
        <v>132</v>
      </c>
      <c r="AO45" s="17"/>
      <c r="AP45" s="25">
        <v>13</v>
      </c>
      <c r="AQ45" s="25" t="s">
        <v>368</v>
      </c>
      <c r="AR45" s="17"/>
      <c r="AS45" s="25">
        <v>13</v>
      </c>
      <c r="AT45" s="25" t="s">
        <v>507</v>
      </c>
      <c r="AU45" s="17"/>
      <c r="AV45" s="25">
        <v>13</v>
      </c>
      <c r="AW45" s="25" t="s">
        <v>565</v>
      </c>
      <c r="AX45" s="26"/>
      <c r="AY45" s="27">
        <v>14</v>
      </c>
      <c r="AZ45" s="17" t="str">
        <f t="shared" ca="1" si="31"/>
        <v>Armure d'écailles de commandement (+1)</v>
      </c>
      <c r="BA45" s="17" t="s">
        <v>620</v>
      </c>
      <c r="BB45" s="17">
        <f t="shared" ca="1" si="32"/>
        <v>5</v>
      </c>
      <c r="BC45" s="17" t="str">
        <f t="shared" ca="1" si="33"/>
        <v xml:space="preserve"> (+1)</v>
      </c>
      <c r="BD45" s="17">
        <v>14</v>
      </c>
      <c r="BE45" s="28" t="s">
        <v>71</v>
      </c>
      <c r="BF45" s="17"/>
      <c r="BH45" s="27">
        <v>35</v>
      </c>
      <c r="BI45" s="25" t="str">
        <f t="shared" ca="1" si="45"/>
        <v>Épée (+1)</v>
      </c>
      <c r="BJ45" s="17" t="s">
        <v>133</v>
      </c>
      <c r="BK45" s="17" t="str">
        <f t="shared" ca="1" si="46"/>
        <v xml:space="preserve"> (+1)</v>
      </c>
      <c r="BL45">
        <f t="shared" ca="1" si="47"/>
        <v>5</v>
      </c>
      <c r="BN45">
        <v>10</v>
      </c>
      <c r="BO45" s="17" t="s">
        <v>662</v>
      </c>
      <c r="BS45" s="24"/>
      <c r="BU45" s="25">
        <v>41</v>
      </c>
      <c r="BV45" s="30" t="s">
        <v>376</v>
      </c>
      <c r="BX45" s="27" t="str">
        <f t="shared" si="25"/>
        <v>Armures et boucliers</v>
      </c>
      <c r="BY45" s="17">
        <f ca="1">RANDBETWEEN(1,20)</f>
        <v>15</v>
      </c>
      <c r="BZ45" s="37" t="str">
        <f ca="1">VLOOKUP(BY45,$AY$11:$AZ$30,2,FALSE())</f>
        <v>Bouclier (+3)</v>
      </c>
      <c r="CA45" s="17"/>
      <c r="CB45" s="27" t="str">
        <f t="shared" si="26"/>
        <v>Armures et boucliers</v>
      </c>
      <c r="CC45" s="17">
        <f ca="1">RANDBETWEEN(1,20)</f>
        <v>10</v>
      </c>
      <c r="CD45" s="37" t="str">
        <f ca="1">VLOOKUP(CC45,$AY$11:$AZ$30,2,FALSE())</f>
        <v>Armure de plates (+2)</v>
      </c>
      <c r="CE45" s="17"/>
      <c r="CF45" s="27" t="str">
        <f t="shared" si="27"/>
        <v>Armures et boucliers</v>
      </c>
      <c r="CG45" s="17">
        <f ca="1">RANDBETWEEN(1,20)</f>
        <v>16</v>
      </c>
      <c r="CH45" s="37" t="str">
        <f ca="1">VLOOKUP(CG45,$AY$11:$AZ$30,2,FALSE())</f>
        <v>Bouclier (+4)</v>
      </c>
      <c r="CI45" s="17"/>
      <c r="CJ45" s="27" t="str">
        <f t="shared" si="28"/>
        <v>Armures et boucliers</v>
      </c>
      <c r="CK45" s="17">
        <f ca="1">RANDBETWEEN(1,20)</f>
        <v>16</v>
      </c>
      <c r="CL45" s="37" t="str">
        <f ca="1">VLOOKUP(CK45,$AY$11:$AZ$30,2,FALSE())</f>
        <v>Bouclier (+4)</v>
      </c>
      <c r="CM45" s="17"/>
      <c r="CN45" s="27" t="str">
        <f t="shared" si="29"/>
        <v>Armures et boucliers</v>
      </c>
      <c r="CO45" s="17">
        <f ca="1">RANDBETWEEN(1,20)</f>
        <v>10</v>
      </c>
      <c r="CP45" s="37" t="str">
        <f ca="1">VLOOKUP(CO45,$AY$11:$AZ$30,2,FALSE())</f>
        <v>Armure de plates (+2)</v>
      </c>
      <c r="CQ45" s="17"/>
      <c r="CR45" s="27" t="str">
        <f t="shared" si="30"/>
        <v>Armures et boucliers</v>
      </c>
      <c r="CS45" s="17">
        <f ca="1">RANDBETWEEN(1,20)</f>
        <v>3</v>
      </c>
      <c r="CT45" s="37" t="str">
        <f ca="1">VLOOKUP(CS45,$AY$11:$AZ$30,2,FALSE())</f>
        <v>Cotte de mailles (+1)</v>
      </c>
      <c r="CU45" s="17"/>
      <c r="CV45" s="25" t="s">
        <v>743</v>
      </c>
      <c r="CW45" s="25">
        <f t="shared" ca="1" si="48"/>
        <v>16</v>
      </c>
      <c r="CX45" s="25" t="str">
        <f ca="1">VLOOKUP(CW45,$AP$56:$AQ$75,2,FALSE())</f>
        <v>Heaume de télépathie</v>
      </c>
      <c r="CY45" s="17"/>
      <c r="CZ45" s="25" t="s">
        <v>743</v>
      </c>
      <c r="DA45" s="25">
        <f t="shared" ca="1" si="49"/>
        <v>8</v>
      </c>
      <c r="DB45" s="25" t="str">
        <f ca="1">VLOOKUP(DA45,$AP$56:$AQ$75,2,FALSE())</f>
        <v>Ceinturon à poches</v>
      </c>
      <c r="DF45" s="9">
        <v>21</v>
      </c>
      <c r="DG45" s="25" t="s">
        <v>644</v>
      </c>
    </row>
    <row r="46" spans="1:111">
      <c r="A46" s="9" t="s">
        <v>47</v>
      </c>
      <c r="B46" s="10">
        <f ca="1">IF(E46&lt;=D46,C46,0)</f>
        <v>3</v>
      </c>
      <c r="C46" s="9">
        <f ca="1">RANDBETWEEN(2,4)</f>
        <v>3</v>
      </c>
      <c r="D46" s="10">
        <v>100</v>
      </c>
      <c r="E46" s="10"/>
      <c r="G46" s="9" t="s">
        <v>47</v>
      </c>
      <c r="H46" s="10"/>
      <c r="I46" s="9"/>
      <c r="J46" s="10"/>
      <c r="K46" s="10"/>
      <c r="M46" s="9" t="s">
        <v>47</v>
      </c>
      <c r="N46" s="10"/>
      <c r="O46" s="30"/>
      <c r="P46" s="10"/>
      <c r="Q46" s="10"/>
      <c r="S46" s="9" t="s">
        <v>110</v>
      </c>
      <c r="T46" s="10">
        <f ca="1">F78</f>
        <v>51</v>
      </c>
      <c r="U46" s="10" t="str">
        <f t="shared" ca="1" si="38"/>
        <v>Bottes et gants</v>
      </c>
      <c r="V46" s="10" t="str">
        <f ca="1">VLOOKUP(U46,$CJ$29:$CL$47,3,FALSE())</f>
        <v>Gants antiprojectile</v>
      </c>
      <c r="Y46" s="9">
        <v>37</v>
      </c>
      <c r="Z46" s="72" t="s">
        <v>769</v>
      </c>
      <c r="AA46" s="72"/>
      <c r="AB46" s="29"/>
      <c r="AC46" s="9">
        <v>37</v>
      </c>
      <c r="AD46" s="9" t="s">
        <v>796</v>
      </c>
      <c r="AF46" s="9">
        <v>36</v>
      </c>
      <c r="AG46" s="25" t="s">
        <v>130</v>
      </c>
      <c r="AI46" s="10">
        <v>14</v>
      </c>
      <c r="AJ46" s="32" t="s">
        <v>131</v>
      </c>
      <c r="AK46" s="17"/>
      <c r="AM46" s="30">
        <v>14</v>
      </c>
      <c r="AN46" s="30" t="s">
        <v>134</v>
      </c>
      <c r="AO46" s="17"/>
      <c r="AP46" s="25">
        <v>14</v>
      </c>
      <c r="AQ46" s="25" t="s">
        <v>456</v>
      </c>
      <c r="AR46" s="17"/>
      <c r="AS46" s="25">
        <v>14</v>
      </c>
      <c r="AT46" s="25" t="s">
        <v>508</v>
      </c>
      <c r="AU46" s="17"/>
      <c r="AV46" s="25">
        <v>14</v>
      </c>
      <c r="AW46" s="25" t="s">
        <v>566</v>
      </c>
      <c r="AX46" s="26"/>
      <c r="AY46" s="27">
        <v>15</v>
      </c>
      <c r="AZ46" s="17" t="str">
        <f t="shared" ca="1" si="31"/>
        <v>Bouclier de commandement (+2)</v>
      </c>
      <c r="BA46" s="17" t="s">
        <v>619</v>
      </c>
      <c r="BB46" s="17">
        <f t="shared" ca="1" si="32"/>
        <v>9</v>
      </c>
      <c r="BC46" s="17" t="str">
        <f t="shared" ca="1" si="33"/>
        <v xml:space="preserve"> (+2)</v>
      </c>
      <c r="BD46" s="17">
        <v>15</v>
      </c>
      <c r="BE46" s="28" t="s">
        <v>71</v>
      </c>
      <c r="BF46" s="17"/>
      <c r="BH46" s="27">
        <v>36</v>
      </c>
      <c r="BI46" s="25" t="str">
        <f t="shared" ca="1" si="45"/>
        <v>Épée (+3)</v>
      </c>
      <c r="BJ46" s="17" t="s">
        <v>133</v>
      </c>
      <c r="BK46" s="17" t="str">
        <f t="shared" ca="1" si="46"/>
        <v xml:space="preserve"> (+3)</v>
      </c>
      <c r="BL46">
        <f t="shared" ca="1" si="47"/>
        <v>16</v>
      </c>
      <c r="BN46">
        <v>11</v>
      </c>
      <c r="BO46" s="17" t="s">
        <v>663</v>
      </c>
      <c r="BS46" s="24"/>
      <c r="BU46" s="25">
        <v>42</v>
      </c>
      <c r="BV46" s="30" t="s">
        <v>96</v>
      </c>
      <c r="BX46" s="27" t="str">
        <f t="shared" si="25"/>
        <v>Armes</v>
      </c>
      <c r="BY46" s="17">
        <f ca="1">RANDBETWEEN(1,20)</f>
        <v>11</v>
      </c>
      <c r="BZ46" s="37" t="str">
        <f ca="1">VLOOKUP(BY46,$BH$11:$BI$69,2,FALSE())</f>
        <v>Dague (+1)</v>
      </c>
      <c r="CA46" s="17"/>
      <c r="CB46" s="27" t="str">
        <f t="shared" si="26"/>
        <v>Armes</v>
      </c>
      <c r="CC46" s="17">
        <f ca="1">RANDBETWEEN(1,59)</f>
        <v>58</v>
      </c>
      <c r="CD46" s="37" t="str">
        <f ca="1">VLOOKUP(CC46,$BH$11:$BI$69,2,FALSE())</f>
        <v>Épée +1, +2 contre les jeteurs de sorts et les créatures enchantées</v>
      </c>
      <c r="CE46" s="17"/>
      <c r="CF46" s="27" t="str">
        <f t="shared" si="27"/>
        <v>Armes</v>
      </c>
      <c r="CG46" s="17">
        <f ca="1">RANDBETWEEN(1,59)</f>
        <v>48</v>
      </c>
      <c r="CH46" s="37" t="str">
        <f ca="1">VLOOKUP(CG46,$BH$11:$BI$69,2,FALSE())</f>
        <v>Épée (+1)</v>
      </c>
      <c r="CI46" s="17"/>
      <c r="CJ46" s="27" t="str">
        <f t="shared" si="28"/>
        <v>Armes</v>
      </c>
      <c r="CK46" s="17">
        <f ca="1">RANDBETWEEN(1,59)</f>
        <v>40</v>
      </c>
      <c r="CL46" s="37" t="str">
        <f ca="1">VLOOKUP(CK46,$BH$11:$BI$69,2,FALSE())</f>
        <v>Épée (+2)</v>
      </c>
      <c r="CM46" s="17"/>
      <c r="CN46" s="27" t="str">
        <f t="shared" si="29"/>
        <v>Armes</v>
      </c>
      <c r="CO46" s="17">
        <f ca="1">RANDBETWEEN(1,59)</f>
        <v>54</v>
      </c>
      <c r="CP46" s="37" t="str">
        <f ca="1">VLOOKUP(CO46,$BH$11:$BI$69,2,FALSE())</f>
        <v>Trident (+5)</v>
      </c>
      <c r="CQ46" s="17"/>
      <c r="CR46" s="27" t="str">
        <f t="shared" si="30"/>
        <v>Armes</v>
      </c>
      <c r="CS46" s="17">
        <f ca="1">RANDBETWEEN(1,59)</f>
        <v>39</v>
      </c>
      <c r="CT46" s="37" t="str">
        <f ca="1">VLOOKUP(CS46,$BH$11:$BI$69,2,FALSE())</f>
        <v>Épée (+1)</v>
      </c>
      <c r="CU46" s="17"/>
      <c r="CV46" s="25" t="s">
        <v>744</v>
      </c>
      <c r="CW46" s="25">
        <f t="shared" ca="1" si="48"/>
        <v>1</v>
      </c>
      <c r="CX46" s="25" t="str">
        <f ca="1">VLOOKUP(CW46,$AS$10:$AT$29,2,FALSE())</f>
        <v>Cruche d'alchimiste</v>
      </c>
      <c r="CY46" s="17"/>
      <c r="CZ46" s="25" t="s">
        <v>744</v>
      </c>
      <c r="DA46" s="25">
        <f t="shared" ca="1" si="49"/>
        <v>3</v>
      </c>
      <c r="DB46" s="25" t="str">
        <f ca="1">VLOOKUP(DA46,$AS$10:$AT$29,2,FALSE())</f>
        <v>Sac dévoreur</v>
      </c>
      <c r="DF46" s="9">
        <v>22</v>
      </c>
      <c r="DG46" s="25" t="s">
        <v>644</v>
      </c>
    </row>
    <row r="47" spans="1:111">
      <c r="A47" s="9" t="s">
        <v>50</v>
      </c>
      <c r="B47" s="10"/>
      <c r="C47" s="10"/>
      <c r="D47" s="10"/>
      <c r="E47" s="10"/>
      <c r="G47" s="9" t="s">
        <v>50</v>
      </c>
      <c r="H47" s="10">
        <f ca="1">IF(K47&lt;=J47,I47,0)</f>
        <v>3</v>
      </c>
      <c r="I47" s="9">
        <f ca="1">RANDBETWEEN(1,6)</f>
        <v>3</v>
      </c>
      <c r="J47" s="10">
        <v>100</v>
      </c>
      <c r="K47" s="10"/>
      <c r="M47" s="9" t="s">
        <v>50</v>
      </c>
      <c r="N47" s="10"/>
      <c r="O47" s="30"/>
      <c r="P47" s="10"/>
      <c r="Q47" s="10"/>
      <c r="S47" s="9" t="s">
        <v>110</v>
      </c>
      <c r="T47" s="10">
        <f ca="1">B79</f>
        <v>88</v>
      </c>
      <c r="U47" s="10" t="str">
        <f t="shared" ca="1" si="38"/>
        <v>Armes</v>
      </c>
      <c r="V47" s="10" t="str">
        <f ca="1">VLOOKUP(U47,$CJ$50:$CL$68,3,FALSE())</f>
        <v>Épée (+2)</v>
      </c>
      <c r="Y47" s="9">
        <v>38</v>
      </c>
      <c r="Z47" s="72" t="s">
        <v>770</v>
      </c>
      <c r="AA47" s="72"/>
      <c r="AB47" s="29"/>
      <c r="AC47" s="9">
        <v>38</v>
      </c>
      <c r="AD47" s="9" t="s">
        <v>797</v>
      </c>
      <c r="AF47" s="9">
        <v>37</v>
      </c>
      <c r="AG47" s="25" t="s">
        <v>135</v>
      </c>
      <c r="AI47" s="10">
        <v>15</v>
      </c>
      <c r="AJ47" s="25" t="s">
        <v>136</v>
      </c>
      <c r="AK47" s="17"/>
      <c r="AM47" s="30">
        <v>15</v>
      </c>
      <c r="AN47" s="30" t="s">
        <v>361</v>
      </c>
      <c r="AO47" s="17"/>
      <c r="AP47" s="25">
        <v>15</v>
      </c>
      <c r="AQ47" s="25" t="s">
        <v>457</v>
      </c>
      <c r="AR47" s="17"/>
      <c r="AS47" s="25">
        <v>15</v>
      </c>
      <c r="AT47" s="25" t="s">
        <v>509</v>
      </c>
      <c r="AU47" s="17"/>
      <c r="AV47" s="25">
        <v>15</v>
      </c>
      <c r="AW47" s="25" t="s">
        <v>567</v>
      </c>
      <c r="AX47" s="26"/>
      <c r="AY47" s="27">
        <v>16</v>
      </c>
      <c r="AZ47" s="17" t="str">
        <f t="shared" ca="1" si="31"/>
        <v>Bouclier de commandement (+1)</v>
      </c>
      <c r="BA47" s="17" t="s">
        <v>619</v>
      </c>
      <c r="BB47" s="17">
        <f t="shared" ca="1" si="32"/>
        <v>6</v>
      </c>
      <c r="BC47" s="17" t="str">
        <f t="shared" ca="1" si="33"/>
        <v xml:space="preserve"> (+1)</v>
      </c>
      <c r="BD47" s="17">
        <v>16</v>
      </c>
      <c r="BE47" s="28" t="s">
        <v>82</v>
      </c>
      <c r="BF47" s="17"/>
      <c r="BH47" s="27">
        <v>37</v>
      </c>
      <c r="BI47" s="25" t="str">
        <f t="shared" ca="1" si="45"/>
        <v>Épée (+1)</v>
      </c>
      <c r="BJ47" s="17" t="s">
        <v>133</v>
      </c>
      <c r="BK47" s="17" t="str">
        <f t="shared" ca="1" si="46"/>
        <v xml:space="preserve"> (+1)</v>
      </c>
      <c r="BL47">
        <f t="shared" ca="1" si="47"/>
        <v>4</v>
      </c>
      <c r="BN47">
        <v>12</v>
      </c>
      <c r="BO47" s="17" t="s">
        <v>664</v>
      </c>
      <c r="BS47" s="24"/>
      <c r="BU47" s="25">
        <v>43</v>
      </c>
      <c r="BV47" s="30" t="s">
        <v>38</v>
      </c>
      <c r="BX47" s="38" t="str">
        <f t="shared" si="25"/>
        <v>Armes</v>
      </c>
      <c r="BY47" s="39"/>
      <c r="BZ47" s="40" t="str">
        <f ca="1">BZ46</f>
        <v>Dague (+1)</v>
      </c>
      <c r="CA47" s="17"/>
      <c r="CB47" s="38" t="str">
        <f t="shared" si="26"/>
        <v>Armes</v>
      </c>
      <c r="CC47" s="39"/>
      <c r="CD47" s="40" t="str">
        <f ca="1">CD46</f>
        <v>Épée +1, +2 contre les jeteurs de sorts et les créatures enchantées</v>
      </c>
      <c r="CE47" s="17"/>
      <c r="CF47" s="38" t="str">
        <f t="shared" si="27"/>
        <v>Armes</v>
      </c>
      <c r="CG47" s="39"/>
      <c r="CH47" s="40" t="str">
        <f ca="1">CH46</f>
        <v>Épée (+1)</v>
      </c>
      <c r="CI47" s="17"/>
      <c r="CJ47" s="38" t="str">
        <f t="shared" si="28"/>
        <v>Armes</v>
      </c>
      <c r="CK47" s="39"/>
      <c r="CL47" s="40" t="str">
        <f ca="1">CL46</f>
        <v>Épée (+2)</v>
      </c>
      <c r="CM47" s="17"/>
      <c r="CN47" s="38" t="str">
        <f t="shared" si="29"/>
        <v>Armes</v>
      </c>
      <c r="CO47" s="39"/>
      <c r="CP47" s="40" t="str">
        <f ca="1">CP46</f>
        <v>Trident (+5)</v>
      </c>
      <c r="CQ47" s="17"/>
      <c r="CR47" s="38" t="str">
        <f t="shared" si="30"/>
        <v>Armes</v>
      </c>
      <c r="CS47" s="39"/>
      <c r="CT47" s="40" t="str">
        <f ca="1">CT46</f>
        <v>Épée (+1)</v>
      </c>
      <c r="CU47" s="17"/>
      <c r="CV47" s="25" t="s">
        <v>745</v>
      </c>
      <c r="CW47" s="25">
        <f t="shared" ca="1" si="48"/>
        <v>7</v>
      </c>
      <c r="CX47" s="25" t="str">
        <f ca="1">VLOOKUP(CW47,$AS$33:$AT$52,2,FALSE())</f>
        <v>Poudre de toux et étouffement</v>
      </c>
      <c r="CY47" s="17"/>
      <c r="CZ47" s="25" t="s">
        <v>745</v>
      </c>
      <c r="DA47" s="25">
        <f t="shared" ca="1" si="49"/>
        <v>18</v>
      </c>
      <c r="DB47" s="25" t="str">
        <f ca="1">VLOOKUP(DA47,$AS$33:$AT$52,2,FALSE())</f>
        <v>Pierre de grand poids</v>
      </c>
      <c r="DF47" s="9">
        <v>23</v>
      </c>
      <c r="DG47" s="25" t="s">
        <v>644</v>
      </c>
    </row>
    <row r="48" spans="1:111">
      <c r="A48" s="9" t="s">
        <v>52</v>
      </c>
      <c r="B48" s="10"/>
      <c r="C48" s="9"/>
      <c r="D48" s="10"/>
      <c r="E48" s="10"/>
      <c r="G48" s="9" t="s">
        <v>52</v>
      </c>
      <c r="H48" s="10"/>
      <c r="I48" s="9"/>
      <c r="J48" s="10"/>
      <c r="K48" s="10"/>
      <c r="M48" s="9" t="s">
        <v>52</v>
      </c>
      <c r="N48" s="10"/>
      <c r="O48" s="30"/>
      <c r="P48" s="10"/>
      <c r="Q48" s="10"/>
      <c r="S48" s="9" t="s">
        <v>110</v>
      </c>
      <c r="T48" s="10">
        <f ca="1">C79</f>
        <v>64</v>
      </c>
      <c r="U48" s="10" t="str">
        <f t="shared" ca="1" si="38"/>
        <v>Armures et boucliers</v>
      </c>
      <c r="V48" s="10" t="str">
        <f ca="1">VLOOKUP(U48,$CN$8:$CP$26,3,FALSE())</f>
        <v>Bouclier (+3)</v>
      </c>
      <c r="Y48" s="9">
        <v>39</v>
      </c>
      <c r="Z48" s="72" t="s">
        <v>771</v>
      </c>
      <c r="AA48" s="72"/>
      <c r="AB48" s="29"/>
      <c r="AC48" s="9">
        <v>39</v>
      </c>
      <c r="AD48" s="9" t="s">
        <v>798</v>
      </c>
      <c r="AF48" s="9">
        <v>38</v>
      </c>
      <c r="AG48" s="25" t="s">
        <v>135</v>
      </c>
      <c r="AI48" s="10">
        <v>16</v>
      </c>
      <c r="AJ48" s="25" t="s">
        <v>375</v>
      </c>
      <c r="AK48" s="17"/>
      <c r="AM48" s="30">
        <v>16</v>
      </c>
      <c r="AN48" s="30" t="s">
        <v>137</v>
      </c>
      <c r="AO48" s="17"/>
      <c r="AP48" s="25">
        <v>16</v>
      </c>
      <c r="AQ48" s="25" t="s">
        <v>458</v>
      </c>
      <c r="AR48" s="17"/>
      <c r="AS48" s="25">
        <v>16</v>
      </c>
      <c r="AT48" s="25" t="s">
        <v>510</v>
      </c>
      <c r="AU48" s="17"/>
      <c r="AV48" s="25">
        <v>16</v>
      </c>
      <c r="AW48" s="25" t="s">
        <v>568</v>
      </c>
      <c r="AX48" s="26"/>
      <c r="AY48" s="27">
        <v>17</v>
      </c>
      <c r="AZ48" s="17" t="str">
        <f t="shared" ca="1" si="31"/>
        <v>Bouclier de commandement (+1)</v>
      </c>
      <c r="BA48" s="17" t="s">
        <v>619</v>
      </c>
      <c r="BB48" s="17">
        <f t="shared" ca="1" si="32"/>
        <v>5</v>
      </c>
      <c r="BC48" s="17" t="str">
        <f t="shared" ca="1" si="33"/>
        <v xml:space="preserve"> (+1)</v>
      </c>
      <c r="BD48" s="17">
        <v>17</v>
      </c>
      <c r="BE48" s="28" t="s">
        <v>82</v>
      </c>
      <c r="BF48" s="17"/>
      <c r="BH48" s="27">
        <v>38</v>
      </c>
      <c r="BI48" s="25" t="str">
        <f t="shared" ca="1" si="45"/>
        <v>Épée (-1)</v>
      </c>
      <c r="BJ48" s="17" t="s">
        <v>133</v>
      </c>
      <c r="BK48" s="17" t="str">
        <f t="shared" ca="1" si="46"/>
        <v xml:space="preserve"> (-1)</v>
      </c>
      <c r="BL48">
        <f t="shared" ca="1" si="47"/>
        <v>2</v>
      </c>
      <c r="BN48">
        <v>13</v>
      </c>
      <c r="BO48" s="17" t="s">
        <v>665</v>
      </c>
      <c r="BS48" s="24"/>
      <c r="BU48" s="25">
        <v>44</v>
      </c>
      <c r="BV48" s="30" t="s">
        <v>38</v>
      </c>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25" t="s">
        <v>515</v>
      </c>
      <c r="CW48" s="25">
        <f t="shared" ca="1" si="48"/>
        <v>9</v>
      </c>
      <c r="CX48" s="25" t="str">
        <f ca="1">VLOOKUP(CW48,$AS$56:$AT$75,2,FALSE())</f>
        <v>Miroir de prouesse mentale</v>
      </c>
      <c r="CY48" s="17"/>
      <c r="CZ48" s="25" t="s">
        <v>515</v>
      </c>
      <c r="DA48" s="25">
        <f t="shared" ca="1" si="49"/>
        <v>14</v>
      </c>
      <c r="DB48" s="25" t="str">
        <f ca="1">VLOOKUP(DA48,$AS$56:$AT$75,2,FALSE())</f>
        <v>Corde de constriction</v>
      </c>
      <c r="DF48" s="9">
        <v>24</v>
      </c>
      <c r="DG48" s="25" t="s">
        <v>644</v>
      </c>
    </row>
    <row r="49" spans="1:114">
      <c r="A49" s="9" t="s">
        <v>56</v>
      </c>
      <c r="B49" s="10"/>
      <c r="C49" s="10"/>
      <c r="D49" s="10"/>
      <c r="E49" s="10"/>
      <c r="G49" s="9" t="s">
        <v>56</v>
      </c>
      <c r="H49" s="10">
        <f ca="1">IF(K49&lt;=J49,I49,0)</f>
        <v>6</v>
      </c>
      <c r="I49" s="9">
        <f ca="1">RANDBETWEEN(1,20)</f>
        <v>6</v>
      </c>
      <c r="J49" s="10">
        <v>100</v>
      </c>
      <c r="K49" s="10"/>
      <c r="M49" s="9" t="s">
        <v>56</v>
      </c>
      <c r="N49" s="10"/>
      <c r="O49" s="30"/>
      <c r="P49" s="10"/>
      <c r="Q49" s="10"/>
      <c r="S49" s="9" t="s">
        <v>110</v>
      </c>
      <c r="T49" s="10">
        <f ca="1">D79</f>
        <v>19</v>
      </c>
      <c r="U49" s="10" t="str">
        <f t="shared" ca="1" si="38"/>
        <v>Potions et huiles</v>
      </c>
      <c r="V49" s="10" t="str">
        <f ca="1">VLOOKUP(U49,$CN$29:$CP$47,3,FALSE())</f>
        <v>Huile éthérée</v>
      </c>
      <c r="Y49" s="9">
        <v>40</v>
      </c>
      <c r="Z49" s="72" t="s">
        <v>756</v>
      </c>
      <c r="AA49" s="72"/>
      <c r="AB49" s="29"/>
      <c r="AC49" s="9">
        <v>40</v>
      </c>
      <c r="AD49" s="9" t="s">
        <v>799</v>
      </c>
      <c r="AF49" s="9">
        <v>39</v>
      </c>
      <c r="AG49" s="25" t="s">
        <v>805</v>
      </c>
      <c r="AI49" s="10">
        <v>17</v>
      </c>
      <c r="AJ49" s="25" t="s">
        <v>138</v>
      </c>
      <c r="AK49" s="17"/>
      <c r="AM49" s="30">
        <v>17</v>
      </c>
      <c r="AN49" s="30" t="s">
        <v>137</v>
      </c>
      <c r="AO49" s="17"/>
      <c r="AP49" s="25">
        <v>17</v>
      </c>
      <c r="AQ49" s="25" t="s">
        <v>459</v>
      </c>
      <c r="AR49" s="17"/>
      <c r="AS49" s="25">
        <v>17</v>
      </c>
      <c r="AT49" s="25" t="s">
        <v>511</v>
      </c>
      <c r="AU49" s="17"/>
      <c r="AV49" s="25">
        <v>17</v>
      </c>
      <c r="AW49" s="25" t="s">
        <v>569</v>
      </c>
      <c r="AX49" s="26"/>
      <c r="AY49" s="27">
        <v>18</v>
      </c>
      <c r="AZ49" s="17" t="str">
        <f t="shared" ca="1" si="31"/>
        <v>Armure feuilletée de commandement (+2)</v>
      </c>
      <c r="BA49" s="17" t="s">
        <v>618</v>
      </c>
      <c r="BB49" s="17">
        <f t="shared" ca="1" si="32"/>
        <v>10</v>
      </c>
      <c r="BC49" s="17" t="str">
        <f t="shared" ca="1" si="33"/>
        <v xml:space="preserve"> (+2)</v>
      </c>
      <c r="BD49" s="17">
        <v>18</v>
      </c>
      <c r="BE49" s="28" t="s">
        <v>91</v>
      </c>
      <c r="BF49" s="17"/>
      <c r="BH49" s="27">
        <v>39</v>
      </c>
      <c r="BI49" s="25" t="str">
        <f t="shared" ca="1" si="45"/>
        <v>Épée (+1)</v>
      </c>
      <c r="BJ49" s="17" t="s">
        <v>133</v>
      </c>
      <c r="BK49" s="17" t="str">
        <f t="shared" ca="1" si="46"/>
        <v xml:space="preserve"> (+1)</v>
      </c>
      <c r="BL49">
        <f t="shared" ca="1" si="47"/>
        <v>5</v>
      </c>
      <c r="BN49">
        <v>14</v>
      </c>
      <c r="BO49" s="17" t="s">
        <v>666</v>
      </c>
      <c r="BS49" s="24"/>
      <c r="BU49" s="25">
        <v>45</v>
      </c>
      <c r="BV49" s="30" t="s">
        <v>38</v>
      </c>
      <c r="BX49" s="41">
        <v>3</v>
      </c>
      <c r="BY49" s="22" t="str">
        <f>BY28</f>
        <v>Jet</v>
      </c>
      <c r="BZ49" s="42"/>
      <c r="CA49" s="17"/>
      <c r="CB49" s="41">
        <v>6</v>
      </c>
      <c r="CC49" s="22" t="s">
        <v>734</v>
      </c>
      <c r="CD49" s="42"/>
      <c r="CE49" s="17"/>
      <c r="CF49" s="41">
        <v>9</v>
      </c>
      <c r="CG49" s="22" t="s">
        <v>734</v>
      </c>
      <c r="CH49" s="42"/>
      <c r="CI49" s="17"/>
      <c r="CJ49" s="41">
        <v>12</v>
      </c>
      <c r="CK49" s="22" t="s">
        <v>734</v>
      </c>
      <c r="CL49" s="42"/>
      <c r="CM49" s="17"/>
      <c r="CN49" s="41">
        <v>15</v>
      </c>
      <c r="CO49" s="22" t="s">
        <v>15</v>
      </c>
      <c r="CP49" s="42"/>
      <c r="CQ49" s="17"/>
      <c r="CR49" s="17"/>
      <c r="CS49" s="17"/>
      <c r="CT49" s="17"/>
      <c r="CU49" s="17"/>
      <c r="CV49" s="25" t="s">
        <v>535</v>
      </c>
      <c r="CW49" s="25">
        <f t="shared" ca="1" si="48"/>
        <v>13</v>
      </c>
      <c r="CX49" s="25" t="str">
        <f ca="1">VLOOKUP(CW49,$AV$10:$AW$29,2,FALSE())</f>
        <v>Conque des tritons (prêtre, combattant)</v>
      </c>
      <c r="CY49" s="17"/>
      <c r="CZ49" s="25" t="s">
        <v>535</v>
      </c>
      <c r="DA49" s="25">
        <f t="shared" ca="1" si="49"/>
        <v>5</v>
      </c>
      <c r="DB49" s="25" t="str">
        <f ca="1">VLOOKUP(DA49,$AV$10:$AW$29,2,FALSE())</f>
        <v>Tambours de panique</v>
      </c>
      <c r="DF49" s="9">
        <v>25</v>
      </c>
      <c r="DG49" s="25" t="s">
        <v>644</v>
      </c>
    </row>
    <row r="50" spans="1:114">
      <c r="A50" s="9" t="s">
        <v>60</v>
      </c>
      <c r="B50" s="10"/>
      <c r="C50" s="10"/>
      <c r="D50" s="10"/>
      <c r="E50" s="10"/>
      <c r="G50" s="9" t="s">
        <v>60</v>
      </c>
      <c r="H50" s="10"/>
      <c r="I50" s="10"/>
      <c r="J50" s="10"/>
      <c r="K50" s="10"/>
      <c r="M50" s="9" t="s">
        <v>60</v>
      </c>
      <c r="N50" s="10"/>
      <c r="O50" s="25"/>
      <c r="P50" s="10"/>
      <c r="Q50" s="10"/>
      <c r="S50" s="9" t="s">
        <v>110</v>
      </c>
      <c r="T50" s="10">
        <f ca="1">E79</f>
        <v>19</v>
      </c>
      <c r="U50" s="10" t="str">
        <f t="shared" ca="1" si="38"/>
        <v>Potions et huiles</v>
      </c>
      <c r="V50" s="10" t="str">
        <f ca="1">VLOOKUP(U50,$CN$50:$CP$68,3,FALSE())</f>
        <v>Potion de Folie</v>
      </c>
      <c r="Y50" s="9">
        <v>41</v>
      </c>
      <c r="Z50" s="72" t="s">
        <v>772</v>
      </c>
      <c r="AA50" s="72"/>
      <c r="AB50" s="29"/>
      <c r="AC50" s="9">
        <v>41</v>
      </c>
      <c r="AD50" s="9" t="s">
        <v>801</v>
      </c>
      <c r="AF50" s="9">
        <v>40</v>
      </c>
      <c r="AG50" s="25" t="s">
        <v>805</v>
      </c>
      <c r="AI50" s="10">
        <v>18</v>
      </c>
      <c r="AJ50" s="25" t="s">
        <v>138</v>
      </c>
      <c r="AK50" s="17"/>
      <c r="AM50" s="30">
        <v>18</v>
      </c>
      <c r="AN50" s="30" t="s">
        <v>409</v>
      </c>
      <c r="AO50" s="17"/>
      <c r="AP50" s="25">
        <v>18</v>
      </c>
      <c r="AQ50" s="25" t="s">
        <v>460</v>
      </c>
      <c r="AR50" s="17"/>
      <c r="AS50" s="25">
        <v>18</v>
      </c>
      <c r="AT50" s="25" t="s">
        <v>512</v>
      </c>
      <c r="AU50" s="17"/>
      <c r="AV50" s="25">
        <v>18</v>
      </c>
      <c r="AW50" s="25" t="s">
        <v>570</v>
      </c>
      <c r="AX50" s="17"/>
      <c r="AY50" s="27">
        <v>19</v>
      </c>
      <c r="AZ50" s="17" t="str">
        <f t="shared" ca="1" si="31"/>
        <v>Armure de cuir clouté de commandement (+1)</v>
      </c>
      <c r="BA50" s="17" t="s">
        <v>621</v>
      </c>
      <c r="BB50" s="17">
        <f t="shared" ca="1" si="32"/>
        <v>6</v>
      </c>
      <c r="BC50" s="17" t="str">
        <f t="shared" ca="1" si="33"/>
        <v xml:space="preserve"> (+1)</v>
      </c>
      <c r="BD50" s="17"/>
      <c r="BE50" s="37"/>
      <c r="BF50" s="17"/>
      <c r="BH50" s="27">
        <v>40</v>
      </c>
      <c r="BI50" s="25" t="str">
        <f t="shared" ca="1" si="45"/>
        <v>Épée (+2)</v>
      </c>
      <c r="BJ50" s="17" t="s">
        <v>133</v>
      </c>
      <c r="BK50" s="17" t="str">
        <f t="shared" ca="1" si="46"/>
        <v xml:space="preserve"> (+2)</v>
      </c>
      <c r="BL50">
        <f t="shared" ca="1" si="47"/>
        <v>12</v>
      </c>
      <c r="BN50">
        <v>15</v>
      </c>
      <c r="BO50" s="17" t="s">
        <v>667</v>
      </c>
      <c r="BS50" s="24"/>
      <c r="BU50" s="25">
        <v>46</v>
      </c>
      <c r="BV50" s="30" t="s">
        <v>739</v>
      </c>
      <c r="BX50" s="27" t="str">
        <f>BX29</f>
        <v>Potions et huiles</v>
      </c>
      <c r="BY50" s="17">
        <f ca="1">RANDBETWEEN(1,60)</f>
        <v>17</v>
      </c>
      <c r="BZ50" s="37" t="str">
        <f ca="1">VLOOKUP(BY50,$Y$10:$AA$69,2,FALSE())</f>
        <v>Potion de Résistance au feu</v>
      </c>
      <c r="CA50" s="17"/>
      <c r="CB50" s="27" t="str">
        <f>BX50</f>
        <v>Potions et huiles</v>
      </c>
      <c r="CC50" s="17">
        <f ca="1">RANDBETWEEN(1,60)</f>
        <v>50</v>
      </c>
      <c r="CD50" s="37" t="str">
        <f ca="1">VLOOKUP(CC50,$Y$10:$AA$69,2,FALSE())</f>
        <v>Potion d'Éclat irisé</v>
      </c>
      <c r="CE50" s="17"/>
      <c r="CF50" s="27" t="str">
        <f>CB50</f>
        <v>Potions et huiles</v>
      </c>
      <c r="CG50" s="17">
        <f ca="1">RANDBETWEEN(1,60)</f>
        <v>43</v>
      </c>
      <c r="CH50" s="37" t="str">
        <f ca="1">VLOOKUP(CG50,$Y$10:$AA$69,2,FALSE())</f>
        <v>Philtre d'amour</v>
      </c>
      <c r="CI50" s="17"/>
      <c r="CJ50" s="27" t="str">
        <f>CF50</f>
        <v>Potions et huiles</v>
      </c>
      <c r="CK50" s="17">
        <f ca="1">RANDBETWEEN(1,60)</f>
        <v>38</v>
      </c>
      <c r="CL50" s="37" t="str">
        <f ca="1">VLOOKUP(CK50,$Y$10:$AA$69,2,FALSE())</f>
        <v>Huile d'impact</v>
      </c>
      <c r="CM50" s="17"/>
      <c r="CN50" s="27" t="str">
        <f>CJ50</f>
        <v>Potions et huiles</v>
      </c>
      <c r="CO50" s="17">
        <f ca="1">RANDBETWEEN(1,60)</f>
        <v>6</v>
      </c>
      <c r="CP50" s="37" t="str">
        <f ca="1">VLOOKUP(CO50,$Y$10:$AA$69,2,FALSE())</f>
        <v>Potion de Folie</v>
      </c>
      <c r="CQ50" s="17"/>
      <c r="CR50" s="17"/>
      <c r="CS50" s="17"/>
      <c r="CT50" s="17"/>
      <c r="CU50" s="17"/>
      <c r="CV50" s="25" t="s">
        <v>555</v>
      </c>
      <c r="CW50" s="25">
        <f ca="1">RANDBETWEEN(1,40)</f>
        <v>27</v>
      </c>
      <c r="CX50" s="25" t="str">
        <f ca="1">VLOOKUP(CW50,$AV$33:$AW$72,2,FALSE())</f>
        <v>Fers de rapidité</v>
      </c>
      <c r="CY50" s="17"/>
      <c r="CZ50" s="25" t="s">
        <v>555</v>
      </c>
      <c r="DA50" s="25">
        <f ca="1">RANDBETWEEN(1,40)</f>
        <v>25</v>
      </c>
      <c r="DB50" s="25" t="str">
        <f ca="1">VLOOKUP(DA50,$AV$33:$AW$72,2,FALSE())</f>
        <v>Fers du zéphyr</v>
      </c>
      <c r="DF50" s="9">
        <v>26</v>
      </c>
      <c r="DG50" s="25" t="s">
        <v>644</v>
      </c>
    </row>
    <row r="51" spans="1:114">
      <c r="A51" s="9" t="s">
        <v>64</v>
      </c>
      <c r="B51" s="10">
        <f ca="1">IF(E51&lt;=D51,C51,0)</f>
        <v>17</v>
      </c>
      <c r="C51" s="9">
        <f ca="1">RANDBETWEEN(2,20)</f>
        <v>17</v>
      </c>
      <c r="D51" s="10">
        <v>100</v>
      </c>
      <c r="E51" s="10"/>
      <c r="G51" s="9" t="s">
        <v>64</v>
      </c>
      <c r="H51" s="10">
        <f ca="1">IF(K51&lt;=J51,I51,0)</f>
        <v>17</v>
      </c>
      <c r="I51" s="9">
        <f ca="1">RANDBETWEEN(10,60)</f>
        <v>17</v>
      </c>
      <c r="J51" s="10">
        <v>100</v>
      </c>
      <c r="K51" s="10"/>
      <c r="M51" s="9" t="s">
        <v>64</v>
      </c>
      <c r="N51" s="10"/>
      <c r="O51" s="30"/>
      <c r="P51" s="10"/>
      <c r="Q51" s="10"/>
      <c r="S51" s="9" t="s">
        <v>110</v>
      </c>
      <c r="T51" s="10">
        <f ca="1">F79</f>
        <v>73</v>
      </c>
      <c r="U51" s="10" t="str">
        <f t="shared" ca="1" si="38"/>
        <v>Armures et boucliers</v>
      </c>
      <c r="V51" s="10" t="str">
        <f ca="1">VLOOKUP(U51,$CR$8:$CT$26,3,FALSE())</f>
        <v>Cotte de mailles (+1)</v>
      </c>
      <c r="Y51" s="9">
        <v>42</v>
      </c>
      <c r="Z51" s="72" t="s">
        <v>773</v>
      </c>
      <c r="AA51" s="72"/>
      <c r="AB51" s="29"/>
      <c r="AC51" s="9">
        <v>42</v>
      </c>
      <c r="AD51" s="9" t="s">
        <v>800</v>
      </c>
      <c r="AF51" s="9">
        <v>41</v>
      </c>
      <c r="AG51" s="25" t="s">
        <v>135</v>
      </c>
      <c r="AI51" s="10">
        <v>19</v>
      </c>
      <c r="AJ51" s="25" t="s">
        <v>139</v>
      </c>
      <c r="AK51" s="17"/>
      <c r="AM51" s="30">
        <v>19</v>
      </c>
      <c r="AN51" s="30" t="s">
        <v>410</v>
      </c>
      <c r="AO51" s="17"/>
      <c r="AP51" s="25">
        <v>19</v>
      </c>
      <c r="AQ51" s="25" t="s">
        <v>461</v>
      </c>
      <c r="AR51" s="17"/>
      <c r="AS51" s="25">
        <v>19</v>
      </c>
      <c r="AT51" s="25" t="s">
        <v>513</v>
      </c>
      <c r="AU51" s="17"/>
      <c r="AV51" s="25">
        <v>19</v>
      </c>
      <c r="AW51" s="25" t="s">
        <v>571</v>
      </c>
      <c r="AX51" s="17"/>
      <c r="AY51" s="27">
        <v>20</v>
      </c>
      <c r="AZ51" s="17" t="str">
        <f t="shared" ca="1" si="31"/>
        <v>Armure à bandes de dissimulation (+3)</v>
      </c>
      <c r="BA51" s="17" t="s">
        <v>622</v>
      </c>
      <c r="BB51" s="17">
        <f t="shared" ca="1" si="32"/>
        <v>14</v>
      </c>
      <c r="BC51" s="17" t="str">
        <f t="shared" ca="1" si="33"/>
        <v xml:space="preserve"> (+3)</v>
      </c>
      <c r="BD51" s="17"/>
      <c r="BE51" s="37"/>
      <c r="BF51" s="17"/>
      <c r="BH51" s="27">
        <v>41</v>
      </c>
      <c r="BI51" s="25" t="str">
        <f t="shared" ca="1" si="45"/>
        <v>Épée (+1)</v>
      </c>
      <c r="BJ51" s="17" t="s">
        <v>133</v>
      </c>
      <c r="BK51" s="17" t="str">
        <f t="shared" ca="1" si="46"/>
        <v xml:space="preserve"> (+1)</v>
      </c>
      <c r="BL51">
        <f t="shared" ca="1" si="47"/>
        <v>10</v>
      </c>
      <c r="BN51">
        <v>16</v>
      </c>
      <c r="BO51" s="17" t="s">
        <v>837</v>
      </c>
      <c r="BS51" s="24"/>
      <c r="BU51" s="25">
        <v>47</v>
      </c>
      <c r="BV51" s="30" t="s">
        <v>740</v>
      </c>
      <c r="BX51" s="27" t="str">
        <f t="shared" ref="BX51:BX68" si="50">BX30</f>
        <v>Parchemins</v>
      </c>
      <c r="BY51" s="17">
        <f ca="1">RANDBETWEEN(1,45)</f>
        <v>39</v>
      </c>
      <c r="BZ51" s="37" t="str">
        <f ca="1">VLOOKUP(BY51,$AC$10:$AD$54,2,FALSE())</f>
        <v>Protection contre les plantes</v>
      </c>
      <c r="CA51" s="17"/>
      <c r="CB51" s="27" t="str">
        <f t="shared" ref="CB51:CB68" si="51">BX51</f>
        <v>Parchemins</v>
      </c>
      <c r="CC51" s="17">
        <f ca="1">RANDBETWEEN(1,45)</f>
        <v>36</v>
      </c>
      <c r="CD51" s="37" t="str">
        <f ca="1">VLOOKUP(CC51,$AC$10:$AD$54,2,FALSE())</f>
        <v>Protection contre les lycanthropes</v>
      </c>
      <c r="CE51" s="17"/>
      <c r="CF51" s="27" t="str">
        <f t="shared" ref="CF51:CF68" si="52">CB51</f>
        <v>Parchemins</v>
      </c>
      <c r="CG51" s="17">
        <f ca="1">RANDBETWEEN(1,45)</f>
        <v>40</v>
      </c>
      <c r="CH51" s="37" t="str">
        <f ca="1">VLOOKUP(CG51,$AC$10:$AD$54,2,FALSE())</f>
        <v>Protection contre le poison</v>
      </c>
      <c r="CI51" s="17"/>
      <c r="CJ51" s="27" t="str">
        <f t="shared" ref="CJ51:CJ68" si="53">CF51</f>
        <v>Parchemins</v>
      </c>
      <c r="CK51" s="17">
        <f ca="1">RANDBETWEEN(1,45)</f>
        <v>14</v>
      </c>
      <c r="CL51" s="37" t="str">
        <f ca="1">VLOOKUP(CK51,$AC$10:$AD$54,2,FALSE())</f>
        <v>3 Sorts niveau 1d4</v>
      </c>
      <c r="CM51" s="17"/>
      <c r="CN51" s="27" t="str">
        <f t="shared" ref="CN51:CN68" si="54">CJ51</f>
        <v>Parchemins</v>
      </c>
      <c r="CO51" s="17">
        <f ca="1">RANDBETWEEN(1,45)</f>
        <v>19</v>
      </c>
      <c r="CP51" s="37" t="str">
        <f ca="1">VLOOKUP(CO51,$AC$10:$AD$54,2,FALSE())</f>
        <v>5 Sorts 1d8/niveau 1d6</v>
      </c>
      <c r="CQ51" s="17"/>
      <c r="CR51" s="17"/>
      <c r="CS51" s="17"/>
      <c r="CT51" s="17"/>
      <c r="CU51" s="17"/>
      <c r="CV51" s="25" t="s">
        <v>746</v>
      </c>
      <c r="CW51" s="25">
        <f ca="1">RANDBETWEEN(1,20)</f>
        <v>5</v>
      </c>
      <c r="CX51" s="25" t="str">
        <f ca="1">VLOOKUP(CW51,$AY$11:$AZ$30,2,FALSE())</f>
        <v>Cotte de mailles (+4)</v>
      </c>
      <c r="CY51" s="17"/>
      <c r="CZ51" s="25" t="s">
        <v>746</v>
      </c>
      <c r="DA51" s="25">
        <f ca="1">RANDBETWEEN(1,20)</f>
        <v>1</v>
      </c>
      <c r="DB51" s="25" t="str">
        <f ca="1">VLOOKUP(DA51,$AY$11:$AZ$30,2,FALSE())</f>
        <v>Armure à bandes (+2)</v>
      </c>
      <c r="DF51" s="9">
        <v>27</v>
      </c>
      <c r="DG51" s="25" t="s">
        <v>644</v>
      </c>
    </row>
    <row r="52" spans="1:114">
      <c r="A52" s="9" t="s">
        <v>0</v>
      </c>
      <c r="B52" s="10"/>
      <c r="C52" s="10"/>
      <c r="D52" s="10"/>
      <c r="E52" s="10"/>
      <c r="G52" s="9" t="s">
        <v>0</v>
      </c>
      <c r="H52" s="10"/>
      <c r="I52" s="10"/>
      <c r="J52" s="10"/>
      <c r="K52" s="10"/>
      <c r="M52" s="9" t="s">
        <v>0</v>
      </c>
      <c r="N52" s="10" t="str">
        <f t="shared" ref="N52:N57" ca="1" si="55">IF(Q52&lt;=P52,O52,0)</f>
        <v>8 Potions</v>
      </c>
      <c r="O52" s="32" t="str">
        <f ca="1">CONCATENATE(INT(RANDBETWEEN(1,8))," Potions")</f>
        <v>8 Potions</v>
      </c>
      <c r="P52" s="9">
        <v>100</v>
      </c>
      <c r="Q52" s="10">
        <f t="shared" ref="Q52:Q57" ca="1" si="56">RANDBETWEEN(1,100)</f>
        <v>25</v>
      </c>
      <c r="S52" s="9" t="s">
        <v>110</v>
      </c>
      <c r="T52" s="10">
        <f ca="1">G79</f>
        <v>6</v>
      </c>
      <c r="U52" s="10" t="str">
        <f t="shared" ca="1" si="38"/>
        <v>Potions et huiles</v>
      </c>
      <c r="V52" s="10" t="str">
        <f ca="1">VLOOKUP(U52,$CR$29:$CT$47,3,FALSE())</f>
        <v>Potion d'Éclat irisé</v>
      </c>
      <c r="Y52" s="9">
        <v>43</v>
      </c>
      <c r="Z52" s="72" t="s">
        <v>774</v>
      </c>
      <c r="AA52" s="72"/>
      <c r="AB52" s="29"/>
      <c r="AC52" s="9">
        <v>43</v>
      </c>
      <c r="AD52" s="9" t="s">
        <v>802</v>
      </c>
      <c r="AF52" s="9">
        <v>42</v>
      </c>
      <c r="AG52" s="25" t="s">
        <v>135</v>
      </c>
      <c r="AI52" s="10">
        <v>20</v>
      </c>
      <c r="AJ52" s="25" t="s">
        <v>140</v>
      </c>
      <c r="AK52" s="17"/>
      <c r="AM52" s="30">
        <v>20</v>
      </c>
      <c r="AN52" s="30" t="s">
        <v>448</v>
      </c>
      <c r="AO52" s="17"/>
      <c r="AP52" s="25">
        <v>20</v>
      </c>
      <c r="AQ52" s="25" t="s">
        <v>462</v>
      </c>
      <c r="AR52" s="17"/>
      <c r="AS52" s="25">
        <v>20</v>
      </c>
      <c r="AT52" s="25" t="s">
        <v>514</v>
      </c>
      <c r="AU52" s="17"/>
      <c r="AV52" s="25">
        <v>20</v>
      </c>
      <c r="AW52" s="25" t="s">
        <v>572</v>
      </c>
      <c r="AX52" s="17"/>
      <c r="AY52" s="27">
        <v>21</v>
      </c>
      <c r="AZ52" s="17" t="str">
        <f t="shared" ca="1" si="31"/>
        <v>Brigandine de dissimulation (+1)</v>
      </c>
      <c r="BA52" s="17" t="s">
        <v>623</v>
      </c>
      <c r="BB52" s="17">
        <f t="shared" ca="1" si="32"/>
        <v>6</v>
      </c>
      <c r="BC52" s="17" t="str">
        <f t="shared" ca="1" si="33"/>
        <v xml:space="preserve"> (+1)</v>
      </c>
      <c r="BD52" s="17"/>
      <c r="BE52" s="37"/>
      <c r="BF52" s="17"/>
      <c r="BH52" s="27">
        <v>42</v>
      </c>
      <c r="BI52" s="25" t="str">
        <f t="shared" ca="1" si="45"/>
        <v>Épée (+3)</v>
      </c>
      <c r="BJ52" s="17" t="s">
        <v>133</v>
      </c>
      <c r="BK52" s="17" t="str">
        <f t="shared" ca="1" si="46"/>
        <v xml:space="preserve"> (+3)</v>
      </c>
      <c r="BL52">
        <f t="shared" ca="1" si="47"/>
        <v>16</v>
      </c>
      <c r="BN52">
        <v>17</v>
      </c>
      <c r="BO52" s="17" t="s">
        <v>668</v>
      </c>
      <c r="BS52" s="24"/>
      <c r="BU52" s="25">
        <v>48</v>
      </c>
      <c r="BV52" s="30" t="s">
        <v>740</v>
      </c>
      <c r="BX52" s="27" t="str">
        <f t="shared" si="50"/>
        <v>Anneaux</v>
      </c>
      <c r="BY52" s="17">
        <f ca="1">RANDBETWEEN(1,60)</f>
        <v>58</v>
      </c>
      <c r="BZ52" s="37" t="str">
        <f ca="1">VLOOKUP(BY52,$AF$11:$AG$70,2,FALSE())</f>
        <v>Anneau des Arcanes (Magicien)</v>
      </c>
      <c r="CA52" s="17"/>
      <c r="CB52" s="27" t="str">
        <f t="shared" si="51"/>
        <v>Anneaux</v>
      </c>
      <c r="CC52" s="17">
        <f ca="1">RANDBETWEEN(1,60)</f>
        <v>31</v>
      </c>
      <c r="CD52" s="37" t="str">
        <f ca="1">VLOOKUP(CC52,$AF$11:$AG$70,2,FALSE())</f>
        <v>Anneau de Saut</v>
      </c>
      <c r="CE52" s="17"/>
      <c r="CF52" s="27" t="str">
        <f t="shared" si="52"/>
        <v>Anneaux</v>
      </c>
      <c r="CG52" s="17">
        <f ca="1">RANDBETWEEN(1,60)</f>
        <v>18</v>
      </c>
      <c r="CH52" s="37" t="str">
        <f ca="1">VLOOKUP(CG52,$AF$11:$AG$70,2,FALSE())</f>
        <v>Anneau de Commande des Élémentaux</v>
      </c>
      <c r="CI52" s="17"/>
      <c r="CJ52" s="27" t="str">
        <f t="shared" si="53"/>
        <v>Anneaux</v>
      </c>
      <c r="CK52" s="17">
        <f ca="1">RANDBETWEEN(1,60)</f>
        <v>53</v>
      </c>
      <c r="CL52" s="37" t="str">
        <f ca="1">VLOOKUP(CK52,$AF$11:$AG$70,2,FALSE())</f>
        <v>Anneau de Chaleur</v>
      </c>
      <c r="CM52" s="17"/>
      <c r="CN52" s="27" t="str">
        <f t="shared" si="54"/>
        <v>Anneaux</v>
      </c>
      <c r="CO52" s="17">
        <f ca="1">RANDBETWEEN(1,60)</f>
        <v>13</v>
      </c>
      <c r="CP52" s="37" t="str">
        <f ca="1">VLOOKUP(CO52,$AF$11:$AG$70,2,FALSE())</f>
        <v>Anneau de Folie</v>
      </c>
      <c r="CQ52" s="17"/>
      <c r="CR52" s="17"/>
      <c r="CS52" s="17"/>
      <c r="CT52" s="17"/>
      <c r="CU52" s="17"/>
      <c r="CV52" s="25" t="s">
        <v>746</v>
      </c>
      <c r="CW52" s="25"/>
      <c r="CX52" s="25" t="str">
        <f ca="1">CX51</f>
        <v>Cotte de mailles (+4)</v>
      </c>
      <c r="CY52" s="17"/>
      <c r="CZ52" s="25" t="s">
        <v>746</v>
      </c>
      <c r="DA52" s="25"/>
      <c r="DB52" s="25" t="str">
        <f ca="1">DB51</f>
        <v>Armure à bandes (+2)</v>
      </c>
      <c r="DF52" s="9">
        <v>28</v>
      </c>
      <c r="DG52" s="25" t="s">
        <v>644</v>
      </c>
    </row>
    <row r="53" spans="1:114" ht="13.9">
      <c r="A53" s="9" t="s">
        <v>68</v>
      </c>
      <c r="B53" s="10"/>
      <c r="C53" s="10"/>
      <c r="D53" s="10"/>
      <c r="E53" s="10"/>
      <c r="G53" s="9" t="s">
        <v>68</v>
      </c>
      <c r="H53" s="10"/>
      <c r="I53" s="10"/>
      <c r="J53" s="10"/>
      <c r="K53" s="10"/>
      <c r="M53" s="9" t="s">
        <v>68</v>
      </c>
      <c r="N53" s="10" t="str">
        <f t="shared" ca="1" si="55"/>
        <v>1 Parchemins</v>
      </c>
      <c r="O53" s="32" t="str">
        <f ca="1">CONCATENATE(INT(RANDBETWEEN(1,4))," Parchemins")</f>
        <v>1 Parchemins</v>
      </c>
      <c r="P53" s="9">
        <v>100</v>
      </c>
      <c r="Q53" s="10">
        <f t="shared" ca="1" si="56"/>
        <v>74</v>
      </c>
      <c r="Y53" s="9">
        <v>44</v>
      </c>
      <c r="Z53" s="72" t="s">
        <v>775</v>
      </c>
      <c r="AA53" s="72"/>
      <c r="AB53" s="29"/>
      <c r="AC53" s="9">
        <v>44</v>
      </c>
      <c r="AD53" s="9" t="s">
        <v>141</v>
      </c>
      <c r="AF53" s="9">
        <v>43</v>
      </c>
      <c r="AG53" s="25" t="s">
        <v>142</v>
      </c>
      <c r="AM53" s="30">
        <v>21</v>
      </c>
      <c r="AN53" s="30" t="s">
        <v>411</v>
      </c>
      <c r="AO53" s="17"/>
      <c r="AP53" s="46"/>
      <c r="AQ53" s="46"/>
      <c r="AR53" s="17"/>
      <c r="AS53" s="17"/>
      <c r="AT53" s="17"/>
      <c r="AU53" s="17"/>
      <c r="AV53" s="25">
        <v>21</v>
      </c>
      <c r="AW53" s="25" t="s">
        <v>571</v>
      </c>
      <c r="AX53" s="17"/>
      <c r="AY53" s="27">
        <v>22</v>
      </c>
      <c r="AZ53" s="17" t="str">
        <f t="shared" ca="1" si="31"/>
        <v>Cottes de maille de dissimulation (+1)</v>
      </c>
      <c r="BA53" s="17" t="s">
        <v>624</v>
      </c>
      <c r="BB53" s="17">
        <f t="shared" ca="1" si="32"/>
        <v>4</v>
      </c>
      <c r="BC53" s="17" t="str">
        <f t="shared" ca="1" si="33"/>
        <v xml:space="preserve"> (+1)</v>
      </c>
      <c r="BD53" s="17"/>
      <c r="BE53" s="37"/>
      <c r="BF53" s="17"/>
      <c r="BH53" s="27">
        <v>43</v>
      </c>
      <c r="BI53" s="25" t="str">
        <f t="shared" ca="1" si="45"/>
        <v>Épée (+1)</v>
      </c>
      <c r="BJ53" s="17" t="s">
        <v>133</v>
      </c>
      <c r="BK53" s="17" t="str">
        <f t="shared" ca="1" si="46"/>
        <v xml:space="preserve"> (+1)</v>
      </c>
      <c r="BL53">
        <f t="shared" ca="1" si="47"/>
        <v>9</v>
      </c>
      <c r="BN53">
        <v>18</v>
      </c>
      <c r="BO53" s="17" t="s">
        <v>669</v>
      </c>
      <c r="BS53" s="24"/>
      <c r="BU53" s="25">
        <v>49</v>
      </c>
      <c r="BV53" s="30" t="s">
        <v>741</v>
      </c>
      <c r="BX53" s="27" t="str">
        <f t="shared" si="50"/>
        <v>Sceptres</v>
      </c>
      <c r="BY53" s="17">
        <f ca="1">RANDBETWEEN(1,20)</f>
        <v>3</v>
      </c>
      <c r="BZ53" s="37" t="str">
        <f ca="1">VLOOKUP(BY53,$AI$10:$AJ$29,2,FALSE())</f>
        <v>Sceptre de Vigilance</v>
      </c>
      <c r="CA53" s="17"/>
      <c r="CB53" s="27" t="str">
        <f t="shared" si="51"/>
        <v>Sceptres</v>
      </c>
      <c r="CC53" s="17">
        <f ca="1">RANDBETWEEN(1,20)</f>
        <v>4</v>
      </c>
      <c r="CD53" s="37" t="str">
        <f ca="1">VLOOKUP(CC53,$AI$10:$AJ$29,2,FALSE())</f>
        <v>Sceptre de Vigilance</v>
      </c>
      <c r="CE53" s="17"/>
      <c r="CF53" s="27" t="str">
        <f t="shared" si="52"/>
        <v>Sceptres</v>
      </c>
      <c r="CG53" s="17">
        <f ca="1">RANDBETWEEN(1,20)</f>
        <v>17</v>
      </c>
      <c r="CH53" s="37" t="str">
        <f ca="1">VLOOKUP(CG53,$AI$10:$AJ$29,2,FALSE())</f>
        <v>Sceptre de Splendeur</v>
      </c>
      <c r="CI53" s="17"/>
      <c r="CJ53" s="27" t="str">
        <f t="shared" si="53"/>
        <v>Sceptres</v>
      </c>
      <c r="CK53" s="17">
        <f ca="1">RANDBETWEEN(1,20)</f>
        <v>5</v>
      </c>
      <c r="CL53" s="37" t="str">
        <f ca="1">VLOOKUP(CK53,$AI$10:$AJ$29,2,FALSE())</f>
        <v>Sceptre de séduction</v>
      </c>
      <c r="CM53" s="17"/>
      <c r="CN53" s="27" t="str">
        <f t="shared" si="54"/>
        <v>Sceptres</v>
      </c>
      <c r="CO53" s="17">
        <f ca="1">RANDBETWEEN(1,20)</f>
        <v>7</v>
      </c>
      <c r="CP53" s="37" t="str">
        <f ca="1">VLOOKUP(CO53,$AI$10:$AJ$29,2,FALSE())</f>
        <v>Sceptre d'Annulation</v>
      </c>
      <c r="CQ53" s="17"/>
      <c r="CR53" s="17"/>
      <c r="CS53" s="17"/>
      <c r="CT53" s="17"/>
      <c r="CU53" s="17"/>
      <c r="CV53" s="17"/>
      <c r="CW53" s="17"/>
      <c r="CX53" s="17"/>
      <c r="CY53" s="17"/>
      <c r="CZ53" s="17"/>
      <c r="DA53" s="17"/>
      <c r="DB53" s="17"/>
      <c r="DF53" s="9">
        <v>29</v>
      </c>
      <c r="DG53" s="25" t="s">
        <v>644</v>
      </c>
    </row>
    <row r="54" spans="1:114">
      <c r="A54" s="9" t="s">
        <v>72</v>
      </c>
      <c r="B54" s="10"/>
      <c r="C54" s="10"/>
      <c r="D54" s="10"/>
      <c r="E54" s="10"/>
      <c r="G54" s="9" t="s">
        <v>72</v>
      </c>
      <c r="H54" s="10"/>
      <c r="I54" s="10"/>
      <c r="J54" s="10"/>
      <c r="K54" s="10"/>
      <c r="M54" s="9" t="s">
        <v>72</v>
      </c>
      <c r="N54" s="10">
        <f t="shared" ca="1" si="55"/>
        <v>0</v>
      </c>
      <c r="O54" s="32" t="s">
        <v>125</v>
      </c>
      <c r="P54" s="9">
        <f>70+B31</f>
        <v>70</v>
      </c>
      <c r="Q54" s="10">
        <f t="shared" ca="1" si="56"/>
        <v>83</v>
      </c>
      <c r="Y54" s="9">
        <v>45</v>
      </c>
      <c r="Z54" s="72" t="s">
        <v>776</v>
      </c>
      <c r="AA54" s="72"/>
      <c r="AB54" s="29"/>
      <c r="AC54" s="9">
        <v>45</v>
      </c>
      <c r="AD54" s="9" t="s">
        <v>803</v>
      </c>
      <c r="AF54" s="9">
        <v>44</v>
      </c>
      <c r="AG54" s="25" t="s">
        <v>143</v>
      </c>
      <c r="AI54" s="81" t="s">
        <v>38</v>
      </c>
      <c r="AJ54" s="81"/>
      <c r="AM54" s="30">
        <v>22</v>
      </c>
      <c r="AN54" s="30" t="s">
        <v>412</v>
      </c>
      <c r="AO54" s="17"/>
      <c r="AP54" s="81" t="s">
        <v>362</v>
      </c>
      <c r="AQ54" s="81"/>
      <c r="AR54" s="17"/>
      <c r="AS54" s="81" t="s">
        <v>515</v>
      </c>
      <c r="AT54" s="81"/>
      <c r="AU54" s="17"/>
      <c r="AV54" s="25">
        <v>22</v>
      </c>
      <c r="AW54" s="25" t="s">
        <v>571</v>
      </c>
      <c r="AX54" s="17"/>
      <c r="AY54" s="27">
        <v>23</v>
      </c>
      <c r="AZ54" s="17" t="str">
        <f t="shared" ca="1" si="31"/>
        <v>Cottes de maille de dissimulation (+1)</v>
      </c>
      <c r="BA54" s="17" t="s">
        <v>624</v>
      </c>
      <c r="BB54" s="17">
        <f t="shared" ca="1" si="32"/>
        <v>4</v>
      </c>
      <c r="BC54" s="17" t="str">
        <f t="shared" ca="1" si="33"/>
        <v xml:space="preserve"> (+1)</v>
      </c>
      <c r="BD54" s="17"/>
      <c r="BE54" s="37"/>
      <c r="BF54" s="17"/>
      <c r="BH54" s="27">
        <v>44</v>
      </c>
      <c r="BI54" s="25" t="str">
        <f t="shared" ca="1" si="45"/>
        <v>Épée (+3)</v>
      </c>
      <c r="BJ54" s="17" t="s">
        <v>133</v>
      </c>
      <c r="BK54" s="17" t="str">
        <f t="shared" ca="1" si="46"/>
        <v xml:space="preserve"> (+3)</v>
      </c>
      <c r="BL54">
        <f t="shared" ca="1" si="47"/>
        <v>15</v>
      </c>
      <c r="BN54">
        <v>19</v>
      </c>
      <c r="BO54" s="17" t="s">
        <v>670</v>
      </c>
      <c r="BS54" s="24"/>
      <c r="BU54" s="25">
        <v>50</v>
      </c>
      <c r="BV54" s="30" t="s">
        <v>741</v>
      </c>
      <c r="BX54" s="27" t="str">
        <f t="shared" si="50"/>
        <v>Bâtons</v>
      </c>
      <c r="BY54" s="17">
        <f ca="1">RANDBETWEEN(1,20)</f>
        <v>9</v>
      </c>
      <c r="BZ54" s="37" t="str">
        <f ca="1">VLOOKUP(BY54,$AI$33:$AJ$52,2,FALSE())</f>
        <v>Bâton de Fustibale</v>
      </c>
      <c r="CA54" s="17"/>
      <c r="CB54" s="27" t="str">
        <f t="shared" si="51"/>
        <v>Bâtons</v>
      </c>
      <c r="CC54" s="17">
        <f ca="1">RANDBETWEEN(1,20)</f>
        <v>11</v>
      </c>
      <c r="CD54" s="37" t="str">
        <f ca="1">VLOOKUP(CC54,$AI$33:$AJ$52,2,FALSE())</f>
        <v>Bâton Epieu</v>
      </c>
      <c r="CE54" s="17"/>
      <c r="CF54" s="27" t="str">
        <f t="shared" si="52"/>
        <v>Bâtons</v>
      </c>
      <c r="CG54" s="17">
        <f ca="1">RANDBETWEEN(1,20)</f>
        <v>17</v>
      </c>
      <c r="CH54" s="37" t="str">
        <f ca="1">VLOOKUP(CG54,$AI$33:$AJ$52,2,FALSE())</f>
        <v>Bâton de Soins</v>
      </c>
      <c r="CI54" s="17"/>
      <c r="CJ54" s="27" t="str">
        <f t="shared" si="53"/>
        <v>Bâtons</v>
      </c>
      <c r="CK54" s="17">
        <f ca="1">RANDBETWEEN(1,20)</f>
        <v>12</v>
      </c>
      <c r="CL54" s="37" t="str">
        <f ca="1">VLOOKUP(CK54,$AI$33:$AJ$52,2,FALSE())</f>
        <v>Bâton Epieu</v>
      </c>
      <c r="CM54" s="17"/>
      <c r="CN54" s="27" t="str">
        <f t="shared" si="54"/>
        <v>Bâtons</v>
      </c>
      <c r="CO54" s="17">
        <f ca="1">RANDBETWEEN(1,20)</f>
        <v>1</v>
      </c>
      <c r="CP54" s="37" t="str">
        <f ca="1">VLOOKUP(CO54,$AI$33:$AJ$52,2,FALSE())</f>
        <v>Bâton Masse d'Armes</v>
      </c>
      <c r="CQ54" s="17"/>
      <c r="CR54" s="17"/>
      <c r="CS54" s="17"/>
      <c r="CT54" s="17"/>
      <c r="CU54" s="17"/>
      <c r="CV54" s="25">
        <v>3</v>
      </c>
      <c r="CW54" s="70" t="s">
        <v>734</v>
      </c>
      <c r="CX54" s="25"/>
      <c r="CY54" s="17"/>
      <c r="CZ54" s="17"/>
      <c r="DA54" s="17"/>
      <c r="DB54" s="17"/>
      <c r="DF54" s="9">
        <v>30</v>
      </c>
      <c r="DG54" s="25" t="s">
        <v>644</v>
      </c>
    </row>
    <row r="55" spans="1:114">
      <c r="A55" s="9" t="s">
        <v>76</v>
      </c>
      <c r="B55" s="10"/>
      <c r="C55" s="10"/>
      <c r="D55" s="10"/>
      <c r="E55" s="10"/>
      <c r="G55" s="9" t="s">
        <v>76</v>
      </c>
      <c r="H55" s="10"/>
      <c r="I55" s="10"/>
      <c r="J55" s="10"/>
      <c r="K55" s="10"/>
      <c r="M55" s="9" t="s">
        <v>76</v>
      </c>
      <c r="N55" s="10" t="str">
        <f t="shared" ca="1" si="55"/>
        <v>Tous 2 Items</v>
      </c>
      <c r="O55" s="32" t="s">
        <v>144</v>
      </c>
      <c r="P55" s="9">
        <v>100</v>
      </c>
      <c r="Q55" s="10">
        <f t="shared" ca="1" si="56"/>
        <v>79</v>
      </c>
      <c r="Y55" s="9">
        <v>46</v>
      </c>
      <c r="Z55" s="72" t="s">
        <v>784</v>
      </c>
      <c r="AA55" s="72"/>
      <c r="AB55" s="29"/>
      <c r="AF55" s="9">
        <v>45</v>
      </c>
      <c r="AG55" s="25" t="s">
        <v>145</v>
      </c>
      <c r="AI55" s="81"/>
      <c r="AJ55" s="81"/>
      <c r="AM55" s="30">
        <v>23</v>
      </c>
      <c r="AN55" s="30" t="s">
        <v>413</v>
      </c>
      <c r="AO55" s="17"/>
      <c r="AP55" s="81"/>
      <c r="AQ55" s="81"/>
      <c r="AR55" s="17"/>
      <c r="AS55" s="81"/>
      <c r="AT55" s="81"/>
      <c r="AU55" s="17"/>
      <c r="AV55" s="25">
        <v>23</v>
      </c>
      <c r="AW55" s="25" t="s">
        <v>573</v>
      </c>
      <c r="AX55" s="17"/>
      <c r="AY55" s="27">
        <v>24</v>
      </c>
      <c r="AZ55" s="17" t="str">
        <f t="shared" ca="1" si="31"/>
        <v>Cottes de maille de dissimulation (+2)</v>
      </c>
      <c r="BA55" s="17" t="s">
        <v>624</v>
      </c>
      <c r="BB55" s="17">
        <f t="shared" ca="1" si="32"/>
        <v>9</v>
      </c>
      <c r="BC55" s="17" t="str">
        <f t="shared" ca="1" si="33"/>
        <v xml:space="preserve"> (+2)</v>
      </c>
      <c r="BD55" s="17"/>
      <c r="BE55" s="37"/>
      <c r="BF55" s="17"/>
      <c r="BH55" s="27">
        <v>45</v>
      </c>
      <c r="BI55" s="25" t="str">
        <f t="shared" ca="1" si="45"/>
        <v>Épée (+2)</v>
      </c>
      <c r="BJ55" s="17" t="s">
        <v>133</v>
      </c>
      <c r="BK55" s="17" t="str">
        <f t="shared" ca="1" si="46"/>
        <v xml:space="preserve"> (+2)</v>
      </c>
      <c r="BL55">
        <f t="shared" ca="1" si="47"/>
        <v>11</v>
      </c>
      <c r="BN55">
        <v>20</v>
      </c>
      <c r="BO55" s="17" t="s">
        <v>671</v>
      </c>
      <c r="BS55" s="24"/>
      <c r="BU55" s="25">
        <v>51</v>
      </c>
      <c r="BV55" s="30" t="s">
        <v>742</v>
      </c>
      <c r="BX55" s="27" t="str">
        <f t="shared" si="50"/>
        <v>Baguettes</v>
      </c>
      <c r="BY55" s="17">
        <f ca="1">RANDBETWEEN(1,20)</f>
        <v>19</v>
      </c>
      <c r="BZ55" s="37" t="str">
        <f ca="1">VLOOKUP(BY55,$AI$56:$AJ$75,2,FALSE())</f>
        <v>Baguette Prodigieuse 13 Charges</v>
      </c>
      <c r="CA55" s="17"/>
      <c r="CB55" s="27" t="str">
        <f t="shared" si="51"/>
        <v>Baguettes</v>
      </c>
      <c r="CC55" s="17">
        <f ca="1">RANDBETWEEN(1,20)</f>
        <v>16</v>
      </c>
      <c r="CD55" s="37" t="str">
        <f ca="1">VLOOKUP(CC55,$AI$56:$AJ$75,2,FALSE())</f>
        <v>Baguette de Métamorphose (magicien) 61 Charges</v>
      </c>
      <c r="CE55" s="17"/>
      <c r="CF55" s="27" t="str">
        <f t="shared" si="52"/>
        <v>Baguettes</v>
      </c>
      <c r="CG55" s="17">
        <f ca="1">RANDBETWEEN(1,20)</f>
        <v>1</v>
      </c>
      <c r="CH55" s="37" t="str">
        <f ca="1">VLOOKUP(CG55,$AI$56:$AJ$75,2,FALSE())</f>
        <v>Baguette de Conjuration (magicien) 50 Charges</v>
      </c>
      <c r="CI55" s="17"/>
      <c r="CJ55" s="27" t="str">
        <f t="shared" si="53"/>
        <v>Baguettes</v>
      </c>
      <c r="CK55" s="17">
        <f ca="1">RANDBETWEEN(1,20)</f>
        <v>16</v>
      </c>
      <c r="CL55" s="37" t="str">
        <f ca="1">VLOOKUP(CK55,$AI$56:$AJ$75,2,FALSE())</f>
        <v>Baguette de Métamorphose (magicien) 61 Charges</v>
      </c>
      <c r="CM55" s="17"/>
      <c r="CN55" s="27" t="str">
        <f t="shared" si="54"/>
        <v>Baguettes</v>
      </c>
      <c r="CO55" s="17">
        <f ca="1">RANDBETWEEN(1,20)</f>
        <v>4</v>
      </c>
      <c r="CP55" s="37" t="str">
        <f ca="1">VLOOKUP(CO55,$AI$56:$AJ$75,2,FALSE())</f>
        <v>Baguette de Terreur (prêtre, magicien) 68 Charges</v>
      </c>
      <c r="CQ55" s="17"/>
      <c r="CR55" s="17"/>
      <c r="CS55" s="17"/>
      <c r="CT55" s="17"/>
      <c r="CU55" s="17"/>
      <c r="CV55" s="25" t="s">
        <v>738</v>
      </c>
      <c r="CW55" s="25">
        <f ca="1">RANDBETWEEN(1,60)</f>
        <v>59</v>
      </c>
      <c r="CX55" s="25" t="str">
        <f ca="1">VLOOKUP(CW55,$Y$10:$AA$69,2,FALSE())</f>
        <v>Potion de Respiration aquatique</v>
      </c>
      <c r="CY55" s="17"/>
      <c r="CZ55" s="17"/>
      <c r="DA55" s="17"/>
      <c r="DB55" s="17"/>
      <c r="DF55" s="9">
        <v>31</v>
      </c>
      <c r="DG55" s="25" t="s">
        <v>644</v>
      </c>
      <c r="DH55" s="17"/>
      <c r="DI55" s="17"/>
      <c r="DJ55" s="17"/>
    </row>
    <row r="56" spans="1:114">
      <c r="A56" s="9" t="s">
        <v>78</v>
      </c>
      <c r="B56" s="10">
        <f ca="1">IF(E56&lt;=D56,C56,0)</f>
        <v>24</v>
      </c>
      <c r="C56" s="9">
        <f ca="1">RANDBETWEEN(5,30)</f>
        <v>24</v>
      </c>
      <c r="D56" s="10">
        <v>100</v>
      </c>
      <c r="E56" s="10"/>
      <c r="G56" s="9" t="s">
        <v>78</v>
      </c>
      <c r="H56" s="10">
        <f ca="1">IF(K56&lt;=J56,I56,0)</f>
        <v>7</v>
      </c>
      <c r="I56" s="9">
        <f ca="1">RANDBETWEEN(1,8)</f>
        <v>7</v>
      </c>
      <c r="J56" s="10">
        <v>100</v>
      </c>
      <c r="K56" s="10"/>
      <c r="M56" s="9" t="s">
        <v>78</v>
      </c>
      <c r="N56" s="10" t="str">
        <f t="shared" ca="1" si="55"/>
        <v>Tous 2 Items</v>
      </c>
      <c r="O56" s="32" t="s">
        <v>144</v>
      </c>
      <c r="P56" s="9">
        <f>60+B31</f>
        <v>60</v>
      </c>
      <c r="Q56" s="10">
        <f t="shared" ca="1" si="56"/>
        <v>21</v>
      </c>
      <c r="Y56" s="9">
        <v>47</v>
      </c>
      <c r="Z56" s="72" t="s">
        <v>2</v>
      </c>
      <c r="AA56" s="72"/>
      <c r="AB56" s="29"/>
      <c r="AF56" s="9">
        <v>46</v>
      </c>
      <c r="AG56" s="25" t="s">
        <v>146</v>
      </c>
      <c r="AI56" s="25">
        <v>1</v>
      </c>
      <c r="AJ56" s="25" t="str">
        <f t="shared" ref="AJ56:AJ74" ca="1" si="57">CONCATENATE(AJ80,AL80)</f>
        <v>Baguette de Conjuration (magicien) 50 Charges</v>
      </c>
      <c r="AM56" s="30">
        <v>24</v>
      </c>
      <c r="AN56" s="30" t="s">
        <v>414</v>
      </c>
      <c r="AO56" s="17"/>
      <c r="AP56" s="25">
        <v>1</v>
      </c>
      <c r="AQ56" s="25" t="s">
        <v>463</v>
      </c>
      <c r="AR56" s="17"/>
      <c r="AS56" s="25">
        <v>1</v>
      </c>
      <c r="AT56" s="25" t="s">
        <v>516</v>
      </c>
      <c r="AU56" s="17"/>
      <c r="AV56" s="25">
        <v>24</v>
      </c>
      <c r="AW56" s="25" t="s">
        <v>573</v>
      </c>
      <c r="AX56" s="17"/>
      <c r="AY56" s="27">
        <v>25</v>
      </c>
      <c r="AZ56" s="17" t="str">
        <f t="shared" ca="1" si="31"/>
        <v>Harnois de dissimulation (+1)</v>
      </c>
      <c r="BA56" s="17" t="s">
        <v>625</v>
      </c>
      <c r="BB56" s="17">
        <f t="shared" ca="1" si="32"/>
        <v>3</v>
      </c>
      <c r="BC56" s="17" t="str">
        <f t="shared" ca="1" si="33"/>
        <v xml:space="preserve"> (+1)</v>
      </c>
      <c r="BD56" s="17"/>
      <c r="BE56" s="37"/>
      <c r="BF56" s="17"/>
      <c r="BH56" s="27">
        <v>46</v>
      </c>
      <c r="BI56" s="25" t="str">
        <f t="shared" ca="1" si="45"/>
        <v>Épée (+3)</v>
      </c>
      <c r="BJ56" s="17" t="s">
        <v>133</v>
      </c>
      <c r="BK56" s="17" t="str">
        <f t="shared" ca="1" si="46"/>
        <v xml:space="preserve"> (+3)</v>
      </c>
      <c r="BL56">
        <f t="shared" ca="1" si="47"/>
        <v>15</v>
      </c>
      <c r="BS56" s="24"/>
      <c r="BU56" s="25">
        <v>52</v>
      </c>
      <c r="BV56" s="30" t="s">
        <v>742</v>
      </c>
      <c r="BX56" s="27" t="str">
        <f t="shared" si="50"/>
        <v>Livres et grimoires</v>
      </c>
      <c r="BY56" s="17">
        <f ca="1">RANDBETWEEN(1,20)</f>
        <v>9</v>
      </c>
      <c r="BZ56" s="37" t="str">
        <f ca="1">VLOOKUP(BY56,$AM$10:$AN$29,2,FALSE())</f>
        <v>Grimoire de la magie d'argent</v>
      </c>
      <c r="CA56" s="17"/>
      <c r="CB56" s="27" t="str">
        <f t="shared" si="51"/>
        <v>Livres et grimoires</v>
      </c>
      <c r="CC56" s="17">
        <f ca="1">RANDBETWEEN(1,20)</f>
        <v>19</v>
      </c>
      <c r="CD56" s="37" t="str">
        <f ca="1">VLOOKUP(CC56,$AM$10:$AN$29,2,FALSE())</f>
        <v>Grimoire des vacuités</v>
      </c>
      <c r="CE56" s="17"/>
      <c r="CF56" s="27" t="str">
        <f t="shared" si="52"/>
        <v>Livres et grimoires</v>
      </c>
      <c r="CG56" s="17">
        <f ca="1">RANDBETWEEN(1,20)</f>
        <v>7</v>
      </c>
      <c r="CH56" s="37" t="str">
        <f ca="1">VLOOKUP(CG56,$AM$10:$AN$29,2,FALSE())</f>
        <v>Grimoire d'inappréciable conjuration</v>
      </c>
      <c r="CI56" s="17"/>
      <c r="CJ56" s="27" t="str">
        <f t="shared" si="53"/>
        <v>Livres et grimoires</v>
      </c>
      <c r="CK56" s="17">
        <f ca="1">RANDBETWEEN(1,20)</f>
        <v>16</v>
      </c>
      <c r="CL56" s="37" t="str">
        <f ca="1">VLOOKUP(CK56,$AM$10:$AN$29,2,FALSE())</f>
        <v>Traité de pensée claire</v>
      </c>
      <c r="CM56" s="17"/>
      <c r="CN56" s="27" t="str">
        <f t="shared" si="54"/>
        <v>Livres et grimoires</v>
      </c>
      <c r="CO56" s="17">
        <f ca="1">RANDBETWEEN(1,20)</f>
        <v>15</v>
      </c>
      <c r="CP56" s="37" t="str">
        <f ca="1">VLOOKUP(CO56,$AM$10:$AN$29,2,FALSE())</f>
        <v>Manuel des larcins furtifs</v>
      </c>
      <c r="CQ56" s="17"/>
      <c r="CR56" s="17"/>
      <c r="CS56" s="17"/>
      <c r="CT56" s="17"/>
      <c r="CU56" s="17"/>
      <c r="CV56" s="25" t="s">
        <v>18</v>
      </c>
      <c r="CW56" s="25">
        <f ca="1">RANDBETWEEN(1,45)</f>
        <v>14</v>
      </c>
      <c r="CX56" s="25" t="str">
        <f ca="1">VLOOKUP(CW56,$AC$10:$AD$54,2,FALSE())</f>
        <v>3 Sorts niveau 1d4</v>
      </c>
      <c r="CY56" s="17"/>
      <c r="CZ56" s="17"/>
      <c r="DA56" s="17"/>
      <c r="DB56" s="17"/>
      <c r="DF56" s="9">
        <v>32</v>
      </c>
      <c r="DG56" s="25" t="s">
        <v>644</v>
      </c>
      <c r="DH56" s="17"/>
      <c r="DI56" s="17"/>
      <c r="DJ56" s="17"/>
    </row>
    <row r="57" spans="1:114">
      <c r="A57" s="9" t="s">
        <v>83</v>
      </c>
      <c r="B57" s="10"/>
      <c r="C57" s="10"/>
      <c r="D57" s="10"/>
      <c r="E57" s="10"/>
      <c r="G57" s="9" t="s">
        <v>83</v>
      </c>
      <c r="H57" s="10"/>
      <c r="I57" s="10"/>
      <c r="J57" s="10"/>
      <c r="K57" s="10"/>
      <c r="M57" s="9" t="s">
        <v>83</v>
      </c>
      <c r="N57" s="10" t="str">
        <f t="shared" ca="1" si="55"/>
        <v>2 Potions</v>
      </c>
      <c r="O57" s="32" t="s">
        <v>147</v>
      </c>
      <c r="P57" s="9">
        <v>100</v>
      </c>
      <c r="Q57" s="10">
        <f t="shared" ca="1" si="56"/>
        <v>11</v>
      </c>
      <c r="Y57" s="9">
        <v>48</v>
      </c>
      <c r="Z57" s="72" t="s">
        <v>2</v>
      </c>
      <c r="AA57" s="72"/>
      <c r="AB57" s="29"/>
      <c r="AF57" s="9">
        <v>47</v>
      </c>
      <c r="AG57" s="25" t="s">
        <v>148</v>
      </c>
      <c r="AI57" s="25">
        <v>2</v>
      </c>
      <c r="AJ57" s="25" t="str">
        <f t="shared" ca="1" si="57"/>
        <v>Baguette de Terre et pierre 63 Charges</v>
      </c>
      <c r="AM57" s="30">
        <v>25</v>
      </c>
      <c r="AN57" s="30" t="s">
        <v>415</v>
      </c>
      <c r="AO57" s="17"/>
      <c r="AP57" s="25">
        <v>2</v>
      </c>
      <c r="AQ57" s="25" t="s">
        <v>463</v>
      </c>
      <c r="AR57" s="17"/>
      <c r="AS57" s="25">
        <v>2</v>
      </c>
      <c r="AT57" s="25" t="s">
        <v>517</v>
      </c>
      <c r="AU57" s="17"/>
      <c r="AV57" s="25">
        <v>25</v>
      </c>
      <c r="AW57" s="25" t="s">
        <v>574</v>
      </c>
      <c r="AX57" s="17"/>
      <c r="AY57" s="27">
        <v>26</v>
      </c>
      <c r="AZ57" s="17" t="str">
        <f t="shared" ca="1" si="31"/>
        <v>Harnois plain de dissimulation (+1)</v>
      </c>
      <c r="BA57" s="17" t="s">
        <v>626</v>
      </c>
      <c r="BB57" s="17">
        <f t="shared" ca="1" si="32"/>
        <v>3</v>
      </c>
      <c r="BC57" s="17" t="str">
        <f t="shared" ca="1" si="33"/>
        <v xml:space="preserve"> (+1)</v>
      </c>
      <c r="BD57" s="17"/>
      <c r="BE57" s="37"/>
      <c r="BF57" s="17"/>
      <c r="BH57" s="27">
        <v>47</v>
      </c>
      <c r="BI57" s="25" t="str">
        <f t="shared" ca="1" si="45"/>
        <v>Épée (+4)</v>
      </c>
      <c r="BJ57" s="17" t="s">
        <v>133</v>
      </c>
      <c r="BK57" s="17" t="str">
        <f t="shared" ca="1" si="46"/>
        <v xml:space="preserve"> (+4)</v>
      </c>
      <c r="BL57">
        <f t="shared" ca="1" si="47"/>
        <v>19</v>
      </c>
      <c r="BS57" s="24"/>
      <c r="BU57" s="25">
        <v>53</v>
      </c>
      <c r="BV57" s="30" t="s">
        <v>743</v>
      </c>
      <c r="BX57" s="27" t="str">
        <f t="shared" si="50"/>
        <v>Joyaux et bijoux</v>
      </c>
      <c r="BY57" s="17">
        <f ca="1">RANDBETWEEN(1,40)</f>
        <v>13</v>
      </c>
      <c r="BZ57" s="37" t="str">
        <f ca="1">VLOOKUP(BY57,$AM$33:$AN$72,2,FALSE())</f>
        <v>Médaillon d'ESP</v>
      </c>
      <c r="CA57" s="17"/>
      <c r="CB57" s="27" t="str">
        <f t="shared" si="51"/>
        <v>Joyaux et bijoux</v>
      </c>
      <c r="CC57" s="17">
        <f ca="1">RANDBETWEEN(1,40)</f>
        <v>33</v>
      </c>
      <c r="CD57" s="37" t="str">
        <f ca="1">VLOOKUP(CC57,$AM$33:$AN$72,2,FALSE())</f>
        <v>Broche de folie</v>
      </c>
      <c r="CE57" s="17"/>
      <c r="CF57" s="27" t="str">
        <f t="shared" si="52"/>
        <v>Joyaux et bijoux</v>
      </c>
      <c r="CG57" s="17">
        <f ca="1">RANDBETWEEN(1,40)</f>
        <v>39</v>
      </c>
      <c r="CH57" s="37" t="str">
        <f ca="1">VLOOKUP(CG57,$AM$33:$AN$72,2,FALSE())</f>
        <v>Talisman de Zagy</v>
      </c>
      <c r="CI57" s="17"/>
      <c r="CJ57" s="27" t="str">
        <f t="shared" si="53"/>
        <v>Joyaux et bijoux</v>
      </c>
      <c r="CK57" s="17">
        <f ca="1">RANDBETWEEN(1,40)</f>
        <v>30</v>
      </c>
      <c r="CL57" s="37" t="str">
        <f ca="1">VLOOKUP(CK57,$AM$33:$AN$72,2,FALSE())</f>
        <v>Phylactère d'attraction monstrueuse (prêtre)</v>
      </c>
      <c r="CM57" s="17"/>
      <c r="CN57" s="27" t="str">
        <f t="shared" si="54"/>
        <v>Joyaux et bijoux</v>
      </c>
      <c r="CO57" s="17">
        <f ca="1">RANDBETWEEN(1,40)</f>
        <v>10</v>
      </c>
      <c r="CP57" s="37" t="str">
        <f ca="1">VLOOKUP(CO57,$AM$33:$AN$72,2,FALSE())</f>
        <v>Gemme de Vision</v>
      </c>
      <c r="CQ57" s="17"/>
      <c r="CR57" s="17"/>
      <c r="CS57" s="17"/>
      <c r="CT57" s="17"/>
      <c r="CU57" s="17"/>
      <c r="CV57" s="25" t="s">
        <v>19</v>
      </c>
      <c r="CW57" s="25">
        <f ca="1">RANDBETWEEN(1,60)</f>
        <v>41</v>
      </c>
      <c r="CX57" s="25" t="str">
        <f ca="1">VLOOKUP(CW57,$AF$11:$AG$70,2,FALSE())</f>
        <v>Anneau de Protection</v>
      </c>
      <c r="CY57" s="17"/>
      <c r="CZ57" s="17"/>
      <c r="DA57" s="17"/>
      <c r="DB57" s="17"/>
      <c r="DF57" s="9">
        <v>33</v>
      </c>
      <c r="DG57" s="25" t="s">
        <v>644</v>
      </c>
      <c r="DH57" s="17"/>
      <c r="DI57" s="17"/>
      <c r="DJ57" s="17"/>
    </row>
    <row r="58" spans="1:114">
      <c r="A58" s="9" t="s">
        <v>86</v>
      </c>
      <c r="B58" s="10">
        <f ca="1">IF(E58&lt;=D58,C58,0)</f>
        <v>432</v>
      </c>
      <c r="C58" s="9">
        <f ca="1">RANDBETWEEN(200,1200)</f>
        <v>432</v>
      </c>
      <c r="D58" s="10">
        <v>100</v>
      </c>
      <c r="E58" s="10"/>
      <c r="G58" s="9" t="s">
        <v>86</v>
      </c>
      <c r="H58" s="10"/>
      <c r="I58" s="9"/>
      <c r="J58" s="10"/>
      <c r="K58" s="10"/>
      <c r="M58" s="9" t="s">
        <v>86</v>
      </c>
      <c r="N58" s="10"/>
      <c r="O58" s="30"/>
      <c r="P58" s="10"/>
      <c r="Q58" s="10"/>
      <c r="Y58" s="9">
        <v>49</v>
      </c>
      <c r="Z58" s="72" t="s">
        <v>149</v>
      </c>
      <c r="AA58" s="72"/>
      <c r="AB58" s="29"/>
      <c r="AF58" s="9">
        <v>48</v>
      </c>
      <c r="AG58" s="25" t="s">
        <v>150</v>
      </c>
      <c r="AI58" s="25">
        <v>3</v>
      </c>
      <c r="AJ58" s="25" t="str">
        <f t="shared" ca="1" si="57"/>
        <v>Baguette de Détection de l'ennemi 17 Charges</v>
      </c>
      <c r="AM58" s="30">
        <v>26</v>
      </c>
      <c r="AN58" s="30" t="s">
        <v>416</v>
      </c>
      <c r="AO58" s="17"/>
      <c r="AP58" s="25">
        <v>3</v>
      </c>
      <c r="AQ58" s="25" t="s">
        <v>463</v>
      </c>
      <c r="AR58" s="17"/>
      <c r="AS58" s="25">
        <v>3</v>
      </c>
      <c r="AT58" s="25" t="s">
        <v>518</v>
      </c>
      <c r="AU58" s="17"/>
      <c r="AV58" s="25">
        <v>26</v>
      </c>
      <c r="AW58" s="25" t="s">
        <v>575</v>
      </c>
      <c r="AX58" s="17"/>
      <c r="AY58" s="27">
        <v>27</v>
      </c>
      <c r="AZ58" s="17" t="str">
        <f t="shared" ca="1" si="31"/>
        <v>Armure de cuir de dissimulation (+1)</v>
      </c>
      <c r="BA58" s="17" t="s">
        <v>627</v>
      </c>
      <c r="BB58" s="17">
        <f t="shared" ca="1" si="32"/>
        <v>5</v>
      </c>
      <c r="BC58" s="17" t="str">
        <f t="shared" ca="1" si="33"/>
        <v xml:space="preserve"> (+1)</v>
      </c>
      <c r="BD58" s="17"/>
      <c r="BE58" s="37"/>
      <c r="BF58" s="17"/>
      <c r="BH58" s="27">
        <v>48</v>
      </c>
      <c r="BI58" s="25" t="str">
        <f t="shared" ca="1" si="45"/>
        <v>Épée (+1)</v>
      </c>
      <c r="BJ58" s="17" t="s">
        <v>133</v>
      </c>
      <c r="BK58" s="17" t="str">
        <f t="shared" ca="1" si="46"/>
        <v xml:space="preserve"> (+1)</v>
      </c>
      <c r="BL58">
        <f t="shared" ca="1" si="47"/>
        <v>9</v>
      </c>
      <c r="BS58" s="24"/>
      <c r="BU58" s="25">
        <v>54</v>
      </c>
      <c r="BV58" s="30" t="s">
        <v>744</v>
      </c>
      <c r="BX58" s="27" t="str">
        <f t="shared" si="50"/>
        <v>Capes et robes</v>
      </c>
      <c r="BY58" s="17">
        <f t="shared" ref="BY58:BY64" ca="1" si="58">RANDBETWEEN(1,20)</f>
        <v>18</v>
      </c>
      <c r="BZ58" s="37" t="str">
        <f ca="1">VLOOKUP(BY58,$AP$10:$AQ$29,2,FALSE())</f>
        <v>Robe d'utilité (magicien)</v>
      </c>
      <c r="CA58" s="17"/>
      <c r="CB58" s="27" t="str">
        <f t="shared" si="51"/>
        <v>Capes et robes</v>
      </c>
      <c r="CC58" s="17">
        <f t="shared" ref="CC58:CC64" ca="1" si="59">RANDBETWEEN(1,20)</f>
        <v>9</v>
      </c>
      <c r="CD58" s="37" t="str">
        <f ca="1">VLOOKUP(CC58,$AP$10:$AQ$29,2,FALSE())</f>
        <v>Cape chauve-souris</v>
      </c>
      <c r="CE58" s="17"/>
      <c r="CF58" s="27" t="str">
        <f t="shared" si="52"/>
        <v>Capes et robes</v>
      </c>
      <c r="CG58" s="17">
        <f t="shared" ref="CG58:CG64" ca="1" si="60">RANDBETWEEN(1,20)</f>
        <v>11</v>
      </c>
      <c r="CH58" s="37" t="str">
        <f ca="1">VLOOKUP(CG58,$AP$10:$AQ$29,2,FALSE())</f>
        <v>Robe des archimages (magicien)</v>
      </c>
      <c r="CI58" s="17"/>
      <c r="CJ58" s="27" t="str">
        <f t="shared" si="53"/>
        <v>Capes et robes</v>
      </c>
      <c r="CK58" s="17">
        <f t="shared" ref="CK58:CK64" ca="1" si="61">RANDBETWEEN(1,20)</f>
        <v>6</v>
      </c>
      <c r="CL58" s="37" t="str">
        <f ca="1">VLOOKUP(CK58,$AP$10:$AQ$29,2,FALSE())</f>
        <v>Cape de protection</v>
      </c>
      <c r="CM58" s="17"/>
      <c r="CN58" s="27" t="str">
        <f t="shared" si="54"/>
        <v>Capes et robes</v>
      </c>
      <c r="CO58" s="17">
        <f t="shared" ref="CO58:CO64" ca="1" si="62">RANDBETWEEN(1,20)</f>
        <v>11</v>
      </c>
      <c r="CP58" s="37" t="str">
        <f ca="1">VLOOKUP(CO58,$AP$10:$AQ$29,2,FALSE())</f>
        <v>Robe des archimages (magicien)</v>
      </c>
      <c r="CQ58" s="17"/>
      <c r="CR58" s="17"/>
      <c r="CS58" s="17"/>
      <c r="CT58" s="17"/>
      <c r="CU58" s="17"/>
      <c r="CV58" s="25" t="s">
        <v>376</v>
      </c>
      <c r="CW58" s="25">
        <f ca="1">RANDBETWEEN(1,20)</f>
        <v>13</v>
      </c>
      <c r="CX58" s="25" t="str">
        <f ca="1">VLOOKUP(CW58,$AI$10:$AJ$29,2,FALSE())</f>
        <v>Sceptre de Sécurité</v>
      </c>
      <c r="CY58" s="17"/>
      <c r="CZ58" s="17"/>
      <c r="DA58" s="17"/>
      <c r="DB58" s="17"/>
      <c r="DF58" s="9">
        <v>34</v>
      </c>
      <c r="DG58" s="25" t="s">
        <v>644</v>
      </c>
      <c r="DH58" s="17"/>
      <c r="DI58" s="17"/>
      <c r="DJ58" s="17"/>
    </row>
    <row r="59" spans="1:114">
      <c r="A59" s="9" t="s">
        <v>92</v>
      </c>
      <c r="B59" s="10">
        <f ca="1">IF(E59&lt;=D59,C59,0)</f>
        <v>439</v>
      </c>
      <c r="C59" s="9">
        <f ca="1">RANDBETWEEN(100,600)</f>
        <v>439</v>
      </c>
      <c r="D59" s="10">
        <v>100</v>
      </c>
      <c r="E59" s="10"/>
      <c r="G59" s="9" t="s">
        <v>92</v>
      </c>
      <c r="H59" s="10">
        <f ca="1">IF(K59&lt;=J59,I59,0)</f>
        <v>223</v>
      </c>
      <c r="I59" s="9">
        <f ca="1">RANDBETWEEN(100,400)</f>
        <v>223</v>
      </c>
      <c r="J59" s="10">
        <v>100</v>
      </c>
      <c r="K59" s="10"/>
      <c r="M59" s="9" t="s">
        <v>92</v>
      </c>
      <c r="N59" s="10" t="str">
        <f ca="1">IF(Q59&lt;=P59,O59,0)</f>
        <v>Tous 3 Items</v>
      </c>
      <c r="O59" s="32" t="s">
        <v>151</v>
      </c>
      <c r="P59" s="9">
        <f>50+B31</f>
        <v>50</v>
      </c>
      <c r="Q59" s="10">
        <f ca="1">RANDBETWEEN(1,100)</f>
        <v>2</v>
      </c>
      <c r="Y59" s="9">
        <v>50</v>
      </c>
      <c r="Z59" s="72" t="s">
        <v>777</v>
      </c>
      <c r="AA59" s="72"/>
      <c r="AB59" s="29"/>
      <c r="AF59" s="9">
        <v>49</v>
      </c>
      <c r="AG59" s="25" t="s">
        <v>152</v>
      </c>
      <c r="AI59" s="25">
        <v>4</v>
      </c>
      <c r="AJ59" s="25" t="str">
        <f t="shared" ca="1" si="57"/>
        <v>Baguette de Terreur (prêtre, magicien) 68 Charges</v>
      </c>
      <c r="AM59" s="30">
        <v>27</v>
      </c>
      <c r="AN59" s="30" t="s">
        <v>417</v>
      </c>
      <c r="AO59" s="17"/>
      <c r="AP59" s="25">
        <v>4</v>
      </c>
      <c r="AQ59" s="25" t="s">
        <v>464</v>
      </c>
      <c r="AR59" s="17"/>
      <c r="AS59" s="25">
        <v>4</v>
      </c>
      <c r="AT59" s="25" t="s">
        <v>519</v>
      </c>
      <c r="AU59" s="17"/>
      <c r="AV59" s="25">
        <v>27</v>
      </c>
      <c r="AW59" s="25" t="s">
        <v>575</v>
      </c>
      <c r="AX59" s="17"/>
      <c r="AY59" s="27">
        <v>28</v>
      </c>
      <c r="AZ59" s="17" t="str">
        <f t="shared" ca="1" si="31"/>
        <v>Plates de dissimulation (+2)</v>
      </c>
      <c r="BA59" s="17" t="s">
        <v>628</v>
      </c>
      <c r="BB59" s="17">
        <f t="shared" ca="1" si="32"/>
        <v>10</v>
      </c>
      <c r="BC59" s="17" t="str">
        <f t="shared" ca="1" si="33"/>
        <v xml:space="preserve"> (+2)</v>
      </c>
      <c r="BD59" s="17"/>
      <c r="BE59" s="37"/>
      <c r="BF59" s="17"/>
      <c r="BH59" s="27">
        <v>49</v>
      </c>
      <c r="BI59" s="25" t="str">
        <f t="shared" ca="1" si="45"/>
        <v>Épée (+1)</v>
      </c>
      <c r="BJ59" s="17" t="s">
        <v>133</v>
      </c>
      <c r="BK59" s="17" t="str">
        <f t="shared" ca="1" si="46"/>
        <v xml:space="preserve"> (+1)</v>
      </c>
      <c r="BL59">
        <f t="shared" ca="1" si="47"/>
        <v>10</v>
      </c>
      <c r="BS59" s="24"/>
      <c r="BU59" s="25">
        <v>55</v>
      </c>
      <c r="BV59" s="30" t="s">
        <v>744</v>
      </c>
      <c r="BX59" s="27" t="str">
        <f t="shared" si="50"/>
        <v>Bottes et gants</v>
      </c>
      <c r="BY59" s="17">
        <f t="shared" ca="1" si="58"/>
        <v>12</v>
      </c>
      <c r="BZ59" s="37" t="str">
        <f ca="1">VLOOKUP(BY59,$AP$33:$AQ$52,2,FALSE())</f>
        <v>Bracelets de défense</v>
      </c>
      <c r="CA59" s="17"/>
      <c r="CB59" s="27" t="str">
        <f t="shared" si="51"/>
        <v>Bottes et gants</v>
      </c>
      <c r="CC59" s="17">
        <f t="shared" ca="1" si="59"/>
        <v>20</v>
      </c>
      <c r="CD59" s="37" t="str">
        <f ca="1">VLOOKUP(CC59,$AP$33:$AQ$52,2,FALSE())</f>
        <v>Botte, bracelet ou gant au choix du MD</v>
      </c>
      <c r="CE59" s="17"/>
      <c r="CF59" s="27" t="str">
        <f t="shared" si="52"/>
        <v>Bottes et gants</v>
      </c>
      <c r="CG59" s="17">
        <f t="shared" ca="1" si="60"/>
        <v>14</v>
      </c>
      <c r="CH59" s="37" t="str">
        <f ca="1">VLOOKUP(CG59,$AP$33:$AQ$52,2,FALSE())</f>
        <v>Gantelets de dextérité</v>
      </c>
      <c r="CI59" s="17"/>
      <c r="CJ59" s="27" t="str">
        <f t="shared" si="53"/>
        <v>Bottes et gants</v>
      </c>
      <c r="CK59" s="17">
        <f t="shared" ca="1" si="61"/>
        <v>12</v>
      </c>
      <c r="CL59" s="37" t="str">
        <f ca="1">VLOOKUP(CK59,$AP$33:$AQ$52,2,FALSE())</f>
        <v>Bracelets de défense</v>
      </c>
      <c r="CM59" s="17"/>
      <c r="CN59" s="27" t="str">
        <f t="shared" si="54"/>
        <v>Bottes et gants</v>
      </c>
      <c r="CO59" s="17">
        <f t="shared" ca="1" si="62"/>
        <v>13</v>
      </c>
      <c r="CP59" s="37" t="str">
        <f ca="1">VLOOKUP(CO59,$AP$33:$AQ$52,2,FALSE())</f>
        <v>Bracelets de vulnérabilité</v>
      </c>
      <c r="CQ59" s="17"/>
      <c r="CR59" s="17"/>
      <c r="CS59" s="17"/>
      <c r="CT59" s="17"/>
      <c r="CU59" s="17"/>
      <c r="CV59" s="25" t="s">
        <v>96</v>
      </c>
      <c r="CW59" s="25">
        <f ca="1">RANDBETWEEN(1,20)</f>
        <v>5</v>
      </c>
      <c r="CX59" s="25" t="str">
        <f ca="1">VLOOKUP(CW59,$AI$33:$AJ$52,2,FALSE())</f>
        <v>Bâton de Contrecoup</v>
      </c>
      <c r="CY59" s="17"/>
      <c r="CZ59" s="17"/>
      <c r="DA59" s="17"/>
      <c r="DB59" s="17"/>
      <c r="DF59" s="9">
        <v>35</v>
      </c>
      <c r="DG59" s="25" t="s">
        <v>644</v>
      </c>
      <c r="DH59" s="17"/>
      <c r="DI59" s="17"/>
      <c r="DJ59" s="17"/>
    </row>
    <row r="60" spans="1:114">
      <c r="Y60" s="9">
        <v>51</v>
      </c>
      <c r="Z60" s="72" t="s">
        <v>785</v>
      </c>
      <c r="AA60" s="72"/>
      <c r="AB60" s="29"/>
      <c r="AF60" s="9">
        <v>50</v>
      </c>
      <c r="AG60" s="25" t="s">
        <v>153</v>
      </c>
      <c r="AI60" s="25">
        <v>5</v>
      </c>
      <c r="AJ60" s="25" t="str">
        <f t="shared" ca="1" si="57"/>
        <v>Baguette de Feu (magicien) 93 Charges</v>
      </c>
      <c r="AM60" s="30">
        <v>28</v>
      </c>
      <c r="AN60" s="30" t="s">
        <v>418</v>
      </c>
      <c r="AO60" s="17"/>
      <c r="AP60" s="25">
        <v>5</v>
      </c>
      <c r="AQ60" s="25" t="s">
        <v>465</v>
      </c>
      <c r="AR60" s="17"/>
      <c r="AS60" s="25">
        <v>5</v>
      </c>
      <c r="AT60" s="25" t="s">
        <v>520</v>
      </c>
      <c r="AU60" s="17"/>
      <c r="AV60" s="25">
        <v>28</v>
      </c>
      <c r="AW60" s="25" t="s">
        <v>576</v>
      </c>
      <c r="AX60" s="17"/>
      <c r="AY60" s="27">
        <v>29</v>
      </c>
      <c r="AZ60" s="17" t="str">
        <f t="shared" ca="1" si="31"/>
        <v>Plates de dissimulation (+1)</v>
      </c>
      <c r="BA60" s="17" t="s">
        <v>628</v>
      </c>
      <c r="BB60" s="17">
        <f t="shared" ca="1" si="32"/>
        <v>8</v>
      </c>
      <c r="BC60" s="17" t="str">
        <f t="shared" ca="1" si="33"/>
        <v xml:space="preserve"> (+1)</v>
      </c>
      <c r="BD60" s="17"/>
      <c r="BE60" s="37"/>
      <c r="BF60" s="17"/>
      <c r="BH60" s="27">
        <v>50</v>
      </c>
      <c r="BI60" s="25" t="str">
        <f t="shared" ca="1" si="45"/>
        <v>Épée (+1)</v>
      </c>
      <c r="BJ60" s="17" t="s">
        <v>133</v>
      </c>
      <c r="BK60" s="17" t="str">
        <f t="shared" ca="1" si="46"/>
        <v xml:space="preserve"> (+1)</v>
      </c>
      <c r="BL60">
        <f t="shared" ca="1" si="47"/>
        <v>9</v>
      </c>
      <c r="BS60" s="24"/>
      <c r="BU60" s="25">
        <v>56</v>
      </c>
      <c r="BV60" s="30" t="s">
        <v>745</v>
      </c>
      <c r="BX60" s="27" t="str">
        <f t="shared" si="50"/>
        <v>Ceinturons et heaumes</v>
      </c>
      <c r="BY60" s="17">
        <f t="shared" ca="1" si="58"/>
        <v>8</v>
      </c>
      <c r="BZ60" s="37" t="str">
        <f ca="1">VLOOKUP(BY60,$AP$56:$AQ$75,2,FALSE())</f>
        <v>Ceinturon à poches</v>
      </c>
      <c r="CA60" s="17"/>
      <c r="CB60" s="27" t="str">
        <f t="shared" si="51"/>
        <v>Ceinturons et heaumes</v>
      </c>
      <c r="CC60" s="17">
        <f t="shared" ca="1" si="59"/>
        <v>3</v>
      </c>
      <c r="CD60" s="37" t="str">
        <f ca="1">VLOOKUP(CC60,$AP$56:$AQ$75,2,FALSE())</f>
        <v>Ceinturon des nains</v>
      </c>
      <c r="CE60" s="17"/>
      <c r="CF60" s="27" t="str">
        <f t="shared" si="52"/>
        <v>Ceinturons et heaumes</v>
      </c>
      <c r="CG60" s="17">
        <f t="shared" ca="1" si="60"/>
        <v>8</v>
      </c>
      <c r="CH60" s="37" t="str">
        <f ca="1">VLOOKUP(CG60,$AP$56:$AQ$75,2,FALSE())</f>
        <v>Ceinturon à poches</v>
      </c>
      <c r="CI60" s="17"/>
      <c r="CJ60" s="27" t="str">
        <f t="shared" si="53"/>
        <v>Ceinturons et heaumes</v>
      </c>
      <c r="CK60" s="17">
        <f t="shared" ca="1" si="61"/>
        <v>20</v>
      </c>
      <c r="CL60" s="37" t="str">
        <f ca="1">VLOOKUP(CK60,$AP$56:$AQ$75,2,FALSE())</f>
        <v>Ceinturons ou chapeau ou heaume choix du MD</v>
      </c>
      <c r="CM60" s="17"/>
      <c r="CN60" s="27" t="str">
        <f t="shared" si="54"/>
        <v>Ceinturons et heaumes</v>
      </c>
      <c r="CO60" s="17">
        <f t="shared" ca="1" si="62"/>
        <v>11</v>
      </c>
      <c r="CP60" s="37" t="str">
        <f ca="1">VLOOKUP(CO60,$AP$56:$AQ$75,2,FALSE())</f>
        <v>Chapeau de stupidité</v>
      </c>
      <c r="CQ60" s="17"/>
      <c r="CR60" s="17"/>
      <c r="CS60" s="17"/>
      <c r="CT60" s="17"/>
      <c r="CU60" s="17"/>
      <c r="CV60" s="25" t="s">
        <v>38</v>
      </c>
      <c r="CW60" s="25">
        <f ca="1">RANDBETWEEN(1,20)</f>
        <v>7</v>
      </c>
      <c r="CX60" s="25" t="str">
        <f ca="1">VLOOKUP(CW60,$AI$56:$AJ$75,2,FALSE())</f>
        <v>Baguette de Givre (magicien) 10 Charges</v>
      </c>
      <c r="CY60" s="17"/>
      <c r="CZ60" s="17"/>
      <c r="DA60" s="17"/>
      <c r="DB60" s="17"/>
      <c r="DF60" s="9">
        <v>36</v>
      </c>
      <c r="DG60" s="25" t="s">
        <v>644</v>
      </c>
      <c r="DH60" s="17"/>
      <c r="DI60" s="17"/>
      <c r="DJ60" s="17"/>
    </row>
    <row r="61" spans="1:114">
      <c r="A61" s="88" t="s">
        <v>154</v>
      </c>
      <c r="B61" s="88"/>
      <c r="C61" s="88"/>
      <c r="Y61" s="9">
        <v>52</v>
      </c>
      <c r="Z61" s="72" t="s">
        <v>786</v>
      </c>
      <c r="AA61" s="72"/>
      <c r="AB61" s="29"/>
      <c r="AF61" s="9">
        <v>51</v>
      </c>
      <c r="AG61" s="25" t="s">
        <v>155</v>
      </c>
      <c r="AI61" s="25">
        <v>6</v>
      </c>
      <c r="AJ61" s="25" t="str">
        <f t="shared" ca="1" si="57"/>
        <v>Baguette d'Extinction 74 Charges</v>
      </c>
      <c r="AM61" s="30">
        <v>29</v>
      </c>
      <c r="AN61" s="30" t="s">
        <v>419</v>
      </c>
      <c r="AO61" s="17"/>
      <c r="AP61" s="25">
        <v>6</v>
      </c>
      <c r="AQ61" s="25" t="s">
        <v>465</v>
      </c>
      <c r="AR61" s="17"/>
      <c r="AS61" s="25">
        <v>6</v>
      </c>
      <c r="AT61" s="25" t="s">
        <v>521</v>
      </c>
      <c r="AU61" s="17"/>
      <c r="AV61" s="25">
        <v>29</v>
      </c>
      <c r="AW61" s="25" t="s">
        <v>577</v>
      </c>
      <c r="AX61" s="17"/>
      <c r="AY61" s="27">
        <v>30</v>
      </c>
      <c r="AZ61" s="17" t="str">
        <f t="shared" ca="1" si="31"/>
        <v>Plates de dissimulation (+2)</v>
      </c>
      <c r="BA61" s="17" t="s">
        <v>628</v>
      </c>
      <c r="BB61" s="17">
        <f t="shared" ca="1" si="32"/>
        <v>12</v>
      </c>
      <c r="BC61" s="17" t="str">
        <f t="shared" ca="1" si="33"/>
        <v xml:space="preserve"> (+2)</v>
      </c>
      <c r="BD61" s="17"/>
      <c r="BE61" s="37"/>
      <c r="BF61" s="17"/>
      <c r="BH61" s="27">
        <v>51</v>
      </c>
      <c r="BI61" s="25" t="str">
        <f t="shared" ca="1" si="45"/>
        <v>Épée (+2)</v>
      </c>
      <c r="BJ61" s="17" t="s">
        <v>133</v>
      </c>
      <c r="BK61" s="17" t="str">
        <f t="shared" ca="1" si="46"/>
        <v xml:space="preserve"> (+2)</v>
      </c>
      <c r="BL61">
        <f t="shared" ca="1" si="47"/>
        <v>13</v>
      </c>
      <c r="BS61" s="24"/>
      <c r="BU61" s="25">
        <v>57</v>
      </c>
      <c r="BV61" s="30" t="s">
        <v>515</v>
      </c>
      <c r="BX61" s="27" t="str">
        <f t="shared" si="50"/>
        <v>Sacs et bouteilles</v>
      </c>
      <c r="BY61" s="17">
        <f t="shared" ca="1" si="58"/>
        <v>11</v>
      </c>
      <c r="BZ61" s="37" t="str">
        <f ca="1">VLOOKUP(BY61,$AS$10:$AT$29,2,FALSE())</f>
        <v>Bourse de Bucknard</v>
      </c>
      <c r="CA61" s="17"/>
      <c r="CB61" s="27" t="str">
        <f t="shared" si="51"/>
        <v>Sacs et bouteilles</v>
      </c>
      <c r="CC61" s="17">
        <f t="shared" ca="1" si="59"/>
        <v>11</v>
      </c>
      <c r="CD61" s="37" t="str">
        <f ca="1">VLOOKUP(CC61,$AS$10:$AT$29,2,FALSE())</f>
        <v>Bourse de Bucknard</v>
      </c>
      <c r="CE61" s="17"/>
      <c r="CF61" s="27" t="str">
        <f t="shared" si="52"/>
        <v>Sacs et bouteilles</v>
      </c>
      <c r="CG61" s="17">
        <f t="shared" ca="1" si="60"/>
        <v>13</v>
      </c>
      <c r="CH61" s="37" t="str">
        <f ca="1">VLOOKUP(CG61,$AS$10:$AT$29,2,FALSE())</f>
        <v>Bouteille d'efrit</v>
      </c>
      <c r="CI61" s="17"/>
      <c r="CJ61" s="27" t="str">
        <f t="shared" si="53"/>
        <v>Sacs et bouteilles</v>
      </c>
      <c r="CK61" s="17">
        <f t="shared" ca="1" si="61"/>
        <v>2</v>
      </c>
      <c r="CL61" s="37" t="str">
        <f ca="1">VLOOKUP(CK61,$AS$10:$AT$29,2,FALSE())</f>
        <v>Sac de haricots</v>
      </c>
      <c r="CM61" s="17"/>
      <c r="CN61" s="27" t="str">
        <f t="shared" si="54"/>
        <v>Sacs et bouteilles</v>
      </c>
      <c r="CO61" s="17">
        <f t="shared" ca="1" si="62"/>
        <v>3</v>
      </c>
      <c r="CP61" s="37" t="str">
        <f ca="1">VLOOKUP(CO61,$AS$10:$AT$29,2,FALSE())</f>
        <v>Sac dévoreur</v>
      </c>
      <c r="CQ61" s="17"/>
      <c r="CR61" s="17"/>
      <c r="CS61" s="17"/>
      <c r="CT61" s="17"/>
      <c r="CU61" s="17"/>
      <c r="CV61" s="25" t="s">
        <v>739</v>
      </c>
      <c r="CW61" s="25">
        <f ca="1">RANDBETWEEN(1,20)</f>
        <v>15</v>
      </c>
      <c r="CX61" s="25" t="str">
        <f ca="1">VLOOKUP(CW61,$AM$10:$AN$29,2,FALSE())</f>
        <v>Manuel des larcins furtifs</v>
      </c>
      <c r="CY61" s="17"/>
      <c r="CZ61" s="17"/>
      <c r="DA61" s="17"/>
      <c r="DB61" s="17"/>
      <c r="DF61" s="9">
        <v>37</v>
      </c>
      <c r="DG61" s="25" t="s">
        <v>644</v>
      </c>
      <c r="DH61" s="17"/>
      <c r="DI61" s="17"/>
      <c r="DJ61" s="17"/>
    </row>
    <row r="62" spans="1:114">
      <c r="A62" s="88"/>
      <c r="B62" s="88"/>
      <c r="C62" s="88"/>
      <c r="Y62" s="9">
        <v>53</v>
      </c>
      <c r="Z62" s="72" t="s">
        <v>786</v>
      </c>
      <c r="AA62" s="72"/>
      <c r="AB62" s="29"/>
      <c r="AF62" s="9">
        <v>52</v>
      </c>
      <c r="AG62" s="25" t="s">
        <v>156</v>
      </c>
      <c r="AI62" s="25">
        <v>7</v>
      </c>
      <c r="AJ62" s="25" t="str">
        <f t="shared" ca="1" si="57"/>
        <v>Baguette de Givre (magicien) 10 Charges</v>
      </c>
      <c r="AM62" s="30">
        <v>30</v>
      </c>
      <c r="AN62" s="30" t="s">
        <v>420</v>
      </c>
      <c r="AO62" s="17"/>
      <c r="AP62" s="25">
        <v>7</v>
      </c>
      <c r="AQ62" s="25" t="s">
        <v>466</v>
      </c>
      <c r="AR62" s="17"/>
      <c r="AS62" s="25">
        <v>7</v>
      </c>
      <c r="AT62" s="25" t="s">
        <v>522</v>
      </c>
      <c r="AU62" s="17"/>
      <c r="AV62" s="25">
        <v>30</v>
      </c>
      <c r="AW62" s="25" t="s">
        <v>578</v>
      </c>
      <c r="AX62" s="17"/>
      <c r="AY62" s="27">
        <v>31</v>
      </c>
      <c r="AZ62" s="17" t="str">
        <f t="shared" ca="1" si="31"/>
        <v>Plates de dissimulation (+1)</v>
      </c>
      <c r="BA62" s="17" t="s">
        <v>628</v>
      </c>
      <c r="BB62" s="17">
        <f t="shared" ca="1" si="32"/>
        <v>6</v>
      </c>
      <c r="BC62" s="17" t="str">
        <f t="shared" ca="1" si="33"/>
        <v xml:space="preserve"> (+1)</v>
      </c>
      <c r="BD62" s="17"/>
      <c r="BE62" s="37"/>
      <c r="BF62" s="17"/>
      <c r="BH62" s="27">
        <v>52</v>
      </c>
      <c r="BI62" s="25" t="str">
        <f t="shared" ca="1" si="45"/>
        <v>Épée (+1)</v>
      </c>
      <c r="BJ62" s="17" t="s">
        <v>133</v>
      </c>
      <c r="BK62" s="17" t="str">
        <f t="shared" ca="1" si="46"/>
        <v xml:space="preserve"> (+1)</v>
      </c>
      <c r="BL62">
        <f t="shared" ca="1" si="47"/>
        <v>5</v>
      </c>
      <c r="BS62" s="24"/>
      <c r="BU62" s="25">
        <v>58</v>
      </c>
      <c r="BV62" s="30" t="s">
        <v>535</v>
      </c>
      <c r="BX62" s="27" t="str">
        <f t="shared" si="50"/>
        <v>Poudres et pierres</v>
      </c>
      <c r="BY62" s="17">
        <f t="shared" ca="1" si="58"/>
        <v>9</v>
      </c>
      <c r="BZ62" s="37" t="str">
        <f ca="1">VLOOKUP(BY62,$AS$33:$AT$52,2,FALSE())</f>
        <v>Encens d'obsession (prêtre)</v>
      </c>
      <c r="CA62" s="17"/>
      <c r="CB62" s="27" t="str">
        <f t="shared" si="51"/>
        <v>Poudres et pierres</v>
      </c>
      <c r="CC62" s="17">
        <f t="shared" ca="1" si="59"/>
        <v>4</v>
      </c>
      <c r="CD62" s="37" t="str">
        <f ca="1">VLOOKUP(CC62,$AS$33:$AT$52,2,FALSE())</f>
        <v>Poudre de sécheresse</v>
      </c>
      <c r="CE62" s="17"/>
      <c r="CF62" s="27" t="str">
        <f t="shared" si="52"/>
        <v>Poudres et pierres</v>
      </c>
      <c r="CG62" s="17">
        <f t="shared" ca="1" si="60"/>
        <v>20</v>
      </c>
      <c r="CH62" s="37" t="str">
        <f ca="1">VLOOKUP(CG62,$AS$33:$AT$52,2,FALSE())</f>
        <v>Poudre ou pierre au choix du MD</v>
      </c>
      <c r="CI62" s="17"/>
      <c r="CJ62" s="27" t="str">
        <f t="shared" si="53"/>
        <v>Poudres et pierres</v>
      </c>
      <c r="CK62" s="17">
        <f t="shared" ca="1" si="61"/>
        <v>14</v>
      </c>
      <c r="CL62" s="37" t="str">
        <f ca="1">VLOOKUP(CK62,$AS$33:$AT$52,2,FALSE())</f>
        <v>Poudre à fumée</v>
      </c>
      <c r="CM62" s="17"/>
      <c r="CN62" s="27" t="str">
        <f t="shared" si="54"/>
        <v>Poudres et pierres</v>
      </c>
      <c r="CO62" s="17">
        <f t="shared" ca="1" si="62"/>
        <v>14</v>
      </c>
      <c r="CP62" s="37" t="str">
        <f ca="1">VLOOKUP(CO62,$AS$33:$AT$52,2,FALSE())</f>
        <v>Poudre à fumée</v>
      </c>
      <c r="CQ62" s="17"/>
      <c r="CR62" s="17"/>
      <c r="CS62" s="17"/>
      <c r="CT62" s="17"/>
      <c r="CU62" s="17"/>
      <c r="CV62" s="25" t="s">
        <v>740</v>
      </c>
      <c r="CW62" s="25">
        <f ca="1">RANDBETWEEN(1,40)</f>
        <v>16</v>
      </c>
      <c r="CX62" s="25" t="str">
        <f ca="1">VLOOKUP(CW62,$AM$33:$AN$72,2,FALSE())</f>
        <v>Collier de Projectiles</v>
      </c>
      <c r="CY62" s="17"/>
      <c r="CZ62" s="17"/>
      <c r="DA62" s="17"/>
      <c r="DB62" s="17"/>
      <c r="DF62" s="9">
        <v>38</v>
      </c>
      <c r="DG62" s="25" t="s">
        <v>644</v>
      </c>
      <c r="DH62" s="17"/>
      <c r="DI62" s="17"/>
      <c r="DJ62" s="17"/>
    </row>
    <row r="63" spans="1:114">
      <c r="A63" s="9" t="s">
        <v>3</v>
      </c>
      <c r="B63" s="9">
        <f t="shared" ref="B63:B70" ca="1" si="63">RANDBETWEEN(1,60)</f>
        <v>47</v>
      </c>
      <c r="C63" s="44"/>
      <c r="D63" s="44"/>
      <c r="E63" s="44"/>
      <c r="F63" s="44"/>
      <c r="G63" s="44"/>
      <c r="H63" s="44"/>
      <c r="I63" s="44"/>
      <c r="J63" s="44"/>
      <c r="Y63" s="9">
        <v>54</v>
      </c>
      <c r="Z63" s="72" t="s">
        <v>778</v>
      </c>
      <c r="AA63" s="72"/>
      <c r="AB63" s="29"/>
      <c r="AF63" s="9">
        <v>53</v>
      </c>
      <c r="AG63" s="25" t="s">
        <v>157</v>
      </c>
      <c r="AI63" s="25">
        <v>8</v>
      </c>
      <c r="AJ63" s="25" t="str">
        <f t="shared" ca="1" si="57"/>
        <v>Baguette d'Illumination 51 Charges</v>
      </c>
      <c r="AM63" s="30">
        <v>31</v>
      </c>
      <c r="AN63" s="30" t="s">
        <v>421</v>
      </c>
      <c r="AO63" s="17"/>
      <c r="AP63" s="25">
        <v>8</v>
      </c>
      <c r="AQ63" s="25" t="s">
        <v>466</v>
      </c>
      <c r="AR63" s="17"/>
      <c r="AS63" s="25">
        <v>8</v>
      </c>
      <c r="AT63" s="25" t="s">
        <v>523</v>
      </c>
      <c r="AU63" s="17"/>
      <c r="AV63" s="25">
        <v>31</v>
      </c>
      <c r="AW63" s="25" t="s">
        <v>579</v>
      </c>
      <c r="AX63" s="17"/>
      <c r="AY63" s="27">
        <v>32</v>
      </c>
      <c r="AZ63" s="17" t="str">
        <f t="shared" ca="1" si="31"/>
        <v>Armure annelée de dissimulation (+1)</v>
      </c>
      <c r="BA63" s="17" t="s">
        <v>630</v>
      </c>
      <c r="BB63" s="17">
        <f t="shared" ca="1" si="32"/>
        <v>1</v>
      </c>
      <c r="BC63" s="17" t="str">
        <f t="shared" ca="1" si="33"/>
        <v xml:space="preserve"> (+1)</v>
      </c>
      <c r="BD63" s="17"/>
      <c r="BE63" s="37"/>
      <c r="BF63" s="17"/>
      <c r="BH63" s="27">
        <v>53</v>
      </c>
      <c r="BI63" s="25" t="str">
        <f t="shared" ca="1" si="45"/>
        <v>Trident (+5)</v>
      </c>
      <c r="BJ63" s="17" t="s">
        <v>158</v>
      </c>
      <c r="BK63" s="17" t="str">
        <f t="shared" ca="1" si="46"/>
        <v xml:space="preserve"> (+5)</v>
      </c>
      <c r="BL63">
        <f t="shared" ca="1" si="47"/>
        <v>20</v>
      </c>
      <c r="BS63" s="24"/>
      <c r="BU63" s="25">
        <v>59</v>
      </c>
      <c r="BV63" s="30" t="s">
        <v>555</v>
      </c>
      <c r="BX63" s="27" t="str">
        <f t="shared" si="50"/>
        <v>Outils et ustensiles ménagers</v>
      </c>
      <c r="BY63" s="17">
        <f t="shared" ca="1" si="58"/>
        <v>20</v>
      </c>
      <c r="BZ63" s="37" t="str">
        <f ca="1">VLOOKUP(BY63,$AS$56:$AT$75,2,FALSE())</f>
        <v>Outil au choix du MD</v>
      </c>
      <c r="CA63" s="17"/>
      <c r="CB63" s="27" t="str">
        <f t="shared" si="51"/>
        <v>Outils et ustensiles ménagers</v>
      </c>
      <c r="CC63" s="17">
        <f t="shared" ca="1" si="59"/>
        <v>13</v>
      </c>
      <c r="CD63" s="37" t="str">
        <f ca="1">VLOOKUP(CC63,$AS$56:$AT$75,2,FALSE())</f>
        <v>Corde d'escalade</v>
      </c>
      <c r="CE63" s="17"/>
      <c r="CF63" s="27" t="str">
        <f t="shared" si="52"/>
        <v>Outils et ustensiles ménagers</v>
      </c>
      <c r="CG63" s="17">
        <f t="shared" ca="1" si="60"/>
        <v>2</v>
      </c>
      <c r="CH63" s="37" t="str">
        <f ca="1">VLOOKUP(CG63,$AS$56:$AT$75,2,FALSE())</f>
        <v>Brasero somnifère (magicien)</v>
      </c>
      <c r="CI63" s="17"/>
      <c r="CJ63" s="27" t="str">
        <f t="shared" si="53"/>
        <v>Outils et ustensiles ménagers</v>
      </c>
      <c r="CK63" s="17">
        <f t="shared" ca="1" si="61"/>
        <v>6</v>
      </c>
      <c r="CL63" s="37" t="str">
        <f ca="1">VLOOKUP(CK63,$AS$56:$AT$75,2,FALSE())</f>
        <v>Pioche des titans (combattant)</v>
      </c>
      <c r="CM63" s="17"/>
      <c r="CN63" s="27" t="str">
        <f t="shared" si="54"/>
        <v>Outils et ustensiles ménagers</v>
      </c>
      <c r="CO63" s="17">
        <f t="shared" ca="1" si="62"/>
        <v>19</v>
      </c>
      <c r="CP63" s="37" t="str">
        <f ca="1">VLOOKUP(CO63,$AS$56:$AT$75,2,FALSE())</f>
        <v>Bêche d'excavation (combattant)</v>
      </c>
      <c r="CQ63" s="17"/>
      <c r="CR63" s="17"/>
      <c r="CS63" s="17"/>
      <c r="CT63" s="17"/>
      <c r="CU63" s="17"/>
      <c r="CV63" s="25" t="s">
        <v>741</v>
      </c>
      <c r="CW63" s="25">
        <f t="shared" ref="CW63:CW69" ca="1" si="64">RANDBETWEEN(1,20)</f>
        <v>11</v>
      </c>
      <c r="CX63" s="25" t="str">
        <f ca="1">VLOOKUP(CW63,$AP$10:$AQ$29,2,FALSE())</f>
        <v>Robe des archimages (magicien)</v>
      </c>
      <c r="CY63" s="17"/>
      <c r="CZ63" s="17"/>
      <c r="DA63" s="17"/>
      <c r="DB63" s="17"/>
      <c r="DF63" s="9">
        <v>39</v>
      </c>
      <c r="DG63" s="25" t="s">
        <v>644</v>
      </c>
      <c r="DH63" s="17"/>
      <c r="DI63" s="17"/>
      <c r="DJ63" s="17"/>
    </row>
    <row r="64" spans="1:114">
      <c r="A64" s="9" t="s">
        <v>147</v>
      </c>
      <c r="B64" s="9">
        <f t="shared" ca="1" si="63"/>
        <v>41</v>
      </c>
      <c r="C64" s="9">
        <f t="shared" ref="C64:C70" ca="1" si="65">RANDBETWEEN(1,60)</f>
        <v>49</v>
      </c>
      <c r="D64" s="44"/>
      <c r="E64" s="44"/>
      <c r="F64" s="44"/>
      <c r="G64" s="44"/>
      <c r="H64" s="44"/>
      <c r="I64" s="44"/>
      <c r="J64" s="44"/>
      <c r="Y64" s="9">
        <v>55</v>
      </c>
      <c r="Z64" s="72" t="s">
        <v>787</v>
      </c>
      <c r="AA64" s="72"/>
      <c r="AB64" s="29"/>
      <c r="AF64" s="9">
        <v>54</v>
      </c>
      <c r="AG64" s="25" t="s">
        <v>159</v>
      </c>
      <c r="AI64" s="25">
        <v>9</v>
      </c>
      <c r="AJ64" s="25" t="str">
        <f t="shared" ca="1" si="57"/>
        <v>Baguette d'Illusion (magicien) 33 Charges</v>
      </c>
      <c r="AM64" s="30">
        <v>32</v>
      </c>
      <c r="AN64" s="30" t="s">
        <v>422</v>
      </c>
      <c r="AO64" s="17"/>
      <c r="AP64" s="25">
        <v>9</v>
      </c>
      <c r="AQ64" s="25" t="s">
        <v>466</v>
      </c>
      <c r="AR64" s="17"/>
      <c r="AS64" s="25">
        <v>9</v>
      </c>
      <c r="AT64" s="25" t="s">
        <v>524</v>
      </c>
      <c r="AU64" s="17"/>
      <c r="AV64" s="25">
        <v>32</v>
      </c>
      <c r="AW64" s="25" t="s">
        <v>579</v>
      </c>
      <c r="AX64" s="17"/>
      <c r="AY64" s="27">
        <v>33</v>
      </c>
      <c r="AZ64" s="17" t="str">
        <f t="shared" ref="AZ64:AZ88" ca="1" si="66">CONCATENATE(BA64,BC64)</f>
        <v>Armure d'écailles de dissimulation (+3)</v>
      </c>
      <c r="BA64" s="17" t="s">
        <v>629</v>
      </c>
      <c r="BB64" s="17">
        <f t="shared" ref="BB64:BB88" ca="1" si="67">RANDBETWEEN(1,18)</f>
        <v>14</v>
      </c>
      <c r="BC64" s="17" t="str">
        <f t="shared" ref="BC64:BC88" ca="1" si="68">VLOOKUP(BB64,$BD$32:$BE$49,2,FALSE())</f>
        <v xml:space="preserve"> (+3)</v>
      </c>
      <c r="BD64" s="17"/>
      <c r="BE64" s="37"/>
      <c r="BF64" s="17"/>
      <c r="BH64" s="27">
        <v>54</v>
      </c>
      <c r="BI64" s="25" t="str">
        <f t="shared" ca="1" si="45"/>
        <v>Trident (+5)</v>
      </c>
      <c r="BJ64" s="17" t="s">
        <v>158</v>
      </c>
      <c r="BK64" s="17" t="str">
        <f t="shared" ca="1" si="46"/>
        <v xml:space="preserve"> (+5)</v>
      </c>
      <c r="BL64">
        <f t="shared" ca="1" si="47"/>
        <v>20</v>
      </c>
      <c r="BS64" s="24"/>
      <c r="BU64" s="25">
        <v>60</v>
      </c>
      <c r="BV64" s="30" t="s">
        <v>555</v>
      </c>
      <c r="BX64" s="27" t="str">
        <f t="shared" si="50"/>
        <v>Instruments de musique</v>
      </c>
      <c r="BY64" s="17">
        <f t="shared" ca="1" si="58"/>
        <v>7</v>
      </c>
      <c r="BZ64" s="37" t="str">
        <f ca="1">VLOOKUP(BY64,$AV$10:$AW$29,2,FALSE())</f>
        <v>Harpe de discorde</v>
      </c>
      <c r="CA64" s="17"/>
      <c r="CB64" s="27" t="str">
        <f t="shared" si="51"/>
        <v>Instruments de musique</v>
      </c>
      <c r="CC64" s="17">
        <f t="shared" ca="1" si="59"/>
        <v>13</v>
      </c>
      <c r="CD64" s="37" t="str">
        <f ca="1">VLOOKUP(CC64,$AV$10:$AW$29,2,FALSE())</f>
        <v>Conque des tritons (prêtre, combattant)</v>
      </c>
      <c r="CE64" s="17"/>
      <c r="CF64" s="27" t="str">
        <f t="shared" si="52"/>
        <v>Instruments de musique</v>
      </c>
      <c r="CG64" s="17">
        <f t="shared" ca="1" si="60"/>
        <v>5</v>
      </c>
      <c r="CH64" s="37" t="str">
        <f ca="1">VLOOKUP(CG64,$AV$10:$AW$29,2,FALSE())</f>
        <v>Tambours de panique</v>
      </c>
      <c r="CI64" s="17"/>
      <c r="CJ64" s="27" t="str">
        <f t="shared" si="53"/>
        <v>Instruments de musique</v>
      </c>
      <c r="CK64" s="17">
        <f t="shared" ca="1" si="61"/>
        <v>8</v>
      </c>
      <c r="CL64" s="37" t="str">
        <f ca="1">VLOOKUP(CK64,$AV$10:$AW$29,2,FALSE())</f>
        <v>Cor de destruction</v>
      </c>
      <c r="CM64" s="17"/>
      <c r="CN64" s="27" t="str">
        <f t="shared" si="54"/>
        <v>Instruments de musique</v>
      </c>
      <c r="CO64" s="17">
        <f t="shared" ca="1" si="62"/>
        <v>16</v>
      </c>
      <c r="CP64" s="37" t="str">
        <f ca="1">VLOOKUP(CO64,$AV$10:$AW$29,2,FALSE())</f>
        <v>Flûte de hantise</v>
      </c>
      <c r="CQ64" s="17"/>
      <c r="CR64" s="17"/>
      <c r="CS64" s="17"/>
      <c r="CT64" s="17"/>
      <c r="CU64" s="17"/>
      <c r="CV64" s="25" t="s">
        <v>742</v>
      </c>
      <c r="CW64" s="25">
        <f t="shared" ca="1" si="64"/>
        <v>9</v>
      </c>
      <c r="CX64" s="25" t="str">
        <f ca="1">VLOOKUP(CW64,$AP$33:$AQ$52,2,FALSE())</f>
        <v>Bracelets d'archer (guerrier)</v>
      </c>
      <c r="CY64" s="17"/>
      <c r="CZ64" s="17"/>
      <c r="DA64" s="17"/>
      <c r="DB64" s="17"/>
      <c r="DF64" s="9">
        <v>40</v>
      </c>
      <c r="DG64" s="25" t="s">
        <v>644</v>
      </c>
      <c r="DH64" s="17"/>
      <c r="DI64" s="17"/>
      <c r="DJ64" s="17"/>
    </row>
    <row r="65" spans="1:114">
      <c r="A65" s="9" t="s">
        <v>160</v>
      </c>
      <c r="B65" s="9">
        <f t="shared" ca="1" si="63"/>
        <v>59</v>
      </c>
      <c r="C65" s="9">
        <f t="shared" ca="1" si="65"/>
        <v>13</v>
      </c>
      <c r="D65" s="9">
        <f t="shared" ref="D65:D70" ca="1" si="69">RANDBETWEEN(1,60)</f>
        <v>60</v>
      </c>
      <c r="E65" s="44"/>
      <c r="F65" s="44"/>
      <c r="G65" s="44"/>
      <c r="H65" s="44"/>
      <c r="I65" s="44"/>
      <c r="J65" s="44"/>
      <c r="Y65" s="9">
        <v>56</v>
      </c>
      <c r="Z65" s="72" t="s">
        <v>788</v>
      </c>
      <c r="AA65" s="72"/>
      <c r="AB65" s="29"/>
      <c r="AF65" s="9">
        <v>55</v>
      </c>
      <c r="AG65" s="25" t="s">
        <v>161</v>
      </c>
      <c r="AI65" s="25">
        <v>10</v>
      </c>
      <c r="AJ65" s="25" t="str">
        <f t="shared" ca="1" si="57"/>
        <v>Baguette de Foudre (magicien) 47 Charges</v>
      </c>
      <c r="AM65" s="30">
        <v>33</v>
      </c>
      <c r="AN65" s="30" t="s">
        <v>423</v>
      </c>
      <c r="AO65" s="17"/>
      <c r="AP65" s="25">
        <v>10</v>
      </c>
      <c r="AQ65" s="25" t="s">
        <v>467</v>
      </c>
      <c r="AR65" s="17"/>
      <c r="AS65" s="25">
        <v>10</v>
      </c>
      <c r="AT65" s="25" t="s">
        <v>526</v>
      </c>
      <c r="AU65" s="17"/>
      <c r="AV65" s="25">
        <v>33</v>
      </c>
      <c r="AW65" s="25" t="s">
        <v>580</v>
      </c>
      <c r="AX65" s="17"/>
      <c r="AY65" s="27">
        <v>34</v>
      </c>
      <c r="AZ65" s="17" t="str">
        <f t="shared" ca="1" si="66"/>
        <v>Bouclier de dissimulation (+5)</v>
      </c>
      <c r="BA65" s="17" t="s">
        <v>631</v>
      </c>
      <c r="BB65" s="17">
        <f t="shared" ca="1" si="67"/>
        <v>18</v>
      </c>
      <c r="BC65" s="17" t="str">
        <f t="shared" ca="1" si="68"/>
        <v xml:space="preserve"> (+5)</v>
      </c>
      <c r="BD65" s="17"/>
      <c r="BE65" s="37"/>
      <c r="BF65" s="17"/>
      <c r="BH65" s="27">
        <v>55</v>
      </c>
      <c r="BI65" s="25" t="str">
        <f t="shared" ca="1" si="45"/>
        <v>Marteau de guerre (+1)</v>
      </c>
      <c r="BJ65" s="17" t="s">
        <v>648</v>
      </c>
      <c r="BK65" s="17" t="str">
        <f t="shared" ca="1" si="46"/>
        <v xml:space="preserve"> (+1)</v>
      </c>
      <c r="BL65">
        <f t="shared" ca="1" si="47"/>
        <v>3</v>
      </c>
      <c r="BS65" s="24"/>
      <c r="BU65" s="25">
        <v>61</v>
      </c>
      <c r="BV65" s="30" t="s">
        <v>746</v>
      </c>
      <c r="BX65" s="27" t="str">
        <f t="shared" si="50"/>
        <v>Bizarreries</v>
      </c>
      <c r="BY65" s="17">
        <f ca="1">RANDBETWEEN(1,40)</f>
        <v>5</v>
      </c>
      <c r="BZ65" s="37" t="str">
        <f ca="1">VLOOKUP(BY65,$AV$33:$AW$72,2,FALSE())</f>
        <v>Bol de mort aqueuse (magicien)</v>
      </c>
      <c r="CA65" s="17"/>
      <c r="CB65" s="27" t="str">
        <f t="shared" si="51"/>
        <v>Bizarreries</v>
      </c>
      <c r="CC65" s="17">
        <f ca="1">RANDBETWEEN(1,40)</f>
        <v>9</v>
      </c>
      <c r="CD65" s="37" t="str">
        <f ca="1">VLOOKUP(CC65,$AV$33:$AW$72,2,FALSE())</f>
        <v>Boule de cristal (magicien)</v>
      </c>
      <c r="CE65" s="17"/>
      <c r="CF65" s="27" t="str">
        <f t="shared" si="52"/>
        <v>Bizarreries</v>
      </c>
      <c r="CG65" s="17">
        <f ca="1">RANDBETWEEN(1,40)</f>
        <v>25</v>
      </c>
      <c r="CH65" s="37" t="str">
        <f ca="1">VLOOKUP(CG65,$AV$33:$AW$72,2,FALSE())</f>
        <v>Fers du zéphyr</v>
      </c>
      <c r="CI65" s="17"/>
      <c r="CJ65" s="27" t="str">
        <f t="shared" si="53"/>
        <v>Bizarreries</v>
      </c>
      <c r="CK65" s="17">
        <f ca="1">RANDBETWEEN(1,40)</f>
        <v>25</v>
      </c>
      <c r="CL65" s="37" t="str">
        <f ca="1">VLOOKUP(CK65,$AV$33:$AW$72,2,FALSE())</f>
        <v>Fers du zéphyr</v>
      </c>
      <c r="CM65" s="17"/>
      <c r="CN65" s="27" t="str">
        <f t="shared" si="54"/>
        <v>Bizarreries</v>
      </c>
      <c r="CO65" s="17">
        <f ca="1">RANDBETWEEN(1,40)</f>
        <v>4</v>
      </c>
      <c r="CP65" s="37" t="str">
        <f ca="1">VLOOKUP(CO65,$AV$33:$AW$72,2,FALSE())</f>
        <v>Bol commandant les élémentaux d'eau (magicien)</v>
      </c>
      <c r="CQ65" s="17"/>
      <c r="CR65" s="17"/>
      <c r="CS65" s="17"/>
      <c r="CT65" s="17"/>
      <c r="CU65" s="17"/>
      <c r="CV65" s="25" t="s">
        <v>743</v>
      </c>
      <c r="CW65" s="25">
        <f t="shared" ca="1" si="64"/>
        <v>20</v>
      </c>
      <c r="CX65" s="25" t="str">
        <f ca="1">VLOOKUP(CW65,$AP$56:$AQ$75,2,FALSE())</f>
        <v>Ceinturons ou chapeau ou heaume choix du MD</v>
      </c>
      <c r="CY65" s="17"/>
      <c r="CZ65" s="17"/>
      <c r="DA65" s="17"/>
      <c r="DB65" s="17"/>
      <c r="DE65" s="17"/>
      <c r="DF65" s="17"/>
      <c r="DG65" s="17"/>
      <c r="DH65" s="17"/>
      <c r="DI65" s="17"/>
      <c r="DJ65" s="17"/>
    </row>
    <row r="66" spans="1:114">
      <c r="A66" s="9" t="s">
        <v>162</v>
      </c>
      <c r="B66" s="9">
        <f t="shared" ca="1" si="63"/>
        <v>6</v>
      </c>
      <c r="C66" s="9">
        <f t="shared" ca="1" si="65"/>
        <v>51</v>
      </c>
      <c r="D66" s="9">
        <f t="shared" ca="1" si="69"/>
        <v>3</v>
      </c>
      <c r="E66" s="9">
        <f ca="1">RANDBETWEEN(1,60)</f>
        <v>14</v>
      </c>
      <c r="F66" s="44"/>
      <c r="G66" s="44"/>
      <c r="H66" s="44"/>
      <c r="I66" s="44"/>
      <c r="J66" s="44"/>
      <c r="Y66" s="9">
        <v>57</v>
      </c>
      <c r="Z66" s="72" t="s">
        <v>163</v>
      </c>
      <c r="AA66" s="72"/>
      <c r="AB66" s="29"/>
      <c r="AF66" s="9">
        <v>56</v>
      </c>
      <c r="AG66" s="25" t="s">
        <v>164</v>
      </c>
      <c r="AI66" s="25">
        <v>11</v>
      </c>
      <c r="AJ66" s="25" t="str">
        <f t="shared" ca="1" si="57"/>
        <v>Baguette de Détection de la magie 21 Charges</v>
      </c>
      <c r="AM66" s="30">
        <v>34</v>
      </c>
      <c r="AN66" s="30" t="s">
        <v>424</v>
      </c>
      <c r="AO66" s="17"/>
      <c r="AP66" s="25">
        <v>11</v>
      </c>
      <c r="AQ66" s="25" t="s">
        <v>468</v>
      </c>
      <c r="AR66" s="17"/>
      <c r="AS66" s="25">
        <v>11</v>
      </c>
      <c r="AT66" s="25" t="s">
        <v>525</v>
      </c>
      <c r="AU66" s="17"/>
      <c r="AV66" s="25">
        <v>34</v>
      </c>
      <c r="AW66" s="25" t="s">
        <v>581</v>
      </c>
      <c r="AX66" s="17"/>
      <c r="AY66" s="27">
        <v>35</v>
      </c>
      <c r="AZ66" s="17" t="str">
        <f t="shared" ca="1" si="66"/>
        <v>Bouclier de dissimulation (+2)</v>
      </c>
      <c r="BA66" s="17" t="s">
        <v>631</v>
      </c>
      <c r="BB66" s="17">
        <f t="shared" ca="1" si="67"/>
        <v>11</v>
      </c>
      <c r="BC66" s="17" t="str">
        <f t="shared" ca="1" si="68"/>
        <v xml:space="preserve"> (+2)</v>
      </c>
      <c r="BD66" s="17"/>
      <c r="BE66" s="37"/>
      <c r="BF66" s="17"/>
      <c r="BH66" s="27">
        <v>56</v>
      </c>
      <c r="BI66" s="25" t="str">
        <f t="shared" ca="1" si="45"/>
        <v>Marteau de guerre (+4)</v>
      </c>
      <c r="BJ66" s="17" t="s">
        <v>648</v>
      </c>
      <c r="BK66" s="17" t="str">
        <f t="shared" ca="1" si="46"/>
        <v xml:space="preserve"> (+4)</v>
      </c>
      <c r="BL66">
        <f t="shared" ca="1" si="47"/>
        <v>19</v>
      </c>
      <c r="BS66" s="24"/>
      <c r="BU66" s="25">
        <v>62</v>
      </c>
      <c r="BV66" s="30" t="s">
        <v>746</v>
      </c>
      <c r="BX66" s="27" t="str">
        <f t="shared" si="50"/>
        <v>Armures et boucliers</v>
      </c>
      <c r="BY66" s="17">
        <f ca="1">RANDBETWEEN(1,20)</f>
        <v>8</v>
      </c>
      <c r="BZ66" s="37" t="str">
        <f ca="1">VLOOKUP(BY66,$AY$11:$AZ$30,2,FALSE())</f>
        <v>Armure de cuir (+1)</v>
      </c>
      <c r="CA66" s="17"/>
      <c r="CB66" s="27" t="str">
        <f t="shared" si="51"/>
        <v>Armures et boucliers</v>
      </c>
      <c r="CC66" s="17">
        <f ca="1">RANDBETWEEN(1,20)</f>
        <v>9</v>
      </c>
      <c r="CD66" s="37" t="str">
        <f ca="1">VLOOKUP(CC66,$AY$11:$AZ$30,2,FALSE())</f>
        <v>Armure de plates (+1)</v>
      </c>
      <c r="CE66" s="17"/>
      <c r="CF66" s="27" t="str">
        <f t="shared" si="52"/>
        <v>Armures et boucliers</v>
      </c>
      <c r="CG66" s="17">
        <f ca="1">RANDBETWEEN(1,20)</f>
        <v>1</v>
      </c>
      <c r="CH66" s="37" t="str">
        <f ca="1">VLOOKUP(CG66,$AY$11:$AZ$30,2,FALSE())</f>
        <v>Armure à bandes (+2)</v>
      </c>
      <c r="CI66" s="17"/>
      <c r="CJ66" s="27" t="str">
        <f t="shared" si="53"/>
        <v>Armures et boucliers</v>
      </c>
      <c r="CK66" s="17">
        <f ca="1">RANDBETWEEN(1,20)</f>
        <v>12</v>
      </c>
      <c r="CL66" s="37" t="str">
        <f ca="1">VLOOKUP(CK66,$AY$11:$AZ$30,2,FALSE())</f>
        <v>Armure de plates (+5)</v>
      </c>
      <c r="CM66" s="17"/>
      <c r="CN66" s="27" t="str">
        <f t="shared" si="54"/>
        <v>Armures et boucliers</v>
      </c>
      <c r="CO66" s="17">
        <f ca="1">RANDBETWEEN(1,20)</f>
        <v>20</v>
      </c>
      <c r="CP66" s="37" t="str">
        <f ca="1">VLOOKUP(CO66,$AY$11:$AZ$30,2,FALSE())</f>
        <v>Cotte de mailles elfique (+2)</v>
      </c>
      <c r="CQ66" s="17"/>
      <c r="CR66" s="17"/>
      <c r="CS66" s="17"/>
      <c r="CT66" s="17"/>
      <c r="CU66" s="17"/>
      <c r="CV66" s="25" t="s">
        <v>744</v>
      </c>
      <c r="CW66" s="25">
        <f t="shared" ca="1" si="64"/>
        <v>15</v>
      </c>
      <c r="CX66" s="25" t="str">
        <f ca="1">VLOOKUP(CW66,$AS$10:$AT$29,2,FALSE())</f>
        <v>Flacon de malédiction</v>
      </c>
      <c r="CY66" s="17"/>
      <c r="CZ66" s="17"/>
      <c r="DA66" s="17"/>
      <c r="DB66" s="17"/>
      <c r="DE66" s="17"/>
      <c r="DF66" s="17"/>
      <c r="DG66" s="17"/>
      <c r="DH66" s="17"/>
      <c r="DI66" s="17"/>
      <c r="DJ66" s="17"/>
    </row>
    <row r="67" spans="1:114">
      <c r="A67" s="9" t="s">
        <v>166</v>
      </c>
      <c r="B67" s="9">
        <f t="shared" ca="1" si="63"/>
        <v>54</v>
      </c>
      <c r="C67" s="9">
        <f t="shared" ca="1" si="65"/>
        <v>48</v>
      </c>
      <c r="D67" s="9">
        <f t="shared" ca="1" si="69"/>
        <v>32</v>
      </c>
      <c r="E67" s="9">
        <f ca="1">RANDBETWEEN(1,60)</f>
        <v>6</v>
      </c>
      <c r="F67" s="9">
        <f ca="1">RANDBETWEEN(1,60)</f>
        <v>46</v>
      </c>
      <c r="G67" s="44"/>
      <c r="H67" s="44"/>
      <c r="I67" s="44"/>
      <c r="J67" s="44"/>
      <c r="Y67" s="9">
        <v>58</v>
      </c>
      <c r="Z67" s="72" t="s">
        <v>167</v>
      </c>
      <c r="AA67" s="72"/>
      <c r="AB67" s="29"/>
      <c r="AF67" s="9">
        <v>57</v>
      </c>
      <c r="AG67" s="25" t="s">
        <v>168</v>
      </c>
      <c r="AI67" s="25">
        <v>12</v>
      </c>
      <c r="AJ67" s="25" t="str">
        <f t="shared" ca="1" si="57"/>
        <v>Baguette de Projectiles magiques 38 Charges</v>
      </c>
      <c r="AM67" s="30">
        <v>35</v>
      </c>
      <c r="AN67" s="30" t="s">
        <v>425</v>
      </c>
      <c r="AO67" s="17"/>
      <c r="AP67" s="25">
        <v>12</v>
      </c>
      <c r="AQ67" s="25" t="s">
        <v>469</v>
      </c>
      <c r="AR67" s="17"/>
      <c r="AS67" s="25">
        <v>12</v>
      </c>
      <c r="AT67" s="25" t="s">
        <v>527</v>
      </c>
      <c r="AU67" s="17"/>
      <c r="AV67" s="25">
        <v>35</v>
      </c>
      <c r="AW67" s="25" t="s">
        <v>582</v>
      </c>
      <c r="AX67" s="17"/>
      <c r="AY67" s="27">
        <v>36</v>
      </c>
      <c r="AZ67" s="17" t="str">
        <f t="shared" ca="1" si="66"/>
        <v>Bouclier de dissimulation (+3)</v>
      </c>
      <c r="BA67" s="17" t="s">
        <v>631</v>
      </c>
      <c r="BB67" s="17">
        <f t="shared" ca="1" si="67"/>
        <v>15</v>
      </c>
      <c r="BC67" s="17" t="str">
        <f t="shared" ca="1" si="68"/>
        <v xml:space="preserve"> (+3)</v>
      </c>
      <c r="BD67" s="17"/>
      <c r="BE67" s="37"/>
      <c r="BF67" s="17"/>
      <c r="BH67" s="27">
        <v>57</v>
      </c>
      <c r="BI67" s="47" t="str">
        <f ca="1">VLOOKUP(BK67,$BH$71:$BI$267,2,FALSE())</f>
        <v>Dague +1, +2 contre les créatures de taille P ou M</v>
      </c>
      <c r="BJ67" s="17" t="s">
        <v>169</v>
      </c>
      <c r="BK67" s="17">
        <f ca="1">RANDBETWEEN(1,197)</f>
        <v>28</v>
      </c>
      <c r="BS67" s="24"/>
      <c r="BU67" s="25">
        <v>63</v>
      </c>
      <c r="BV67" s="30" t="s">
        <v>746</v>
      </c>
      <c r="BX67" s="27" t="str">
        <f t="shared" si="50"/>
        <v>Armes</v>
      </c>
      <c r="BY67" s="17">
        <f ca="1">RANDBETWEEN(1,59)</f>
        <v>23</v>
      </c>
      <c r="BZ67" s="37" t="str">
        <f ca="1">VLOOKUP(BY67,$BH$11:$BI$69,2,FALSE())</f>
        <v>Arme d'hast (+2)</v>
      </c>
      <c r="CA67" s="17"/>
      <c r="CB67" s="27" t="str">
        <f t="shared" si="51"/>
        <v>Armes</v>
      </c>
      <c r="CC67" s="17">
        <f ca="1">RANDBETWEEN(1,59)</f>
        <v>50</v>
      </c>
      <c r="CD67" s="37" t="str">
        <f ca="1">VLOOKUP(CC67,$BH$11:$BI$69,2,FALSE())</f>
        <v>Épée (+1)</v>
      </c>
      <c r="CE67" s="17"/>
      <c r="CF67" s="27" t="str">
        <f t="shared" si="52"/>
        <v>Armes</v>
      </c>
      <c r="CG67" s="17">
        <f ca="1">RANDBETWEEN(1,59)</f>
        <v>36</v>
      </c>
      <c r="CH67" s="37" t="str">
        <f ca="1">VLOOKUP(CG67,$BH$11:$BI$69,2,FALSE())</f>
        <v>Épée (+3)</v>
      </c>
      <c r="CI67" s="17"/>
      <c r="CJ67" s="27" t="str">
        <f t="shared" si="53"/>
        <v>Armes</v>
      </c>
      <c r="CK67" s="17">
        <f ca="1">RANDBETWEEN(1,59)</f>
        <v>40</v>
      </c>
      <c r="CL67" s="37" t="str">
        <f ca="1">VLOOKUP(CK67,$BH$11:$BI$69,2,FALSE())</f>
        <v>Épée (+2)</v>
      </c>
      <c r="CM67" s="17"/>
      <c r="CN67" s="27" t="str">
        <f t="shared" si="54"/>
        <v>Armes</v>
      </c>
      <c r="CO67" s="17">
        <f ca="1">RANDBETWEEN(1,59)</f>
        <v>40</v>
      </c>
      <c r="CP67" s="37" t="str">
        <f ca="1">VLOOKUP(CO67,$BH$11:$BI$69,2,FALSE())</f>
        <v>Épée (+2)</v>
      </c>
      <c r="CQ67" s="17"/>
      <c r="CR67" s="17"/>
      <c r="CS67" s="17"/>
      <c r="CT67" s="17"/>
      <c r="CU67" s="17"/>
      <c r="CV67" s="25" t="s">
        <v>745</v>
      </c>
      <c r="CW67" s="25">
        <f t="shared" ca="1" si="64"/>
        <v>1</v>
      </c>
      <c r="CX67" s="25" t="str">
        <f ca="1">VLOOKUP(CW67,$AS$33:$AT$52,2,FALSE())</f>
        <v>Cierge d'invocation (prêtre)</v>
      </c>
      <c r="CY67" s="17"/>
      <c r="CZ67" s="17"/>
      <c r="DA67" s="17"/>
      <c r="DB67" s="17"/>
      <c r="DE67" s="17"/>
      <c r="DF67" s="17"/>
      <c r="DG67" s="17"/>
      <c r="DH67" s="17"/>
      <c r="DI67" s="17"/>
      <c r="DJ67" s="17"/>
    </row>
    <row r="68" spans="1:114">
      <c r="A68" s="9" t="s">
        <v>170</v>
      </c>
      <c r="B68" s="9">
        <f t="shared" ca="1" si="63"/>
        <v>10</v>
      </c>
      <c r="C68" s="9">
        <f t="shared" ca="1" si="65"/>
        <v>31</v>
      </c>
      <c r="D68" s="9">
        <f t="shared" ca="1" si="69"/>
        <v>38</v>
      </c>
      <c r="E68" s="9">
        <f ca="1">RANDBETWEEN(1,60)</f>
        <v>52</v>
      </c>
      <c r="F68" s="9">
        <f ca="1">RANDBETWEEN(1,60)</f>
        <v>35</v>
      </c>
      <c r="G68" s="9">
        <f ca="1">RANDBETWEEN(1,60)</f>
        <v>48</v>
      </c>
      <c r="H68" s="44"/>
      <c r="I68" s="44"/>
      <c r="J68" s="44"/>
      <c r="Y68" s="9">
        <v>59</v>
      </c>
      <c r="Z68" s="72" t="s">
        <v>779</v>
      </c>
      <c r="AA68" s="72"/>
      <c r="AB68" s="29"/>
      <c r="AF68" s="9">
        <v>58</v>
      </c>
      <c r="AG68" s="25" t="s">
        <v>171</v>
      </c>
      <c r="AI68" s="25">
        <v>13</v>
      </c>
      <c r="AJ68" s="25" t="str">
        <f t="shared" ca="1" si="57"/>
        <v>Baguette de Détection des métaux et minéraux 86 Charges</v>
      </c>
      <c r="AM68" s="30">
        <v>36</v>
      </c>
      <c r="AN68" s="30" t="s">
        <v>426</v>
      </c>
      <c r="AO68" s="17"/>
      <c r="AP68" s="25">
        <v>13</v>
      </c>
      <c r="AQ68" s="25" t="s">
        <v>470</v>
      </c>
      <c r="AR68" s="17"/>
      <c r="AS68" s="25">
        <v>13</v>
      </c>
      <c r="AT68" s="25" t="s">
        <v>527</v>
      </c>
      <c r="AU68" s="17"/>
      <c r="AV68" s="25">
        <v>36</v>
      </c>
      <c r="AW68" s="25" t="s">
        <v>583</v>
      </c>
      <c r="AX68" s="17"/>
      <c r="AY68" s="27">
        <v>37</v>
      </c>
      <c r="AZ68" s="17" t="str">
        <f t="shared" ca="1" si="66"/>
        <v>Armure feuilletée de dissimulation (+1)</v>
      </c>
      <c r="BA68" s="17" t="s">
        <v>632</v>
      </c>
      <c r="BB68" s="17">
        <f t="shared" ca="1" si="67"/>
        <v>4</v>
      </c>
      <c r="BC68" s="17" t="str">
        <f t="shared" ca="1" si="68"/>
        <v xml:space="preserve"> (+1)</v>
      </c>
      <c r="BD68" s="17"/>
      <c r="BE68" s="37"/>
      <c r="BF68" s="17"/>
      <c r="BH68" s="27">
        <v>58</v>
      </c>
      <c r="BI68" s="47" t="str">
        <f ca="1">VLOOKUP(BK68,$BH$71:$BI$267,2,FALSE())</f>
        <v>Épée +1, +2 contre les jeteurs de sorts et les créatures enchantées</v>
      </c>
      <c r="BJ68" s="17" t="s">
        <v>169</v>
      </c>
      <c r="BK68" s="17">
        <f ca="1">RANDBETWEEN(1,197)</f>
        <v>128</v>
      </c>
      <c r="BS68" s="24"/>
      <c r="BU68" s="25">
        <v>64</v>
      </c>
      <c r="BV68" s="30" t="s">
        <v>746</v>
      </c>
      <c r="BX68" s="38" t="str">
        <f t="shared" si="50"/>
        <v>Armes</v>
      </c>
      <c r="BY68" s="39"/>
      <c r="BZ68" s="40" t="str">
        <f ca="1">BZ67</f>
        <v>Arme d'hast (+2)</v>
      </c>
      <c r="CA68" s="17"/>
      <c r="CB68" s="38" t="str">
        <f t="shared" si="51"/>
        <v>Armes</v>
      </c>
      <c r="CC68" s="39"/>
      <c r="CD68" s="40" t="str">
        <f ca="1">CD67</f>
        <v>Épée (+1)</v>
      </c>
      <c r="CE68" s="17"/>
      <c r="CF68" s="38" t="str">
        <f t="shared" si="52"/>
        <v>Armes</v>
      </c>
      <c r="CG68" s="39"/>
      <c r="CH68" s="40" t="str">
        <f ca="1">CH67</f>
        <v>Épée (+3)</v>
      </c>
      <c r="CI68" s="17"/>
      <c r="CJ68" s="38" t="str">
        <f t="shared" si="53"/>
        <v>Armes</v>
      </c>
      <c r="CK68" s="39"/>
      <c r="CL68" s="40" t="str">
        <f ca="1">CL67</f>
        <v>Épée (+2)</v>
      </c>
      <c r="CM68" s="17"/>
      <c r="CN68" s="38" t="str">
        <f t="shared" si="54"/>
        <v>Armes</v>
      </c>
      <c r="CO68" s="39"/>
      <c r="CP68" s="40" t="str">
        <f ca="1">CP67</f>
        <v>Épée (+2)</v>
      </c>
      <c r="CQ68" s="17"/>
      <c r="CR68" s="17"/>
      <c r="CS68" s="17"/>
      <c r="CT68" s="17"/>
      <c r="CU68" s="17"/>
      <c r="CV68" s="25" t="s">
        <v>515</v>
      </c>
      <c r="CW68" s="25">
        <f t="shared" ca="1" si="64"/>
        <v>6</v>
      </c>
      <c r="CX68" s="25" t="str">
        <f ca="1">VLOOKUP(CW68,$AS$56:$AT$75,2,FALSE())</f>
        <v>Pioche des titans (combattant)</v>
      </c>
      <c r="CY68" s="17"/>
      <c r="CZ68" s="17"/>
      <c r="DA68" s="17"/>
      <c r="DB68" s="17"/>
      <c r="DE68" s="17"/>
      <c r="DF68" s="17"/>
      <c r="DG68" s="17"/>
      <c r="DH68" s="17"/>
      <c r="DI68" s="17"/>
      <c r="DJ68" s="17"/>
    </row>
    <row r="69" spans="1:114">
      <c r="A69" s="9" t="s">
        <v>172</v>
      </c>
      <c r="B69" s="9">
        <f t="shared" ca="1" si="63"/>
        <v>33</v>
      </c>
      <c r="C69" s="9">
        <f t="shared" ca="1" si="65"/>
        <v>19</v>
      </c>
      <c r="D69" s="9">
        <f t="shared" ca="1" si="69"/>
        <v>2</v>
      </c>
      <c r="E69" s="9">
        <f ca="1">RANDBETWEEN(1,60)</f>
        <v>36</v>
      </c>
      <c r="F69" s="9">
        <f ca="1">RANDBETWEEN(1,60)</f>
        <v>48</v>
      </c>
      <c r="G69" s="9">
        <f ca="1">RANDBETWEEN(1,60)</f>
        <v>35</v>
      </c>
      <c r="H69" s="9">
        <f ca="1">RANDBETWEEN(1,60)</f>
        <v>5</v>
      </c>
      <c r="I69" s="44"/>
      <c r="J69" s="44"/>
      <c r="Y69" s="9">
        <v>60</v>
      </c>
      <c r="Z69" s="72" t="s">
        <v>756</v>
      </c>
      <c r="AA69" s="72"/>
      <c r="AB69" s="29"/>
      <c r="AF69" s="9">
        <v>59</v>
      </c>
      <c r="AG69" s="25" t="s">
        <v>173</v>
      </c>
      <c r="AI69" s="25">
        <v>14</v>
      </c>
      <c r="AJ69" s="25" t="str">
        <f t="shared" ca="1" si="57"/>
        <v>Baguette de Négation 63 Charges</v>
      </c>
      <c r="AM69" s="30">
        <v>37</v>
      </c>
      <c r="AN69" s="30" t="s">
        <v>427</v>
      </c>
      <c r="AO69" s="17"/>
      <c r="AP69" s="25">
        <v>14</v>
      </c>
      <c r="AQ69" s="25" t="s">
        <v>470</v>
      </c>
      <c r="AR69" s="17"/>
      <c r="AS69" s="25">
        <v>14</v>
      </c>
      <c r="AT69" s="25" t="s">
        <v>528</v>
      </c>
      <c r="AU69" s="17"/>
      <c r="AV69" s="25">
        <v>37</v>
      </c>
      <c r="AW69" s="25" t="s">
        <v>584</v>
      </c>
      <c r="AX69" s="17"/>
      <c r="AY69" s="27">
        <v>38</v>
      </c>
      <c r="AZ69" s="17" t="str">
        <f t="shared" ca="1" si="66"/>
        <v>Armure de cuir clouté de dissimulation (+1)</v>
      </c>
      <c r="BA69" s="17" t="s">
        <v>633</v>
      </c>
      <c r="BB69" s="17">
        <f t="shared" ca="1" si="67"/>
        <v>1</v>
      </c>
      <c r="BC69" s="17" t="str">
        <f t="shared" ca="1" si="68"/>
        <v xml:space="preserve"> (+1)</v>
      </c>
      <c r="BD69" s="17"/>
      <c r="BE69" s="37"/>
      <c r="BF69" s="17"/>
      <c r="BH69" s="27">
        <v>59</v>
      </c>
      <c r="BI69" s="47" t="str">
        <f ca="1">VLOOKUP(BK69,$BH$71:$BI$267,2,FALSE())</f>
        <v>Épée +1, +2 contre les jeteurs de sorts et les créatures enchantées</v>
      </c>
      <c r="BJ69" s="17" t="s">
        <v>169</v>
      </c>
      <c r="BK69" s="17">
        <f ca="1">RANDBETWEEN(1,197)</f>
        <v>130</v>
      </c>
      <c r="BS69" s="24"/>
      <c r="BU69" s="25">
        <v>65</v>
      </c>
      <c r="BV69" s="30" t="s">
        <v>746</v>
      </c>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25" t="s">
        <v>535</v>
      </c>
      <c r="CW69" s="25">
        <f t="shared" ca="1" si="64"/>
        <v>12</v>
      </c>
      <c r="CX69" s="25" t="str">
        <f ca="1">VLOOKUP(CW69,$AV$10:$AW$29,2,FALSE())</f>
        <v>Cor du bien (du mal)</v>
      </c>
      <c r="CY69" s="17"/>
      <c r="CZ69" s="17"/>
      <c r="DA69" s="17"/>
      <c r="DB69" s="17"/>
      <c r="DE69" s="17"/>
      <c r="DF69" s="17"/>
      <c r="DG69" s="17"/>
      <c r="DH69" s="17"/>
      <c r="DI69" s="17"/>
      <c r="DJ69" s="17"/>
    </row>
    <row r="70" spans="1:114">
      <c r="A70" s="48" t="s">
        <v>174</v>
      </c>
      <c r="B70" s="48">
        <f t="shared" ca="1" si="63"/>
        <v>35</v>
      </c>
      <c r="C70" s="48">
        <f t="shared" ca="1" si="65"/>
        <v>53</v>
      </c>
      <c r="D70" s="48">
        <f t="shared" ca="1" si="69"/>
        <v>38</v>
      </c>
      <c r="E70" s="48">
        <f ca="1">RANDBETWEEN(1,60)</f>
        <v>28</v>
      </c>
      <c r="F70" s="48">
        <f ca="1">RANDBETWEEN(1,60)</f>
        <v>41</v>
      </c>
      <c r="G70" s="48">
        <f ca="1">RANDBETWEEN(1,60)</f>
        <v>10</v>
      </c>
      <c r="H70" s="48">
        <f ca="1">RANDBETWEEN(1,60)</f>
        <v>21</v>
      </c>
      <c r="I70" s="48">
        <f ca="1">RANDBETWEEN(1,60)</f>
        <v>3</v>
      </c>
      <c r="J70" s="49" t="s">
        <v>175</v>
      </c>
      <c r="AF70" s="9">
        <v>60</v>
      </c>
      <c r="AG70" s="25" t="s">
        <v>805</v>
      </c>
      <c r="AI70" s="25">
        <v>15</v>
      </c>
      <c r="AJ70" s="25" t="str">
        <f t="shared" ca="1" si="57"/>
        <v>Baguette de Paralysie (magicien) 36 Charges</v>
      </c>
      <c r="AM70" s="30">
        <v>38</v>
      </c>
      <c r="AN70" s="30" t="s">
        <v>428</v>
      </c>
      <c r="AO70" s="17"/>
      <c r="AP70" s="25">
        <v>15</v>
      </c>
      <c r="AQ70" s="25" t="s">
        <v>471</v>
      </c>
      <c r="AR70" s="17"/>
      <c r="AS70" s="25">
        <v>15</v>
      </c>
      <c r="AT70" s="25" t="s">
        <v>529</v>
      </c>
      <c r="AU70" s="17"/>
      <c r="AV70" s="25">
        <v>38</v>
      </c>
      <c r="AW70" s="25" t="s">
        <v>584</v>
      </c>
      <c r="AX70" s="17"/>
      <c r="AY70" s="27">
        <v>39</v>
      </c>
      <c r="AZ70" s="17" t="str">
        <f t="shared" ca="1" si="66"/>
        <v>Armure d'attraction (+2)</v>
      </c>
      <c r="BA70" s="17" t="s">
        <v>592</v>
      </c>
      <c r="BB70" s="17">
        <f t="shared" ca="1" si="67"/>
        <v>10</v>
      </c>
      <c r="BC70" s="17" t="str">
        <f t="shared" ca="1" si="68"/>
        <v xml:space="preserve"> (+2)</v>
      </c>
      <c r="BD70" s="17"/>
      <c r="BE70" s="37"/>
      <c r="BF70" s="17"/>
      <c r="BH70" s="27"/>
      <c r="BI70" s="17"/>
      <c r="BJ70" s="17"/>
      <c r="BK70" s="17"/>
      <c r="BS70" s="24"/>
      <c r="BU70" s="25">
        <v>66</v>
      </c>
      <c r="BV70" s="30" t="s">
        <v>746</v>
      </c>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25" t="s">
        <v>555</v>
      </c>
      <c r="CW70" s="25">
        <f ca="1">RANDBETWEEN(1,40)</f>
        <v>26</v>
      </c>
      <c r="CX70" s="25" t="str">
        <f ca="1">VLOOKUP(CW70,$AV$33:$AW$72,2,FALSE())</f>
        <v>Fers de rapidité</v>
      </c>
      <c r="CY70" s="17"/>
      <c r="CZ70" s="17"/>
      <c r="DA70" s="17"/>
      <c r="DB70" s="17"/>
      <c r="DE70" s="17"/>
      <c r="DF70" s="17"/>
      <c r="DG70" s="17"/>
      <c r="DH70" s="17"/>
      <c r="DI70" s="17"/>
      <c r="DJ70" s="17"/>
    </row>
    <row r="71" spans="1:114">
      <c r="A71" s="9" t="s">
        <v>176</v>
      </c>
      <c r="B71" s="9">
        <f ca="1">RANDBETWEEN(1,45)</f>
        <v>11</v>
      </c>
      <c r="C71" s="50"/>
      <c r="D71" s="44"/>
      <c r="E71" s="44"/>
      <c r="F71" s="44"/>
      <c r="G71" s="44"/>
      <c r="H71" s="44"/>
      <c r="I71" s="44"/>
      <c r="J71" s="44"/>
      <c r="AI71" s="25">
        <v>16</v>
      </c>
      <c r="AJ71" s="25" t="str">
        <f t="shared" ca="1" si="57"/>
        <v>Baguette de Métamorphose (magicien) 61 Charges</v>
      </c>
      <c r="AM71" s="30">
        <v>39</v>
      </c>
      <c r="AN71" s="30" t="s">
        <v>177</v>
      </c>
      <c r="AO71" s="17"/>
      <c r="AP71" s="25">
        <v>16</v>
      </c>
      <c r="AQ71" s="25" t="s">
        <v>472</v>
      </c>
      <c r="AR71" s="17"/>
      <c r="AS71" s="25">
        <v>16</v>
      </c>
      <c r="AT71" s="25" t="s">
        <v>530</v>
      </c>
      <c r="AU71" s="17"/>
      <c r="AV71" s="25">
        <v>39</v>
      </c>
      <c r="AW71" s="25" t="s">
        <v>585</v>
      </c>
      <c r="AX71" s="17"/>
      <c r="AY71" s="27">
        <v>40</v>
      </c>
      <c r="AZ71" s="17" t="str">
        <f t="shared" ca="1" si="66"/>
        <v>Armure d'attraction (+2)</v>
      </c>
      <c r="BA71" s="17" t="s">
        <v>592</v>
      </c>
      <c r="BB71" s="17">
        <f t="shared" ca="1" si="67"/>
        <v>9</v>
      </c>
      <c r="BC71" s="17" t="str">
        <f t="shared" ca="1" si="68"/>
        <v xml:space="preserve"> (+2)</v>
      </c>
      <c r="BD71" s="17"/>
      <c r="BE71" s="37"/>
      <c r="BF71" s="17"/>
      <c r="BH71" s="27">
        <v>1</v>
      </c>
      <c r="BI71" s="17" t="s">
        <v>651</v>
      </c>
      <c r="BJ71" s="17"/>
      <c r="BK71" s="17"/>
      <c r="BS71" s="24"/>
      <c r="BU71" s="25">
        <v>67</v>
      </c>
      <c r="BV71" s="30" t="s">
        <v>746</v>
      </c>
      <c r="CV71" s="25" t="s">
        <v>746</v>
      </c>
      <c r="CW71" s="25">
        <f ca="1">RANDBETWEEN(1,20)</f>
        <v>8</v>
      </c>
      <c r="CX71" s="25" t="str">
        <f ca="1">VLOOKUP(CW71,$AY$11:$AZ$30,2,FALSE())</f>
        <v>Armure de cuir (+1)</v>
      </c>
      <c r="CY71" s="17"/>
      <c r="CZ71" s="17"/>
      <c r="DA71" s="17"/>
      <c r="DB71" s="17"/>
      <c r="DE71" s="17"/>
      <c r="DF71" s="17"/>
      <c r="DG71" s="17"/>
      <c r="DH71" s="17"/>
      <c r="DI71" s="17"/>
      <c r="DJ71" s="17"/>
    </row>
    <row r="72" spans="1:114">
      <c r="A72" s="9" t="s">
        <v>178</v>
      </c>
      <c r="B72" s="9">
        <f ca="1">RANDBETWEEN(1,45)</f>
        <v>38</v>
      </c>
      <c r="C72" s="9">
        <f ca="1">RANDBETWEEN(1,45)</f>
        <v>2</v>
      </c>
      <c r="D72" s="44"/>
      <c r="E72" s="44"/>
      <c r="F72" s="44"/>
      <c r="G72" s="44"/>
      <c r="H72" s="44"/>
      <c r="I72" s="44"/>
      <c r="J72" s="44"/>
      <c r="AI72" s="25">
        <v>17</v>
      </c>
      <c r="AJ72" s="25" t="str">
        <f t="shared" ca="1" si="57"/>
        <v>Baguette de Localisation des pièges et portes secrètes 75 Charges</v>
      </c>
      <c r="AM72" s="30">
        <v>40</v>
      </c>
      <c r="AN72" s="30" t="s">
        <v>448</v>
      </c>
      <c r="AO72" s="17"/>
      <c r="AP72" s="25">
        <v>17</v>
      </c>
      <c r="AQ72" s="25" t="s">
        <v>473</v>
      </c>
      <c r="AR72" s="17"/>
      <c r="AS72" s="25">
        <v>17</v>
      </c>
      <c r="AT72" s="25" t="s">
        <v>531</v>
      </c>
      <c r="AU72" s="17"/>
      <c r="AV72" s="25">
        <v>40</v>
      </c>
      <c r="AW72" s="25" t="s">
        <v>572</v>
      </c>
      <c r="AX72" s="17"/>
      <c r="AY72" s="27">
        <v>41</v>
      </c>
      <c r="AZ72" s="17" t="str">
        <f t="shared" ca="1" si="66"/>
        <v>Armure d'attraction (+1)</v>
      </c>
      <c r="BA72" s="17" t="s">
        <v>592</v>
      </c>
      <c r="BB72" s="17">
        <f t="shared" ca="1" si="67"/>
        <v>4</v>
      </c>
      <c r="BC72" s="17" t="str">
        <f t="shared" ca="1" si="68"/>
        <v xml:space="preserve"> (+1)</v>
      </c>
      <c r="BD72" s="17"/>
      <c r="BE72" s="37"/>
      <c r="BF72" s="17"/>
      <c r="BH72" s="27">
        <v>2</v>
      </c>
      <c r="BI72" s="17" t="s">
        <v>651</v>
      </c>
      <c r="BJ72" s="17"/>
      <c r="BK72" s="17"/>
      <c r="BO72" s="17" t="s">
        <v>179</v>
      </c>
      <c r="BS72" s="24"/>
      <c r="BU72" s="25">
        <v>68</v>
      </c>
      <c r="BV72" s="30" t="s">
        <v>746</v>
      </c>
      <c r="CV72" s="25" t="s">
        <v>746</v>
      </c>
      <c r="CW72" s="25"/>
      <c r="CX72" s="25" t="str">
        <f ca="1">CX71</f>
        <v>Armure de cuir (+1)</v>
      </c>
      <c r="CY72" s="17"/>
      <c r="CZ72" s="17"/>
      <c r="DA72" s="17"/>
      <c r="DB72" s="17"/>
      <c r="DE72" s="17"/>
      <c r="DF72" s="17"/>
      <c r="DG72" s="17"/>
      <c r="DH72" s="17"/>
      <c r="DI72" s="17"/>
      <c r="DJ72" s="17"/>
    </row>
    <row r="73" spans="1:114">
      <c r="A73" s="9" t="s">
        <v>180</v>
      </c>
      <c r="B73" s="9">
        <f ca="1">RANDBETWEEN(1,45)</f>
        <v>3</v>
      </c>
      <c r="C73" s="9">
        <f ca="1">RANDBETWEEN(1,45)</f>
        <v>28</v>
      </c>
      <c r="D73" s="9">
        <f ca="1">RANDBETWEEN(1,45)</f>
        <v>30</v>
      </c>
      <c r="E73" s="44"/>
      <c r="F73" s="44"/>
      <c r="G73" s="44"/>
      <c r="H73" s="44"/>
      <c r="I73" s="44"/>
      <c r="J73" s="44"/>
      <c r="AI73" s="25">
        <v>18</v>
      </c>
      <c r="AJ73" s="25" t="str">
        <f t="shared" ca="1" si="57"/>
        <v>Baguette d'Altération de la taille 69 Charges</v>
      </c>
      <c r="AO73" s="17"/>
      <c r="AP73" s="25">
        <v>18</v>
      </c>
      <c r="AQ73" s="25" t="s">
        <v>474</v>
      </c>
      <c r="AR73" s="17"/>
      <c r="AS73" s="25">
        <v>18</v>
      </c>
      <c r="AT73" s="25" t="s">
        <v>532</v>
      </c>
      <c r="AU73" s="17"/>
      <c r="AV73" s="17"/>
      <c r="AW73" s="17"/>
      <c r="AX73" s="17"/>
      <c r="AY73" s="27">
        <v>42</v>
      </c>
      <c r="AZ73" s="17" t="str">
        <f t="shared" ca="1" si="66"/>
        <v>Armure d'attraction (+1)</v>
      </c>
      <c r="BA73" s="17" t="s">
        <v>592</v>
      </c>
      <c r="BB73" s="17">
        <f t="shared" ca="1" si="67"/>
        <v>7</v>
      </c>
      <c r="BC73" s="17" t="str">
        <f t="shared" ca="1" si="68"/>
        <v xml:space="preserve"> (+1)</v>
      </c>
      <c r="BD73" s="17"/>
      <c r="BE73" s="37"/>
      <c r="BF73" s="17"/>
      <c r="BH73" s="27">
        <v>3</v>
      </c>
      <c r="BI73" s="17" t="s">
        <v>651</v>
      </c>
      <c r="BJ73" s="17"/>
      <c r="BK73" s="17"/>
      <c r="BO73">
        <v>1</v>
      </c>
      <c r="BP73" s="17" t="s">
        <v>33</v>
      </c>
      <c r="BS73" s="24"/>
      <c r="BU73" s="25">
        <v>69</v>
      </c>
      <c r="BV73" s="30" t="s">
        <v>746</v>
      </c>
      <c r="CV73" s="17"/>
      <c r="CW73" s="17"/>
      <c r="CX73" s="17"/>
      <c r="CY73" s="17"/>
      <c r="CZ73" s="17"/>
      <c r="DA73" s="17"/>
      <c r="DB73" s="17"/>
      <c r="DE73" s="17"/>
      <c r="DF73" s="17"/>
      <c r="DG73" s="17"/>
      <c r="DH73" s="17"/>
      <c r="DI73" s="17"/>
      <c r="DJ73" s="17"/>
    </row>
    <row r="74" spans="1:114">
      <c r="A74" s="48" t="s">
        <v>181</v>
      </c>
      <c r="B74" s="48">
        <f ca="1">RANDBETWEEN(1,45)</f>
        <v>33</v>
      </c>
      <c r="C74" s="48">
        <f ca="1">RANDBETWEEN(1,45)</f>
        <v>38</v>
      </c>
      <c r="D74" s="48">
        <f ca="1">RANDBETWEEN(1,45)</f>
        <v>12</v>
      </c>
      <c r="E74" s="48">
        <f ca="1">RANDBETWEEN(1,45)</f>
        <v>6</v>
      </c>
      <c r="F74" s="49"/>
      <c r="G74" s="49"/>
      <c r="H74" s="49"/>
      <c r="I74" s="49"/>
      <c r="J74" s="49"/>
      <c r="AI74" s="25">
        <v>19</v>
      </c>
      <c r="AJ74" s="25" t="str">
        <f t="shared" ca="1" si="57"/>
        <v>Baguette Prodigieuse 13 Charges</v>
      </c>
      <c r="AO74" s="17"/>
      <c r="AP74" s="25">
        <v>19</v>
      </c>
      <c r="AQ74" s="25" t="s">
        <v>474</v>
      </c>
      <c r="AR74" s="17"/>
      <c r="AS74" s="25">
        <v>19</v>
      </c>
      <c r="AT74" s="25" t="s">
        <v>533</v>
      </c>
      <c r="AU74" s="17"/>
      <c r="AV74" s="17"/>
      <c r="AW74" s="17"/>
      <c r="AX74" s="17"/>
      <c r="AY74" s="27">
        <v>43</v>
      </c>
      <c r="AZ74" s="17" t="str">
        <f t="shared" ca="1" si="66"/>
        <v>Armure d'attraction (+1)</v>
      </c>
      <c r="BA74" s="17" t="s">
        <v>592</v>
      </c>
      <c r="BB74" s="17">
        <f t="shared" ca="1" si="67"/>
        <v>6</v>
      </c>
      <c r="BC74" s="17" t="str">
        <f t="shared" ca="1" si="68"/>
        <v xml:space="preserve"> (+1)</v>
      </c>
      <c r="BD74" s="17"/>
      <c r="BE74" s="37"/>
      <c r="BF74" s="17"/>
      <c r="BH74" s="27">
        <v>4</v>
      </c>
      <c r="BI74" s="25" t="str">
        <f ca="1">CONCATENATE(BJ74,BL74)</f>
        <v>Flèche tueuse de Mammifères</v>
      </c>
      <c r="BJ74" s="17" t="s">
        <v>652</v>
      </c>
      <c r="BK74" s="17">
        <f ca="1">RANDBETWEEN(1,20)</f>
        <v>13</v>
      </c>
      <c r="BL74" t="str">
        <f ca="1">VLOOKUP(BK74,$BN$36:$BO$55,2,FALSE())</f>
        <v xml:space="preserve"> de Mammifères</v>
      </c>
      <c r="BO74">
        <v>2</v>
      </c>
      <c r="BP74" s="17" t="s">
        <v>33</v>
      </c>
      <c r="BS74" s="24"/>
      <c r="BU74" s="25">
        <v>70</v>
      </c>
      <c r="BV74" s="30" t="s">
        <v>746</v>
      </c>
      <c r="CV74" s="17"/>
      <c r="CW74" s="17"/>
      <c r="CX74" s="17"/>
      <c r="CY74" s="17"/>
      <c r="CZ74" s="17"/>
      <c r="DA74" s="17"/>
      <c r="DB74" s="17"/>
      <c r="DE74" s="17"/>
      <c r="DF74" s="17"/>
      <c r="DG74" s="17"/>
      <c r="DH74" s="17"/>
      <c r="DI74" s="17"/>
      <c r="DJ74" s="17"/>
    </row>
    <row r="75" spans="1:114">
      <c r="A75" s="9" t="s">
        <v>125</v>
      </c>
      <c r="B75" s="9">
        <f ca="1">RANDBETWEEN(1,100)</f>
        <v>35</v>
      </c>
      <c r="C75" s="50"/>
      <c r="D75" s="44"/>
      <c r="E75" s="44"/>
      <c r="F75" s="44"/>
      <c r="G75" s="44"/>
      <c r="H75" s="44"/>
      <c r="I75" s="44"/>
      <c r="J75" s="44"/>
      <c r="AI75" s="25">
        <v>20</v>
      </c>
      <c r="AJ75" s="25" t="s">
        <v>182</v>
      </c>
      <c r="AK75" s="17"/>
      <c r="AO75" s="17"/>
      <c r="AP75" s="25">
        <v>20</v>
      </c>
      <c r="AQ75" s="25" t="s">
        <v>475</v>
      </c>
      <c r="AR75" s="17"/>
      <c r="AS75" s="25">
        <v>20</v>
      </c>
      <c r="AT75" s="25" t="s">
        <v>534</v>
      </c>
      <c r="AU75" s="17"/>
      <c r="AV75" s="17"/>
      <c r="AW75" s="17"/>
      <c r="AX75" s="17"/>
      <c r="AY75" s="27">
        <v>44</v>
      </c>
      <c r="AZ75" s="17" t="str">
        <f t="shared" ca="1" si="66"/>
        <v>Armure d'attraction (+1)</v>
      </c>
      <c r="BA75" s="17" t="s">
        <v>592</v>
      </c>
      <c r="BB75" s="17">
        <f t="shared" ca="1" si="67"/>
        <v>6</v>
      </c>
      <c r="BC75" s="17" t="str">
        <f t="shared" ca="1" si="68"/>
        <v xml:space="preserve"> (+1)</v>
      </c>
      <c r="BD75" s="17"/>
      <c r="BE75" s="37"/>
      <c r="BF75" s="17"/>
      <c r="BH75" s="27">
        <v>5</v>
      </c>
      <c r="BI75" s="25" t="str">
        <f ca="1">CONCATENATE(BJ75,BL75)</f>
        <v>Flèche tueuse de Dragons</v>
      </c>
      <c r="BJ75" s="17" t="s">
        <v>652</v>
      </c>
      <c r="BK75" s="17">
        <f ca="1">RANDBETWEEN(1,20)</f>
        <v>5</v>
      </c>
      <c r="BL75" t="str">
        <f ca="1">VLOOKUP(BK75,$BN$36:$BO$55,2,FALSE())</f>
        <v xml:space="preserve"> de Dragons</v>
      </c>
      <c r="BO75">
        <v>3</v>
      </c>
      <c r="BP75" s="17" t="s">
        <v>33</v>
      </c>
      <c r="BS75" s="24"/>
      <c r="BU75" s="25">
        <v>71</v>
      </c>
      <c r="BV75" s="30" t="s">
        <v>746</v>
      </c>
      <c r="CV75" s="17"/>
      <c r="CW75" s="17"/>
      <c r="CX75" s="17"/>
      <c r="CY75" s="17"/>
      <c r="CZ75" s="17"/>
      <c r="DA75" s="17"/>
      <c r="DB75" s="17"/>
      <c r="DE75" s="17"/>
      <c r="DF75" s="17"/>
      <c r="DG75" s="17"/>
      <c r="DH75" s="17"/>
      <c r="DI75" s="17"/>
      <c r="DJ75" s="17"/>
    </row>
    <row r="76" spans="1:114">
      <c r="A76" s="9" t="s">
        <v>109</v>
      </c>
      <c r="B76" s="9">
        <f ca="1">RANDBETWEEN(1,100)</f>
        <v>7</v>
      </c>
      <c r="C76" s="9">
        <f ca="1">RANDBETWEEN(1,100)</f>
        <v>42</v>
      </c>
      <c r="D76" s="44"/>
      <c r="E76" s="44"/>
      <c r="F76" s="44"/>
      <c r="G76" s="44"/>
      <c r="H76" s="44"/>
      <c r="I76" s="44"/>
      <c r="J76" s="44"/>
      <c r="AO76" s="17"/>
      <c r="AP76" s="17"/>
      <c r="AQ76" s="17"/>
      <c r="AR76" s="17"/>
      <c r="AS76" s="17"/>
      <c r="AT76" s="17"/>
      <c r="AU76" s="17"/>
      <c r="AV76" s="17"/>
      <c r="AW76" s="17"/>
      <c r="AX76" s="17"/>
      <c r="AY76" s="27">
        <v>45</v>
      </c>
      <c r="AZ76" s="17" t="str">
        <f t="shared" ca="1" si="66"/>
        <v>Armure d'attraction (+1)</v>
      </c>
      <c r="BA76" s="17" t="s">
        <v>592</v>
      </c>
      <c r="BB76" s="17">
        <f t="shared" ca="1" si="67"/>
        <v>5</v>
      </c>
      <c r="BC76" s="17" t="str">
        <f t="shared" ca="1" si="68"/>
        <v xml:space="preserve"> (+1)</v>
      </c>
      <c r="BD76" s="17"/>
      <c r="BE76" s="37"/>
      <c r="BF76" s="17"/>
      <c r="BH76" s="27">
        <v>6</v>
      </c>
      <c r="BI76" s="25" t="str">
        <f ca="1">CONCATENATE(BJ76,BL76)</f>
        <v>Flèche tueuse de Rôdeurs</v>
      </c>
      <c r="BJ76" s="17" t="s">
        <v>652</v>
      </c>
      <c r="BK76" s="17">
        <f ca="1">RANDBETWEEN(1,20)</f>
        <v>15</v>
      </c>
      <c r="BL76" t="str">
        <f ca="1">VLOOKUP(BK76,$BN$36:$BO$55,2,FALSE())</f>
        <v xml:space="preserve"> de Rôdeurs</v>
      </c>
      <c r="BO76">
        <v>4</v>
      </c>
      <c r="BP76" s="17" t="s">
        <v>33</v>
      </c>
      <c r="BS76" s="24"/>
      <c r="BU76" s="25">
        <v>72</v>
      </c>
      <c r="BV76" s="30" t="s">
        <v>746</v>
      </c>
      <c r="CV76" s="17"/>
      <c r="CW76" s="17"/>
      <c r="CX76" s="17"/>
      <c r="CY76" s="17"/>
      <c r="CZ76" s="17"/>
      <c r="DA76" s="17"/>
      <c r="DB76" s="17"/>
      <c r="DE76" s="17"/>
      <c r="DF76" s="17"/>
      <c r="DG76" s="17"/>
      <c r="DH76" s="17"/>
      <c r="DI76" s="17"/>
      <c r="DJ76" s="17"/>
    </row>
    <row r="77" spans="1:114">
      <c r="A77" s="9" t="s">
        <v>103</v>
      </c>
      <c r="B77" s="9">
        <f ca="1">RANDBETWEEN(1,100)</f>
        <v>25</v>
      </c>
      <c r="C77" s="9">
        <f ca="1">RANDBETWEEN(1,100)</f>
        <v>67</v>
      </c>
      <c r="D77" s="9">
        <f ca="1">RANDBETWEEN(1,100)</f>
        <v>7</v>
      </c>
      <c r="E77" s="44"/>
      <c r="F77" s="44"/>
      <c r="G77" s="44"/>
      <c r="H77" s="44"/>
      <c r="I77" s="44"/>
      <c r="J77" s="44"/>
      <c r="AO77" s="17"/>
      <c r="AP77" s="17"/>
      <c r="AQ77" s="17"/>
      <c r="AR77" s="17"/>
      <c r="AS77" s="17"/>
      <c r="AT77" s="17"/>
      <c r="AU77" s="17"/>
      <c r="AV77" s="17"/>
      <c r="AW77" s="17"/>
      <c r="AX77" s="17"/>
      <c r="AY77" s="27">
        <v>46</v>
      </c>
      <c r="AZ77" s="17" t="str">
        <f t="shared" ca="1" si="66"/>
        <v>Armure d'attraction (+2)</v>
      </c>
      <c r="BA77" s="17" t="s">
        <v>592</v>
      </c>
      <c r="BB77" s="17">
        <f t="shared" ca="1" si="67"/>
        <v>10</v>
      </c>
      <c r="BC77" s="17" t="str">
        <f t="shared" ca="1" si="68"/>
        <v xml:space="preserve"> (+2)</v>
      </c>
      <c r="BD77" s="17"/>
      <c r="BE77" s="37"/>
      <c r="BF77" s="17"/>
      <c r="BH77" s="27">
        <v>7</v>
      </c>
      <c r="BI77" s="17" t="s">
        <v>722</v>
      </c>
      <c r="BJ77" s="17"/>
      <c r="BK77" s="17"/>
      <c r="BO77">
        <v>5</v>
      </c>
      <c r="BP77" s="17" t="s">
        <v>33</v>
      </c>
      <c r="BS77" s="24"/>
      <c r="BU77" s="25">
        <v>73</v>
      </c>
      <c r="BV77" s="30" t="s">
        <v>746</v>
      </c>
      <c r="CV77" s="17"/>
      <c r="CW77" s="17"/>
      <c r="CX77" s="17"/>
      <c r="CY77" s="17"/>
      <c r="CZ77" s="17"/>
      <c r="DA77" s="17"/>
      <c r="DB77" s="17"/>
      <c r="DE77" s="17"/>
      <c r="DF77" s="17"/>
      <c r="DG77" s="17"/>
      <c r="DH77" s="17"/>
      <c r="DI77" s="17"/>
      <c r="DJ77" s="17"/>
    </row>
    <row r="78" spans="1:114">
      <c r="A78" s="9" t="s">
        <v>120</v>
      </c>
      <c r="B78" s="9">
        <f ca="1">RANDBETWEEN(1,100)</f>
        <v>8</v>
      </c>
      <c r="C78" s="9">
        <f ca="1">RANDBETWEEN(1,100)</f>
        <v>40</v>
      </c>
      <c r="D78" s="9">
        <f ca="1">RANDBETWEEN(1,100)</f>
        <v>91</v>
      </c>
      <c r="E78" s="9">
        <f ca="1">RANDBETWEEN(1,100)</f>
        <v>17</v>
      </c>
      <c r="F78" s="9">
        <f ca="1">RANDBETWEEN(1,100)</f>
        <v>51</v>
      </c>
      <c r="G78" s="44"/>
      <c r="H78" s="44"/>
      <c r="I78" s="44"/>
      <c r="J78" s="44"/>
      <c r="AK78" s="51"/>
      <c r="AO78" s="17"/>
      <c r="AP78" s="17"/>
      <c r="AQ78" s="17"/>
      <c r="AR78" s="17"/>
      <c r="AS78" s="17"/>
      <c r="AT78" s="17"/>
      <c r="AU78" s="17"/>
      <c r="AV78" s="17"/>
      <c r="AW78" s="17"/>
      <c r="AX78" s="17"/>
      <c r="AY78" s="27">
        <v>47</v>
      </c>
      <c r="AZ78" s="17" t="str">
        <f t="shared" ca="1" si="66"/>
        <v>Armure d'attraction (+1)</v>
      </c>
      <c r="BA78" s="17" t="s">
        <v>592</v>
      </c>
      <c r="BB78" s="17">
        <f t="shared" ca="1" si="67"/>
        <v>1</v>
      </c>
      <c r="BC78" s="17" t="str">
        <f t="shared" ca="1" si="68"/>
        <v xml:space="preserve"> (+1)</v>
      </c>
      <c r="BD78" s="17"/>
      <c r="BE78" s="37"/>
      <c r="BF78" s="17"/>
      <c r="BH78" s="27">
        <v>8</v>
      </c>
      <c r="BI78" s="17" t="s">
        <v>722</v>
      </c>
      <c r="BJ78" s="17"/>
      <c r="BK78" s="17"/>
      <c r="BO78">
        <v>6</v>
      </c>
      <c r="BP78" s="17" t="s">
        <v>33</v>
      </c>
      <c r="BS78" s="24"/>
      <c r="BU78" s="25">
        <v>74</v>
      </c>
      <c r="BV78" s="30" t="s">
        <v>746</v>
      </c>
      <c r="CV78" s="17"/>
      <c r="CW78" s="17"/>
      <c r="CX78" s="17"/>
      <c r="CY78" s="17"/>
      <c r="CZ78" s="17"/>
      <c r="DA78" s="17"/>
      <c r="DB78" s="17"/>
      <c r="DE78" s="17"/>
      <c r="DF78" s="17"/>
      <c r="DG78" s="17"/>
      <c r="DH78" s="17"/>
      <c r="DI78" s="17"/>
      <c r="DJ78" s="17"/>
    </row>
    <row r="79" spans="1:114">
      <c r="A79" s="9" t="s">
        <v>123</v>
      </c>
      <c r="B79" s="9">
        <f ca="1">RANDBETWEEN(1,100)</f>
        <v>88</v>
      </c>
      <c r="C79" s="9">
        <f ca="1">RANDBETWEEN(1,100)</f>
        <v>64</v>
      </c>
      <c r="D79" s="9">
        <f ca="1">RANDBETWEEN(1,100)</f>
        <v>19</v>
      </c>
      <c r="E79" s="9">
        <f ca="1">RANDBETWEEN(1,100)</f>
        <v>19</v>
      </c>
      <c r="F79" s="9">
        <f ca="1">RANDBETWEEN(1,100)</f>
        <v>73</v>
      </c>
      <c r="G79" s="9">
        <f ca="1">RANDBETWEEN(1,100)</f>
        <v>6</v>
      </c>
      <c r="H79" s="44"/>
      <c r="I79" s="44"/>
      <c r="J79" s="44"/>
      <c r="AK79" s="93" t="s">
        <v>183</v>
      </c>
      <c r="AL79" s="93"/>
      <c r="AM79" s="93"/>
      <c r="AN79" s="93"/>
      <c r="AO79" s="17"/>
      <c r="AP79" s="17"/>
      <c r="AQ79" s="17"/>
      <c r="AR79" s="17"/>
      <c r="AS79" s="17"/>
      <c r="AT79" s="17"/>
      <c r="AU79" s="17"/>
      <c r="AV79" s="17"/>
      <c r="AW79" s="17"/>
      <c r="AX79" s="17"/>
      <c r="AY79" s="27">
        <v>48</v>
      </c>
      <c r="AZ79" s="17" t="str">
        <f t="shared" ca="1" si="66"/>
        <v>Armure d'attraction (+4)</v>
      </c>
      <c r="BA79" s="17" t="s">
        <v>592</v>
      </c>
      <c r="BB79" s="17">
        <f t="shared" ca="1" si="67"/>
        <v>17</v>
      </c>
      <c r="BC79" s="17" t="str">
        <f t="shared" ca="1" si="68"/>
        <v xml:space="preserve"> (+4)</v>
      </c>
      <c r="BD79" s="17"/>
      <c r="BE79" s="37"/>
      <c r="BF79" s="17"/>
      <c r="BH79" s="27">
        <v>9</v>
      </c>
      <c r="BI79" s="17" t="s">
        <v>722</v>
      </c>
      <c r="BJ79" s="17"/>
      <c r="BK79" s="17"/>
      <c r="BO79">
        <v>7</v>
      </c>
      <c r="BP79" s="17" t="s">
        <v>33</v>
      </c>
      <c r="BS79" s="24"/>
      <c r="BU79" s="25">
        <v>75</v>
      </c>
      <c r="BV79" s="30" t="s">
        <v>746</v>
      </c>
      <c r="BX79" s="17"/>
      <c r="CV79" s="17"/>
      <c r="CW79" s="17"/>
      <c r="CX79" s="17"/>
      <c r="CY79" s="17"/>
      <c r="CZ79" s="17"/>
      <c r="DA79" s="17"/>
      <c r="DB79" s="17"/>
      <c r="DE79" s="17"/>
      <c r="DF79" s="17"/>
      <c r="DG79" s="17"/>
      <c r="DH79" s="17"/>
      <c r="DI79" s="17"/>
      <c r="DJ79" s="17"/>
    </row>
    <row r="80" spans="1:114">
      <c r="A80" s="32"/>
      <c r="AJ80" s="25" t="s">
        <v>806</v>
      </c>
      <c r="AK80">
        <f t="shared" ref="AK80:AK99" ca="1" si="70">RANDBETWEEN(10,100)</f>
        <v>50</v>
      </c>
      <c r="AL80" t="str">
        <f t="shared" ref="AL80:AL99" ca="1" si="71">VLOOKUP(AK80,$AM$80:$AN$170,2,FALSE())</f>
        <v xml:space="preserve"> 50 Charges</v>
      </c>
      <c r="AM80" s="17">
        <v>10</v>
      </c>
      <c r="AN80" s="17" t="s">
        <v>184</v>
      </c>
      <c r="AO80" s="17"/>
      <c r="AP80" s="17"/>
      <c r="AQ80" s="17"/>
      <c r="AR80" s="17"/>
      <c r="AS80" s="17"/>
      <c r="AT80" s="17"/>
      <c r="AU80" s="17"/>
      <c r="AV80" s="17"/>
      <c r="AW80" s="17"/>
      <c r="AX80" s="17"/>
      <c r="AY80" s="27">
        <v>49</v>
      </c>
      <c r="AZ80" s="17" t="str">
        <f t="shared" ca="1" si="66"/>
        <v>Armure d'attraction (+2)</v>
      </c>
      <c r="BA80" s="17" t="s">
        <v>592</v>
      </c>
      <c r="BB80" s="17">
        <f t="shared" ca="1" si="67"/>
        <v>11</v>
      </c>
      <c r="BC80" s="17" t="str">
        <f t="shared" ca="1" si="68"/>
        <v xml:space="preserve"> (+2)</v>
      </c>
      <c r="BD80" s="17"/>
      <c r="BE80" s="37"/>
      <c r="BF80" s="17"/>
      <c r="BH80" s="27">
        <v>10</v>
      </c>
      <c r="BI80" s="25" t="s">
        <v>672</v>
      </c>
      <c r="BJ80" s="17" t="s">
        <v>185</v>
      </c>
      <c r="BK80" s="17" t="str">
        <f ca="1">VLOOKUP(BL80,$BM$11:$BN$30,2,FALSE())</f>
        <v xml:space="preserve"> (+2)</v>
      </c>
      <c r="BL80">
        <f ca="1">RANDBETWEEN(1,20)</f>
        <v>11</v>
      </c>
      <c r="BO80">
        <v>8</v>
      </c>
      <c r="BP80" s="17" t="s">
        <v>33</v>
      </c>
      <c r="BS80" s="24"/>
      <c r="BU80" s="25">
        <v>76</v>
      </c>
      <c r="BV80" s="30" t="s">
        <v>644</v>
      </c>
      <c r="BX80" s="17"/>
      <c r="CV80" s="17"/>
      <c r="CW80" s="17"/>
      <c r="CX80" s="17"/>
      <c r="CY80" s="17"/>
      <c r="CZ80" s="17"/>
      <c r="DA80" s="17"/>
      <c r="DB80" s="17"/>
      <c r="DE80" s="17"/>
      <c r="DF80" s="17"/>
      <c r="DG80" s="17"/>
      <c r="DH80" s="17"/>
      <c r="DI80" s="17"/>
      <c r="DJ80" s="17"/>
    </row>
    <row r="81" spans="1:114">
      <c r="A81" s="9" t="s">
        <v>3</v>
      </c>
      <c r="B81" s="10" t="str">
        <f t="shared" ref="B81:B88" ca="1" si="72">VLOOKUP(B63,$Y$10:$Z$69,2,FALSE())</f>
        <v>Poison</v>
      </c>
      <c r="C81" s="44">
        <v>0</v>
      </c>
      <c r="D81" s="44">
        <v>0</v>
      </c>
      <c r="E81" s="44">
        <v>0</v>
      </c>
      <c r="F81" s="44">
        <v>0</v>
      </c>
      <c r="G81" s="44">
        <v>0</v>
      </c>
      <c r="H81" s="44">
        <v>0</v>
      </c>
      <c r="I81" s="44">
        <v>0</v>
      </c>
      <c r="J81" s="44">
        <v>0</v>
      </c>
      <c r="AJ81" s="25" t="s">
        <v>807</v>
      </c>
      <c r="AK81">
        <f t="shared" ca="1" si="70"/>
        <v>63</v>
      </c>
      <c r="AL81" t="str">
        <f t="shared" ca="1" si="71"/>
        <v xml:space="preserve"> 63 Charges</v>
      </c>
      <c r="AM81" s="17">
        <v>11</v>
      </c>
      <c r="AN81" s="17" t="s">
        <v>186</v>
      </c>
      <c r="AY81" s="27">
        <v>50</v>
      </c>
      <c r="AZ81" s="17" t="str">
        <f t="shared" ca="1" si="66"/>
        <v>Armure d'attraction (+1)</v>
      </c>
      <c r="BA81" s="17" t="s">
        <v>592</v>
      </c>
      <c r="BB81" s="17">
        <f t="shared" ca="1" si="67"/>
        <v>4</v>
      </c>
      <c r="BC81" s="17" t="str">
        <f t="shared" ca="1" si="68"/>
        <v xml:space="preserve"> (+1)</v>
      </c>
      <c r="BD81" s="17"/>
      <c r="BE81" s="37"/>
      <c r="BF81" s="17"/>
      <c r="BH81" s="27">
        <v>11</v>
      </c>
      <c r="BI81" s="25" t="s">
        <v>672</v>
      </c>
      <c r="BJ81" s="17" t="s">
        <v>185</v>
      </c>
      <c r="BK81" s="17" t="str">
        <f ca="1">VLOOKUP(BL81,$BM$11:$BN$30,2,FALSE())</f>
        <v xml:space="preserve"> (+2)</v>
      </c>
      <c r="BL81">
        <f ca="1">RANDBETWEEN(1,20)</f>
        <v>11</v>
      </c>
      <c r="BO81">
        <v>9</v>
      </c>
      <c r="BP81" s="17" t="s">
        <v>33</v>
      </c>
      <c r="BS81" s="24"/>
      <c r="BU81" s="25">
        <v>77</v>
      </c>
      <c r="BV81" s="30" t="s">
        <v>644</v>
      </c>
      <c r="CV81" s="17"/>
      <c r="CW81" s="17"/>
      <c r="CX81" s="17"/>
      <c r="CY81" s="17"/>
      <c r="CZ81" s="17"/>
      <c r="DA81" s="17"/>
      <c r="DB81" s="17"/>
      <c r="DE81" s="17"/>
      <c r="DF81" s="17"/>
      <c r="DG81" s="17"/>
      <c r="DH81" s="17"/>
      <c r="DI81" s="17"/>
      <c r="DJ81" s="17"/>
    </row>
    <row r="82" spans="1:114">
      <c r="A82" s="9" t="s">
        <v>147</v>
      </c>
      <c r="B82" s="10" t="str">
        <f t="shared" ca="1" si="72"/>
        <v>Huile d'éternité</v>
      </c>
      <c r="C82" s="10" t="str">
        <f t="shared" ref="C82:C88" ca="1" si="73">VLOOKUP(C64,$Y$10:$Z$69,2,FALSE())</f>
        <v>Potion de Métamorphose</v>
      </c>
      <c r="D82" s="44">
        <v>0</v>
      </c>
      <c r="E82" s="44">
        <v>0</v>
      </c>
      <c r="F82" s="44">
        <v>0</v>
      </c>
      <c r="G82" s="44">
        <v>0</v>
      </c>
      <c r="H82" s="44">
        <v>0</v>
      </c>
      <c r="I82" s="44">
        <v>0</v>
      </c>
      <c r="J82" s="44">
        <v>0</v>
      </c>
      <c r="AJ82" s="25" t="s">
        <v>808</v>
      </c>
      <c r="AK82">
        <f t="shared" ca="1" si="70"/>
        <v>17</v>
      </c>
      <c r="AL82" t="str">
        <f t="shared" ca="1" si="71"/>
        <v xml:space="preserve"> 17 Charges</v>
      </c>
      <c r="AM82" s="17">
        <v>12</v>
      </c>
      <c r="AN82" s="17" t="s">
        <v>187</v>
      </c>
      <c r="AY82" s="27">
        <v>51</v>
      </c>
      <c r="AZ82" s="17" t="str">
        <f t="shared" ca="1" si="66"/>
        <v>Armure d'attraction (+2)</v>
      </c>
      <c r="BA82" s="17" t="s">
        <v>592</v>
      </c>
      <c r="BB82" s="17">
        <f t="shared" ca="1" si="67"/>
        <v>12</v>
      </c>
      <c r="BC82" s="17" t="str">
        <f t="shared" ca="1" si="68"/>
        <v xml:space="preserve"> (+2)</v>
      </c>
      <c r="BD82" s="17"/>
      <c r="BE82" s="37"/>
      <c r="BF82" s="17"/>
      <c r="BH82" s="27">
        <v>12</v>
      </c>
      <c r="BI82" s="25" t="s">
        <v>672</v>
      </c>
      <c r="BJ82" s="17" t="s">
        <v>185</v>
      </c>
      <c r="BK82" s="17" t="str">
        <f ca="1">VLOOKUP(BL82,$BM$11:$BN$30,2,FALSE())</f>
        <v xml:space="preserve"> (+3)</v>
      </c>
      <c r="BL82">
        <f ca="1">RANDBETWEEN(1,20)</f>
        <v>16</v>
      </c>
      <c r="BO82">
        <v>10</v>
      </c>
      <c r="BP82" s="17" t="s">
        <v>33</v>
      </c>
      <c r="BS82" s="24"/>
      <c r="BU82" s="25">
        <v>78</v>
      </c>
      <c r="BV82" s="30" t="s">
        <v>644</v>
      </c>
      <c r="CV82" s="17"/>
      <c r="CW82" s="17"/>
      <c r="CX82" s="17"/>
      <c r="CY82" s="17"/>
      <c r="CZ82" s="17"/>
      <c r="DA82" s="17"/>
      <c r="DB82" s="17"/>
      <c r="DE82" s="17"/>
      <c r="DF82" s="17"/>
      <c r="DG82" s="17"/>
      <c r="DH82" s="17"/>
      <c r="DI82" s="17"/>
      <c r="DJ82" s="17"/>
    </row>
    <row r="83" spans="1:114">
      <c r="A83" s="9" t="s">
        <v>160</v>
      </c>
      <c r="B83" s="10" t="str">
        <f t="shared" ca="1" si="72"/>
        <v>Potion de Respiration aquatique</v>
      </c>
      <c r="C83" s="10" t="str">
        <f t="shared" ca="1" si="73"/>
        <v>Potion d'ESP</v>
      </c>
      <c r="D83" s="10" t="str">
        <f t="shared" ref="D83:D88" ca="1" si="74">VLOOKUP(D65,$Y$10:$Z$69,2,FALSE())</f>
        <v>Potion au choix du MD</v>
      </c>
      <c r="E83" s="44">
        <v>0</v>
      </c>
      <c r="F83" s="44">
        <v>0</v>
      </c>
      <c r="G83" s="44">
        <v>0</v>
      </c>
      <c r="H83" s="44">
        <v>0</v>
      </c>
      <c r="I83" s="44">
        <v>0</v>
      </c>
      <c r="J83" s="44">
        <v>0</v>
      </c>
      <c r="AJ83" s="25" t="s">
        <v>809</v>
      </c>
      <c r="AK83">
        <f t="shared" ca="1" si="70"/>
        <v>68</v>
      </c>
      <c r="AL83" t="str">
        <f t="shared" ca="1" si="71"/>
        <v xml:space="preserve"> 68 Charges</v>
      </c>
      <c r="AM83" s="17">
        <v>13</v>
      </c>
      <c r="AN83" s="17" t="s">
        <v>188</v>
      </c>
      <c r="AY83" s="27">
        <v>52</v>
      </c>
      <c r="AZ83" s="17" t="str">
        <f t="shared" ca="1" si="66"/>
        <v>Armure d'attraction (+3)</v>
      </c>
      <c r="BA83" s="17" t="s">
        <v>592</v>
      </c>
      <c r="BB83" s="17">
        <f t="shared" ca="1" si="67"/>
        <v>14</v>
      </c>
      <c r="BC83" s="17" t="str">
        <f t="shared" ca="1" si="68"/>
        <v xml:space="preserve"> (+3)</v>
      </c>
      <c r="BD83" s="17"/>
      <c r="BE83" s="37"/>
      <c r="BF83" s="17"/>
      <c r="BH83" s="27">
        <v>13</v>
      </c>
      <c r="BI83" s="17" t="s">
        <v>673</v>
      </c>
      <c r="BJ83" s="17"/>
      <c r="BK83" s="17"/>
      <c r="BO83">
        <v>11</v>
      </c>
      <c r="BP83" s="17" t="s">
        <v>33</v>
      </c>
      <c r="BS83" s="24"/>
      <c r="BU83" s="25">
        <v>79</v>
      </c>
      <c r="BV83" s="30" t="s">
        <v>644</v>
      </c>
      <c r="CV83" s="17"/>
      <c r="CW83" s="17"/>
      <c r="CX83" s="17"/>
      <c r="CY83" s="17"/>
      <c r="CZ83" s="17"/>
      <c r="DA83" s="17"/>
      <c r="DB83" s="17"/>
      <c r="DE83" s="17"/>
      <c r="DF83" s="17"/>
      <c r="DG83" s="17"/>
      <c r="DH83" s="17"/>
      <c r="DI83" s="17"/>
      <c r="DJ83" s="17"/>
    </row>
    <row r="84" spans="1:114">
      <c r="A84" s="9" t="s">
        <v>162</v>
      </c>
      <c r="B84" s="10" t="str">
        <f t="shared" ca="1" si="72"/>
        <v>Potion de Folie</v>
      </c>
      <c r="C84" s="10" t="str">
        <f t="shared" ca="1" si="73"/>
        <v>Potion de Rapidité</v>
      </c>
      <c r="D84" s="10" t="str">
        <f t="shared" ca="1" si="74"/>
        <v>Potion de Clairvoyance</v>
      </c>
      <c r="E84" s="10" t="str">
        <f ca="1">VLOOKUP(E66,$Y$10:$Z$69,2,FALSE())</f>
        <v>Potion de Grands soins</v>
      </c>
      <c r="F84" s="44">
        <v>0</v>
      </c>
      <c r="G84" s="44">
        <v>0</v>
      </c>
      <c r="H84" s="44">
        <v>0</v>
      </c>
      <c r="I84" s="44">
        <v>0</v>
      </c>
      <c r="J84" s="44">
        <v>0</v>
      </c>
      <c r="AJ84" s="25" t="s">
        <v>810</v>
      </c>
      <c r="AK84">
        <f t="shared" ca="1" si="70"/>
        <v>93</v>
      </c>
      <c r="AL84" t="str">
        <f t="shared" ca="1" si="71"/>
        <v xml:space="preserve"> 93 Charges</v>
      </c>
      <c r="AM84" s="17">
        <v>14</v>
      </c>
      <c r="AN84" s="17" t="s">
        <v>189</v>
      </c>
      <c r="AY84" s="27">
        <v>53</v>
      </c>
      <c r="AZ84" s="17" t="str">
        <f t="shared" ca="1" si="66"/>
        <v>Armure d'attraction (+1)</v>
      </c>
      <c r="BA84" s="17" t="s">
        <v>592</v>
      </c>
      <c r="BB84" s="17">
        <f t="shared" ca="1" si="67"/>
        <v>3</v>
      </c>
      <c r="BC84" s="17" t="str">
        <f t="shared" ca="1" si="68"/>
        <v xml:space="preserve"> (+1)</v>
      </c>
      <c r="BD84" s="17"/>
      <c r="BE84" s="37"/>
      <c r="BF84" s="17"/>
      <c r="BH84" s="27">
        <v>14</v>
      </c>
      <c r="BI84" s="17" t="s">
        <v>673</v>
      </c>
      <c r="BJ84" s="17"/>
      <c r="BK84" s="17"/>
      <c r="BO84">
        <v>12</v>
      </c>
      <c r="BP84" s="17" t="s">
        <v>33</v>
      </c>
      <c r="BS84" s="24"/>
      <c r="BU84" s="25">
        <v>80</v>
      </c>
      <c r="BV84" s="30" t="s">
        <v>644</v>
      </c>
      <c r="CV84" s="17"/>
      <c r="CW84" s="17"/>
      <c r="CX84" s="17"/>
      <c r="CY84" s="17"/>
      <c r="CZ84" s="17"/>
      <c r="DA84" s="17"/>
      <c r="DB84" s="17"/>
      <c r="DE84" s="17"/>
      <c r="DF84" s="17"/>
      <c r="DG84" s="17"/>
      <c r="DH84" s="17"/>
      <c r="DI84" s="17"/>
      <c r="DJ84" s="17"/>
    </row>
    <row r="85" spans="1:114">
      <c r="A85" s="9" t="s">
        <v>166</v>
      </c>
      <c r="B85" s="10" t="str">
        <f t="shared" ca="1" si="72"/>
        <v>Eau pure</v>
      </c>
      <c r="C85" s="10" t="str">
        <f t="shared" ca="1" si="73"/>
        <v>Poison</v>
      </c>
      <c r="D85" s="10" t="str">
        <f t="shared" ca="1" si="74"/>
        <v>Huile antiacide</v>
      </c>
      <c r="E85" s="10" t="str">
        <f ca="1">VLOOKUP(E67,$Y$10:$Z$69,2,FALSE())</f>
        <v>Potion de Folie</v>
      </c>
      <c r="F85" s="10" t="str">
        <f ca="1">VLOOKUP(F67,$Y$10:$Z$69,2,FALSE())</f>
        <v>Potion de Contrôle des plantes</v>
      </c>
      <c r="G85" s="44">
        <v>0</v>
      </c>
      <c r="H85" s="44">
        <v>0</v>
      </c>
      <c r="I85" s="44">
        <v>0</v>
      </c>
      <c r="J85" s="44">
        <v>0</v>
      </c>
      <c r="AJ85" s="25" t="s">
        <v>190</v>
      </c>
      <c r="AK85">
        <f t="shared" ca="1" si="70"/>
        <v>74</v>
      </c>
      <c r="AL85" t="str">
        <f t="shared" ca="1" si="71"/>
        <v xml:space="preserve"> 74 Charges</v>
      </c>
      <c r="AM85" s="17">
        <v>15</v>
      </c>
      <c r="AN85" s="17" t="s">
        <v>191</v>
      </c>
      <c r="AY85" s="27">
        <v>54</v>
      </c>
      <c r="AZ85" s="17" t="str">
        <f t="shared" ca="1" si="66"/>
        <v>Armure d'attraction (+1)</v>
      </c>
      <c r="BA85" s="17" t="s">
        <v>592</v>
      </c>
      <c r="BB85" s="17">
        <f t="shared" ca="1" si="67"/>
        <v>4</v>
      </c>
      <c r="BC85" s="17" t="str">
        <f t="shared" ca="1" si="68"/>
        <v xml:space="preserve"> (+1)</v>
      </c>
      <c r="BD85" s="17"/>
      <c r="BE85" s="37"/>
      <c r="BF85" s="17"/>
      <c r="BH85" s="27">
        <v>15</v>
      </c>
      <c r="BI85" s="17" t="s">
        <v>673</v>
      </c>
      <c r="BJ85" s="17"/>
      <c r="BK85" s="17"/>
      <c r="BO85">
        <v>13</v>
      </c>
      <c r="BP85" s="17" t="s">
        <v>33</v>
      </c>
      <c r="BS85" s="24"/>
      <c r="BU85" s="25">
        <v>81</v>
      </c>
      <c r="BV85" s="30" t="s">
        <v>644</v>
      </c>
      <c r="CV85" s="17"/>
      <c r="CW85" s="17"/>
      <c r="CX85" s="17"/>
      <c r="CY85" s="17"/>
      <c r="CZ85" s="17"/>
      <c r="DA85" s="17"/>
      <c r="DB85" s="17"/>
      <c r="DE85" s="17"/>
      <c r="DF85" s="17"/>
      <c r="DG85" s="17"/>
      <c r="DH85" s="17"/>
      <c r="DI85" s="17"/>
      <c r="DJ85" s="17"/>
    </row>
    <row r="86" spans="1:114">
      <c r="A86" s="9" t="s">
        <v>170</v>
      </c>
      <c r="B86" s="10" t="str">
        <f t="shared" ca="1" si="72"/>
        <v>Élixir de folie</v>
      </c>
      <c r="C86" s="10" t="str">
        <f t="shared" ca="1" si="73"/>
        <v>Potion de Longévité</v>
      </c>
      <c r="D86" s="10" t="str">
        <f t="shared" ca="1" si="74"/>
        <v>Huile d'impact</v>
      </c>
      <c r="E86" s="10" t="str">
        <f ca="1">VLOOKUP(E68,$Y$10:$Z$69,2,FALSE())</f>
        <v>Potion de Super-héroïsme (combattant)</v>
      </c>
      <c r="F86" s="10" t="str">
        <f ca="1">VLOOKUP(F68,$Y$10:$Z$69,2,FALSE())</f>
        <v>Huile éthérée</v>
      </c>
      <c r="G86" s="10" t="str">
        <f ca="1">VLOOKUP(G68,$Y$10:$Z$69,2,FALSE())</f>
        <v>Poison</v>
      </c>
      <c r="H86" s="44">
        <v>0</v>
      </c>
      <c r="I86" s="44">
        <v>0</v>
      </c>
      <c r="J86" s="44">
        <v>0</v>
      </c>
      <c r="AJ86" s="25" t="s">
        <v>811</v>
      </c>
      <c r="AK86">
        <f t="shared" ca="1" si="70"/>
        <v>10</v>
      </c>
      <c r="AL86" t="str">
        <f t="shared" ca="1" si="71"/>
        <v xml:space="preserve"> 10 Charges</v>
      </c>
      <c r="AM86" s="17">
        <v>16</v>
      </c>
      <c r="AN86" s="17" t="s">
        <v>192</v>
      </c>
      <c r="AY86" s="27">
        <v>55</v>
      </c>
      <c r="AZ86" s="17" t="str">
        <f t="shared" ca="1" si="66"/>
        <v>Armure d'attraction (+3)</v>
      </c>
      <c r="BA86" s="17" t="s">
        <v>592</v>
      </c>
      <c r="BB86" s="17">
        <f t="shared" ca="1" si="67"/>
        <v>13</v>
      </c>
      <c r="BC86" s="17" t="str">
        <f t="shared" ca="1" si="68"/>
        <v xml:space="preserve"> (+3)</v>
      </c>
      <c r="BD86" s="17"/>
      <c r="BE86" s="37"/>
      <c r="BF86" s="17"/>
      <c r="BH86" s="27">
        <v>16</v>
      </c>
      <c r="BI86" s="17" t="s">
        <v>673</v>
      </c>
      <c r="BJ86" s="17"/>
      <c r="BK86" s="17"/>
      <c r="BO86">
        <v>14</v>
      </c>
      <c r="BP86" s="17" t="s">
        <v>33</v>
      </c>
      <c r="BS86" s="24"/>
      <c r="BT86" s="17"/>
      <c r="BU86" s="25">
        <v>82</v>
      </c>
      <c r="BV86" s="30" t="s">
        <v>644</v>
      </c>
      <c r="CV86" s="17"/>
      <c r="CW86" s="17"/>
      <c r="CX86" s="17"/>
      <c r="CY86" s="17"/>
      <c r="CZ86" s="17"/>
      <c r="DA86" s="17"/>
      <c r="DB86" s="17"/>
      <c r="DE86" s="17"/>
      <c r="DF86" s="17"/>
      <c r="DG86" s="17"/>
      <c r="DH86" s="17"/>
      <c r="DI86" s="17"/>
      <c r="DJ86" s="17"/>
    </row>
    <row r="87" spans="1:114">
      <c r="A87" s="9" t="s">
        <v>172</v>
      </c>
      <c r="B87" s="10" t="str">
        <f t="shared" ca="1" si="72"/>
        <v>Huile de désenchantement</v>
      </c>
      <c r="C87" s="10" t="str">
        <f t="shared" ca="1" si="73"/>
        <v>Potion de Forme gazeuse</v>
      </c>
      <c r="D87" s="10" t="str">
        <f t="shared" ca="1" si="74"/>
        <v>Potion de Clairaudience</v>
      </c>
      <c r="E87" s="10" t="str">
        <f ca="1">VLOOKUP(E69,$Y$10:$Z$69,2,FALSE())</f>
        <v>Huile de feux ardents</v>
      </c>
      <c r="F87" s="10" t="str">
        <f ca="1">VLOOKUP(F69,$Y$10:$Z$69,2,FALSE())</f>
        <v>Poison</v>
      </c>
      <c r="G87" s="10" t="str">
        <f ca="1">VLOOKUP(G69,$Y$10:$Z$69,2,FALSE())</f>
        <v>Huile éthérée</v>
      </c>
      <c r="H87" s="10" t="str">
        <f ca="1">VLOOKUP(H69,$Y$10:$Z$69,2,FALSE())</f>
        <v>Potion de Folie</v>
      </c>
      <c r="I87" s="44">
        <v>0</v>
      </c>
      <c r="J87" s="44">
        <v>0</v>
      </c>
      <c r="AJ87" s="25" t="s">
        <v>812</v>
      </c>
      <c r="AK87">
        <f t="shared" ca="1" si="70"/>
        <v>51</v>
      </c>
      <c r="AL87" t="str">
        <f t="shared" ca="1" si="71"/>
        <v xml:space="preserve"> 51 Charges</v>
      </c>
      <c r="AM87" s="17">
        <v>17</v>
      </c>
      <c r="AN87" s="17" t="s">
        <v>193</v>
      </c>
      <c r="AY87" s="27">
        <v>56</v>
      </c>
      <c r="AZ87" s="17" t="str">
        <f t="shared" ca="1" si="66"/>
        <v>Armure d'attraction (+2)</v>
      </c>
      <c r="BA87" s="17" t="s">
        <v>592</v>
      </c>
      <c r="BB87" s="17">
        <f t="shared" ca="1" si="67"/>
        <v>10</v>
      </c>
      <c r="BC87" s="17" t="str">
        <f t="shared" ca="1" si="68"/>
        <v xml:space="preserve"> (+2)</v>
      </c>
      <c r="BD87" s="17"/>
      <c r="BE87" s="37"/>
      <c r="BF87" s="17"/>
      <c r="BH87" s="27">
        <v>17</v>
      </c>
      <c r="BI87" s="17" t="s">
        <v>673</v>
      </c>
      <c r="BJ87" s="17"/>
      <c r="BK87" s="17"/>
      <c r="BO87">
        <v>15</v>
      </c>
      <c r="BP87" s="17" t="s">
        <v>33</v>
      </c>
      <c r="BS87" s="24"/>
      <c r="BT87" s="17"/>
      <c r="BU87" s="25">
        <v>83</v>
      </c>
      <c r="BV87" s="30" t="s">
        <v>644</v>
      </c>
      <c r="CV87" s="17"/>
      <c r="CW87" s="17"/>
      <c r="CX87" s="17"/>
      <c r="CY87" s="17"/>
      <c r="CZ87" s="17"/>
      <c r="DA87" s="17"/>
      <c r="DB87" s="17"/>
      <c r="DE87" s="17"/>
      <c r="DF87" s="17"/>
      <c r="DG87" s="17"/>
      <c r="DH87" s="17"/>
      <c r="DI87" s="17"/>
      <c r="DJ87" s="17"/>
    </row>
    <row r="88" spans="1:114">
      <c r="A88" s="48" t="s">
        <v>174</v>
      </c>
      <c r="B88" s="52" t="str">
        <f t="shared" ca="1" si="72"/>
        <v>Huile éthérée</v>
      </c>
      <c r="C88" s="52" t="str">
        <f t="shared" ca="1" si="73"/>
        <v>Potion de Super-héroïsme (combattant)</v>
      </c>
      <c r="D88" s="52" t="str">
        <f t="shared" ca="1" si="74"/>
        <v>Huile d'impact</v>
      </c>
      <c r="E88" s="52" t="str">
        <f ca="1">VLOOKUP(E70,$Y$10:$Z$69,2,FALSE())</f>
        <v>Potion d'Invisibilité</v>
      </c>
      <c r="F88" s="52" t="str">
        <f ca="1">VLOOKUP(F70,$Y$10:$Z$69,2,FALSE())</f>
        <v>Huile d'éternité</v>
      </c>
      <c r="G88" s="52" t="str">
        <f ca="1">VLOOKUP(G70,$Y$10:$Z$69,2,FALSE())</f>
        <v>Élixir de folie</v>
      </c>
      <c r="H88" s="52" t="str">
        <f ca="1">VLOOKUP(H70,$Y$10:$Z$69,2,FALSE())</f>
        <v>Potion de Contrôle des géants</v>
      </c>
      <c r="I88" s="52" t="str">
        <f ca="1">VLOOKUP(I70,$Y$10:$Z$69,2,FALSE())</f>
        <v>Potion de Clairvoyance</v>
      </c>
      <c r="J88" s="49">
        <v>0</v>
      </c>
      <c r="AJ88" s="25" t="s">
        <v>813</v>
      </c>
      <c r="AK88">
        <f t="shared" ca="1" si="70"/>
        <v>33</v>
      </c>
      <c r="AL88" t="str">
        <f t="shared" ca="1" si="71"/>
        <v xml:space="preserve"> 33 Charges</v>
      </c>
      <c r="AM88" s="17">
        <v>18</v>
      </c>
      <c r="AN88" s="17" t="s">
        <v>194</v>
      </c>
      <c r="AY88" s="27">
        <v>57</v>
      </c>
      <c r="AZ88" s="17" t="str">
        <f t="shared" ca="1" si="66"/>
        <v>Armure d'attraction (+5)</v>
      </c>
      <c r="BA88" s="17" t="s">
        <v>592</v>
      </c>
      <c r="BB88" s="17">
        <f t="shared" ca="1" si="67"/>
        <v>18</v>
      </c>
      <c r="BC88" s="17" t="str">
        <f t="shared" ca="1" si="68"/>
        <v xml:space="preserve"> (+5)</v>
      </c>
      <c r="BD88" s="17"/>
      <c r="BE88" s="37"/>
      <c r="BF88" s="17"/>
      <c r="BH88" s="27">
        <v>18</v>
      </c>
      <c r="BI88" s="17" t="s">
        <v>673</v>
      </c>
      <c r="BJ88" s="17"/>
      <c r="BK88" s="17"/>
      <c r="BO88">
        <v>16</v>
      </c>
      <c r="BP88" s="17" t="s">
        <v>33</v>
      </c>
      <c r="BS88" s="24"/>
      <c r="BT88" s="17"/>
      <c r="BU88" s="25">
        <v>84</v>
      </c>
      <c r="BV88" s="30" t="s">
        <v>644</v>
      </c>
      <c r="CV88" s="17"/>
      <c r="CW88" s="17"/>
      <c r="CX88" s="17"/>
      <c r="CY88" s="17"/>
      <c r="CZ88" s="17"/>
      <c r="DA88" s="17"/>
      <c r="DB88" s="17"/>
      <c r="DE88" s="17"/>
      <c r="DF88" s="17"/>
      <c r="DG88" s="17"/>
      <c r="DH88" s="17"/>
      <c r="DI88" s="17"/>
      <c r="DJ88" s="17"/>
    </row>
    <row r="89" spans="1:114">
      <c r="A89" s="9" t="s">
        <v>176</v>
      </c>
      <c r="B89" s="10" t="str">
        <f ca="1">VLOOKUP(B71,AC10:AD54,2,FALSE())</f>
        <v>1 Sorts 1d8+1/niveau 1d6+1</v>
      </c>
      <c r="C89" s="44"/>
      <c r="D89" s="44"/>
      <c r="E89" s="44"/>
      <c r="F89" s="44"/>
      <c r="G89" s="44"/>
      <c r="H89" s="44"/>
      <c r="I89" s="44"/>
      <c r="J89" s="44"/>
      <c r="AJ89" s="25" t="s">
        <v>814</v>
      </c>
      <c r="AK89">
        <f t="shared" ca="1" si="70"/>
        <v>47</v>
      </c>
      <c r="AL89" t="str">
        <f t="shared" ca="1" si="71"/>
        <v xml:space="preserve"> 47 Charges</v>
      </c>
      <c r="AM89" s="17">
        <v>19</v>
      </c>
      <c r="AN89" s="17" t="s">
        <v>195</v>
      </c>
      <c r="AY89" s="27">
        <v>58</v>
      </c>
      <c r="AZ89" s="17" t="s">
        <v>586</v>
      </c>
      <c r="BA89" s="17"/>
      <c r="BB89" s="17"/>
      <c r="BC89" s="17"/>
      <c r="BD89" s="17"/>
      <c r="BE89" s="37"/>
      <c r="BF89" s="17"/>
      <c r="BH89" s="27">
        <v>19</v>
      </c>
      <c r="BI89" s="17" t="s">
        <v>674</v>
      </c>
      <c r="BJ89" s="17"/>
      <c r="BK89" s="17"/>
      <c r="BO89">
        <v>17</v>
      </c>
      <c r="BP89" s="17" t="s">
        <v>33</v>
      </c>
      <c r="BS89" s="24"/>
      <c r="BT89" s="17"/>
      <c r="BU89" s="25">
        <v>85</v>
      </c>
      <c r="BV89" s="30" t="s">
        <v>644</v>
      </c>
      <c r="CV89" s="17"/>
      <c r="CW89" s="17"/>
      <c r="CX89" s="17"/>
      <c r="CY89" s="17"/>
      <c r="CZ89" s="17"/>
      <c r="DA89" s="17"/>
      <c r="DB89" s="17"/>
      <c r="DE89" s="17"/>
      <c r="DF89" s="17"/>
      <c r="DG89" s="17"/>
      <c r="DH89" s="17"/>
      <c r="DI89" s="17"/>
      <c r="DJ89" s="17"/>
    </row>
    <row r="90" spans="1:114">
      <c r="A90" s="9" t="s">
        <v>178</v>
      </c>
      <c r="B90" s="10" t="str">
        <f ca="1">VLOOKUP(B72,AC10:AD54,2,FALSE())</f>
        <v>Protection contre la pétrification</v>
      </c>
      <c r="C90" s="10" t="str">
        <f ca="1">VLOOKUP(C72,$AC$10:$AD$54,2,FALSE())</f>
        <v>1 Sorts niveau 1d4</v>
      </c>
      <c r="D90" s="44"/>
      <c r="E90" s="44"/>
      <c r="F90" s="44"/>
      <c r="G90" s="44"/>
      <c r="H90" s="44"/>
      <c r="I90" s="44"/>
      <c r="J90" s="44"/>
      <c r="AJ90" s="25" t="s">
        <v>815</v>
      </c>
      <c r="AK90">
        <f t="shared" ca="1" si="70"/>
        <v>21</v>
      </c>
      <c r="AL90" t="str">
        <f t="shared" ca="1" si="71"/>
        <v xml:space="preserve"> 21 Charges</v>
      </c>
      <c r="AM90" s="17">
        <v>20</v>
      </c>
      <c r="AN90" s="17" t="s">
        <v>196</v>
      </c>
      <c r="AY90" s="27">
        <v>59</v>
      </c>
      <c r="AZ90" s="17" t="s">
        <v>586</v>
      </c>
      <c r="BA90" s="17"/>
      <c r="BB90" s="17"/>
      <c r="BC90" s="17"/>
      <c r="BD90" s="17"/>
      <c r="BE90" s="37"/>
      <c r="BF90" s="17"/>
      <c r="BH90" s="27">
        <v>20</v>
      </c>
      <c r="BI90" s="17" t="s">
        <v>674</v>
      </c>
      <c r="BJ90" s="17"/>
      <c r="BK90" s="17"/>
      <c r="BO90">
        <v>18</v>
      </c>
      <c r="BP90" s="17" t="s">
        <v>33</v>
      </c>
      <c r="BS90" s="24"/>
      <c r="BT90" s="17"/>
      <c r="BU90" s="25">
        <v>86</v>
      </c>
      <c r="BV90" s="30" t="s">
        <v>644</v>
      </c>
      <c r="CV90" s="17"/>
      <c r="CW90" s="17"/>
      <c r="CX90" s="17"/>
      <c r="CY90" s="17"/>
      <c r="CZ90" s="17"/>
      <c r="DA90" s="17"/>
      <c r="DB90" s="17"/>
      <c r="DE90" s="17"/>
      <c r="DF90" s="17"/>
      <c r="DG90" s="17"/>
      <c r="DH90" s="17"/>
      <c r="DI90" s="17"/>
      <c r="DJ90" s="17"/>
    </row>
    <row r="91" spans="1:114">
      <c r="A91" s="9" t="s">
        <v>180</v>
      </c>
      <c r="B91" s="10" t="str">
        <f ca="1">VLOOKUP(B73,AC10:AD54,2,FALSE())</f>
        <v>1 Sorts niveau 1d4</v>
      </c>
      <c r="C91" s="10" t="str">
        <f ca="1">VLOOKUP(C73,$AC$10:$AD$54,2,FALSE())</f>
        <v>Protection contre le froid</v>
      </c>
      <c r="D91" s="10" t="str">
        <f ca="1">VLOOKUP(D73,$AC$10:$AD$54,2,FALSE())</f>
        <v>Protection contre lélectricité</v>
      </c>
      <c r="E91" s="44"/>
      <c r="F91" s="44"/>
      <c r="G91" s="44"/>
      <c r="H91" s="44"/>
      <c r="I91" s="44"/>
      <c r="J91" s="44"/>
      <c r="AJ91" s="25" t="s">
        <v>816</v>
      </c>
      <c r="AK91">
        <f t="shared" ca="1" si="70"/>
        <v>38</v>
      </c>
      <c r="AL91" t="str">
        <f t="shared" ca="1" si="71"/>
        <v xml:space="preserve"> 38 Charges</v>
      </c>
      <c r="AM91" s="17">
        <v>21</v>
      </c>
      <c r="AN91" s="17" t="s">
        <v>197</v>
      </c>
      <c r="AY91" s="27">
        <v>60</v>
      </c>
      <c r="AZ91" s="17" t="s">
        <v>586</v>
      </c>
      <c r="BA91" s="17"/>
      <c r="BB91" s="17"/>
      <c r="BC91" s="17"/>
      <c r="BD91" s="17"/>
      <c r="BE91" s="37"/>
      <c r="BF91" s="17"/>
      <c r="BH91" s="27">
        <v>21</v>
      </c>
      <c r="BI91" s="17" t="s">
        <v>674</v>
      </c>
      <c r="BJ91" s="17"/>
      <c r="BK91" s="17"/>
      <c r="BO91">
        <v>19</v>
      </c>
      <c r="BP91" s="17" t="s">
        <v>33</v>
      </c>
      <c r="BS91" s="24"/>
      <c r="BU91" s="25">
        <v>87</v>
      </c>
      <c r="BV91" s="30" t="s">
        <v>644</v>
      </c>
      <c r="CV91" s="17"/>
      <c r="CW91" s="17"/>
      <c r="CX91" s="17"/>
      <c r="CY91" s="17"/>
      <c r="CZ91" s="17"/>
      <c r="DA91" s="17"/>
      <c r="DB91" s="17"/>
      <c r="DE91" s="17"/>
      <c r="DF91" s="17"/>
      <c r="DG91" s="17"/>
      <c r="DH91" s="17"/>
      <c r="DI91" s="17"/>
      <c r="DJ91" s="17"/>
    </row>
    <row r="92" spans="1:114">
      <c r="A92" s="48" t="s">
        <v>181</v>
      </c>
      <c r="B92" s="52" t="str">
        <f ca="1">VLOOKUP(B74,AC10:AD54,2,FALSE())</f>
        <v>Protection contre le feu</v>
      </c>
      <c r="C92" s="52" t="str">
        <f ca="1">VLOOKUP(C74,$AC$10:$AD$54,2,FALSE())</f>
        <v>Protection contre la pétrification</v>
      </c>
      <c r="D92" s="52" t="str">
        <f ca="1">VLOOKUP(D74,$AC$10:$AD$54,2,FALSE())</f>
        <v>2 Sorts niveau 1d4</v>
      </c>
      <c r="E92" s="52" t="str">
        <f ca="1">VLOOKUP(E74,$AC$10:$AD$54,2,FALSE())</f>
        <v>1 Sorts niveau 1d4</v>
      </c>
      <c r="F92" s="49"/>
      <c r="G92" s="49"/>
      <c r="H92" s="49"/>
      <c r="I92" s="49"/>
      <c r="J92" s="49"/>
      <c r="AJ92" s="25" t="s">
        <v>817</v>
      </c>
      <c r="AK92">
        <f t="shared" ca="1" si="70"/>
        <v>86</v>
      </c>
      <c r="AL92" t="str">
        <f t="shared" ca="1" si="71"/>
        <v xml:space="preserve"> 86 Charges</v>
      </c>
      <c r="AM92" s="17">
        <v>22</v>
      </c>
      <c r="AN92" s="17" t="s">
        <v>198</v>
      </c>
      <c r="AY92" s="27">
        <v>61</v>
      </c>
      <c r="AZ92" s="17" t="s">
        <v>586</v>
      </c>
      <c r="BA92" s="17"/>
      <c r="BB92" s="17"/>
      <c r="BC92" s="17"/>
      <c r="BD92" s="17"/>
      <c r="BE92" s="37"/>
      <c r="BF92" s="17"/>
      <c r="BH92" s="27">
        <v>22</v>
      </c>
      <c r="BI92" s="17" t="s">
        <v>675</v>
      </c>
      <c r="BJ92" s="17"/>
      <c r="BK92" s="17"/>
      <c r="BO92">
        <v>20</v>
      </c>
      <c r="BP92" s="17" t="s">
        <v>33</v>
      </c>
      <c r="BS92" s="24"/>
      <c r="BU92" s="25">
        <v>88</v>
      </c>
      <c r="BV92" s="30" t="s">
        <v>644</v>
      </c>
      <c r="CV92" s="17"/>
      <c r="CW92" s="17"/>
      <c r="CX92" s="17"/>
      <c r="CY92" s="17"/>
      <c r="CZ92" s="17"/>
      <c r="DA92" s="17"/>
      <c r="DB92" s="17"/>
      <c r="DE92" s="17"/>
      <c r="DF92" s="17"/>
      <c r="DG92" s="17"/>
      <c r="DH92" s="17"/>
      <c r="DI92" s="17"/>
      <c r="DJ92" s="17"/>
    </row>
    <row r="93" spans="1:114">
      <c r="A93" s="9" t="s">
        <v>125</v>
      </c>
      <c r="B93" s="10" t="str">
        <f ca="1">V36</f>
        <v>1 Sorts niveau 1d4</v>
      </c>
      <c r="C93" s="44"/>
      <c r="D93" s="44"/>
      <c r="E93" s="44"/>
      <c r="F93" s="44"/>
      <c r="G93" s="44"/>
      <c r="H93" s="44"/>
      <c r="I93" s="44"/>
      <c r="J93" s="44"/>
      <c r="AJ93" s="25" t="s">
        <v>199</v>
      </c>
      <c r="AK93">
        <f t="shared" ca="1" si="70"/>
        <v>63</v>
      </c>
      <c r="AL93" t="str">
        <f t="shared" ca="1" si="71"/>
        <v xml:space="preserve"> 63 Charges</v>
      </c>
      <c r="AM93" s="17">
        <v>23</v>
      </c>
      <c r="AN93" s="17" t="s">
        <v>200</v>
      </c>
      <c r="AY93" s="27">
        <v>62</v>
      </c>
      <c r="AZ93" s="17" t="s">
        <v>586</v>
      </c>
      <c r="BA93" s="17"/>
      <c r="BB93" s="17"/>
      <c r="BC93" s="17"/>
      <c r="BD93" s="17"/>
      <c r="BE93" s="37"/>
      <c r="BF93" s="17"/>
      <c r="BH93" s="27">
        <v>23</v>
      </c>
      <c r="BI93" s="17" t="s">
        <v>675</v>
      </c>
      <c r="BJ93" s="17"/>
      <c r="BK93" s="17"/>
      <c r="BO93">
        <v>21</v>
      </c>
      <c r="BP93" s="17" t="s">
        <v>33</v>
      </c>
      <c r="BS93" s="24"/>
      <c r="BU93" s="25">
        <v>89</v>
      </c>
      <c r="BV93" s="30" t="s">
        <v>644</v>
      </c>
      <c r="CV93" s="17"/>
      <c r="CW93" s="17"/>
      <c r="CX93" s="17"/>
      <c r="CY93" s="17"/>
      <c r="CZ93" s="17"/>
      <c r="DA93" s="17"/>
      <c r="DB93" s="17"/>
      <c r="DE93" s="17"/>
      <c r="DF93" s="17"/>
      <c r="DG93" s="17"/>
      <c r="DH93" s="17"/>
      <c r="DI93" s="17"/>
      <c r="DJ93" s="17"/>
    </row>
    <row r="94" spans="1:114">
      <c r="A94" s="9" t="s">
        <v>109</v>
      </c>
      <c r="B94" s="10" t="str">
        <f ca="1">V37</f>
        <v>Potion d'Escalade</v>
      </c>
      <c r="C94" s="10" t="str">
        <f ca="1">V38</f>
        <v>Bâton de Fustibale</v>
      </c>
      <c r="D94" s="44"/>
      <c r="E94" s="44"/>
      <c r="F94" s="44"/>
      <c r="G94" s="44"/>
      <c r="H94" s="44"/>
      <c r="I94" s="44"/>
      <c r="J94" s="44"/>
      <c r="AJ94" s="25" t="s">
        <v>818</v>
      </c>
      <c r="AK94">
        <f t="shared" ca="1" si="70"/>
        <v>36</v>
      </c>
      <c r="AL94" t="str">
        <f t="shared" ca="1" si="71"/>
        <v xml:space="preserve"> 36 Charges</v>
      </c>
      <c r="AM94" s="17">
        <v>24</v>
      </c>
      <c r="AN94" s="17" t="s">
        <v>201</v>
      </c>
      <c r="AY94" s="27">
        <v>63</v>
      </c>
      <c r="AZ94" s="17" t="s">
        <v>586</v>
      </c>
      <c r="BA94" s="17"/>
      <c r="BB94" s="17"/>
      <c r="BC94" s="17"/>
      <c r="BD94" s="17"/>
      <c r="BE94" s="37"/>
      <c r="BF94" s="17"/>
      <c r="BH94" s="27">
        <v>24</v>
      </c>
      <c r="BI94" s="17" t="s">
        <v>675</v>
      </c>
      <c r="BJ94" s="17"/>
      <c r="BK94" s="17"/>
      <c r="BO94">
        <v>22</v>
      </c>
      <c r="BP94" s="17" t="s">
        <v>33</v>
      </c>
      <c r="BS94" s="24"/>
      <c r="BU94" s="25">
        <v>90</v>
      </c>
      <c r="BV94" s="30" t="s">
        <v>644</v>
      </c>
      <c r="CV94" s="17"/>
      <c r="CW94" s="17"/>
      <c r="CX94" s="17"/>
      <c r="CY94" s="17"/>
      <c r="CZ94" s="17"/>
      <c r="DA94" s="17"/>
      <c r="DB94" s="17"/>
      <c r="DE94" s="17"/>
      <c r="DF94" s="17"/>
      <c r="DG94" s="17"/>
      <c r="DH94" s="17"/>
      <c r="DI94" s="17"/>
      <c r="DJ94" s="17"/>
    </row>
    <row r="95" spans="1:114">
      <c r="A95" s="9" t="s">
        <v>103</v>
      </c>
      <c r="B95" s="10" t="str">
        <f ca="1">V39</f>
        <v>Carte</v>
      </c>
      <c r="C95" s="10" t="str">
        <f ca="1">V40</f>
        <v>Armure de plates (+2)</v>
      </c>
      <c r="D95" s="10" t="str">
        <f ca="1">V41</f>
        <v>Potion d'Éclat irisé</v>
      </c>
      <c r="E95" s="44"/>
      <c r="F95" s="44"/>
      <c r="G95" s="44"/>
      <c r="H95" s="44"/>
      <c r="I95" s="44"/>
      <c r="J95" s="44"/>
      <c r="AJ95" s="25" t="s">
        <v>819</v>
      </c>
      <c r="AK95">
        <f t="shared" ca="1" si="70"/>
        <v>61</v>
      </c>
      <c r="AL95" t="str">
        <f t="shared" ca="1" si="71"/>
        <v xml:space="preserve"> 61 Charges</v>
      </c>
      <c r="AM95" s="17">
        <v>25</v>
      </c>
      <c r="AN95" s="17" t="s">
        <v>202</v>
      </c>
      <c r="AY95" s="27">
        <v>64</v>
      </c>
      <c r="AZ95" s="17" t="s">
        <v>586</v>
      </c>
      <c r="BA95" s="17"/>
      <c r="BB95" s="17"/>
      <c r="BC95" s="17"/>
      <c r="BD95" s="17"/>
      <c r="BE95" s="37"/>
      <c r="BF95" s="17"/>
      <c r="BH95" s="27">
        <v>25</v>
      </c>
      <c r="BI95" s="17" t="s">
        <v>676</v>
      </c>
      <c r="BJ95" s="17"/>
      <c r="BK95" s="17"/>
      <c r="BO95">
        <v>23</v>
      </c>
      <c r="BP95" s="17" t="s">
        <v>33</v>
      </c>
      <c r="BS95" s="24"/>
      <c r="BU95" s="25">
        <v>91</v>
      </c>
      <c r="BV95" s="30" t="s">
        <v>644</v>
      </c>
      <c r="CV95" s="17"/>
      <c r="CW95" s="17"/>
      <c r="CX95" s="17"/>
      <c r="CY95" s="17"/>
      <c r="CZ95" s="17"/>
      <c r="DA95" s="17"/>
      <c r="DB95" s="17"/>
      <c r="DE95" s="17"/>
      <c r="DF95" s="17"/>
      <c r="DG95" s="17"/>
      <c r="DH95" s="17"/>
      <c r="DI95" s="17"/>
      <c r="DJ95" s="17"/>
    </row>
    <row r="96" spans="1:114">
      <c r="A96" s="9" t="s">
        <v>120</v>
      </c>
      <c r="B96" s="10" t="str">
        <f ca="1">V42</f>
        <v>Philtre de persuasion</v>
      </c>
      <c r="C96" s="10" t="str">
        <f ca="1">V43</f>
        <v>Anneau de Conjuration de Djinns</v>
      </c>
      <c r="D96" s="10" t="str">
        <f ca="1">V44</f>
        <v>Épée (+3)</v>
      </c>
      <c r="E96" s="10" t="str">
        <f ca="1">V45</f>
        <v>Potion de Forme gazeuse</v>
      </c>
      <c r="F96" s="10" t="str">
        <f ca="1">V46</f>
        <v>Gants antiprojectile</v>
      </c>
      <c r="G96" s="44"/>
      <c r="H96" s="44"/>
      <c r="I96" s="44"/>
      <c r="J96" s="44"/>
      <c r="AJ96" s="25" t="s">
        <v>820</v>
      </c>
      <c r="AK96">
        <f t="shared" ca="1" si="70"/>
        <v>75</v>
      </c>
      <c r="AL96" t="str">
        <f t="shared" ca="1" si="71"/>
        <v xml:space="preserve"> 75 Charges</v>
      </c>
      <c r="AM96" s="17">
        <v>26</v>
      </c>
      <c r="AN96" s="17" t="s">
        <v>203</v>
      </c>
      <c r="AY96" s="27">
        <v>65</v>
      </c>
      <c r="AZ96" s="17" t="s">
        <v>586</v>
      </c>
      <c r="BA96" s="17"/>
      <c r="BB96" s="17"/>
      <c r="BC96" s="17"/>
      <c r="BD96" s="17"/>
      <c r="BE96" s="37"/>
      <c r="BF96" s="17"/>
      <c r="BH96" s="27">
        <v>26</v>
      </c>
      <c r="BI96" s="17" t="s">
        <v>676</v>
      </c>
      <c r="BJ96" s="17"/>
      <c r="BK96" s="17"/>
      <c r="BO96">
        <v>24</v>
      </c>
      <c r="BP96" s="17" t="s">
        <v>33</v>
      </c>
      <c r="BS96" s="24"/>
      <c r="BU96" s="25">
        <v>92</v>
      </c>
      <c r="BV96" s="30" t="s">
        <v>644</v>
      </c>
      <c r="CV96" s="17"/>
      <c r="CW96" s="17"/>
      <c r="CX96" s="17"/>
      <c r="CY96" s="17"/>
      <c r="CZ96" s="17"/>
      <c r="DA96" s="17"/>
      <c r="DB96" s="17"/>
      <c r="DE96" s="17"/>
      <c r="DF96" s="17"/>
      <c r="DG96" s="17"/>
      <c r="DH96" s="17"/>
      <c r="DI96" s="17"/>
      <c r="DJ96" s="17"/>
    </row>
    <row r="97" spans="1:114">
      <c r="A97" s="48" t="s">
        <v>123</v>
      </c>
      <c r="B97" s="52" t="str">
        <f ca="1">V47</f>
        <v>Épée (+2)</v>
      </c>
      <c r="C97" s="52" t="str">
        <f ca="1">V48</f>
        <v>Bouclier (+3)</v>
      </c>
      <c r="D97" s="52" t="str">
        <f ca="1">V49</f>
        <v>Huile éthérée</v>
      </c>
      <c r="E97" s="52" t="str">
        <f ca="1">V50</f>
        <v>Potion de Folie</v>
      </c>
      <c r="F97" s="52" t="str">
        <f ca="1">V51</f>
        <v>Cotte de mailles (+1)</v>
      </c>
      <c r="G97" s="52" t="str">
        <f ca="1">V52</f>
        <v>Potion d'Éclat irisé</v>
      </c>
      <c r="H97" s="49"/>
      <c r="I97" s="49"/>
      <c r="J97" s="49"/>
      <c r="AJ97" s="25" t="s">
        <v>204</v>
      </c>
      <c r="AK97">
        <f t="shared" ca="1" si="70"/>
        <v>69</v>
      </c>
      <c r="AL97" t="str">
        <f t="shared" ca="1" si="71"/>
        <v xml:space="preserve"> 69 Charges</v>
      </c>
      <c r="AM97" s="17">
        <v>27</v>
      </c>
      <c r="AN97" s="17" t="s">
        <v>205</v>
      </c>
      <c r="AY97" s="27">
        <v>66</v>
      </c>
      <c r="AZ97" s="17" t="s">
        <v>586</v>
      </c>
      <c r="BA97" s="17"/>
      <c r="BB97" s="17"/>
      <c r="BC97" s="17"/>
      <c r="BD97" s="17"/>
      <c r="BE97" s="37"/>
      <c r="BF97" s="17"/>
      <c r="BH97" s="27">
        <v>27</v>
      </c>
      <c r="BI97" s="17" t="s">
        <v>676</v>
      </c>
      <c r="BJ97" s="17"/>
      <c r="BK97" s="17"/>
      <c r="BO97">
        <v>25</v>
      </c>
      <c r="BP97" s="17" t="s">
        <v>33</v>
      </c>
      <c r="BS97" s="24"/>
      <c r="BU97" s="25">
        <v>93</v>
      </c>
      <c r="BV97" s="30" t="s">
        <v>644</v>
      </c>
      <c r="CV97" s="17"/>
      <c r="CW97" s="17"/>
      <c r="CX97" s="17"/>
      <c r="CY97" s="17"/>
      <c r="CZ97" s="17"/>
      <c r="DA97" s="17"/>
      <c r="DB97" s="17"/>
      <c r="DC97" s="17"/>
      <c r="DD97" s="17"/>
      <c r="DE97" s="17"/>
      <c r="DF97" s="17"/>
      <c r="DG97" s="17"/>
      <c r="DH97" s="17"/>
      <c r="DI97" s="17"/>
      <c r="DJ97" s="17"/>
    </row>
    <row r="98" spans="1:114">
      <c r="A98" s="32" t="s">
        <v>111</v>
      </c>
      <c r="B98" s="10" t="str">
        <f ca="1">B94</f>
        <v>Potion d'Escalade</v>
      </c>
      <c r="C98" s="10" t="str">
        <f ca="1">C94</f>
        <v>Bâton de Fustibale</v>
      </c>
      <c r="D98" s="10" t="str">
        <f ca="1">B81</f>
        <v>Poison</v>
      </c>
      <c r="E98" s="44"/>
      <c r="F98" s="44"/>
      <c r="G98" s="44"/>
      <c r="H98" s="44"/>
      <c r="I98" s="44"/>
      <c r="J98" s="44"/>
      <c r="AJ98" s="25" t="s">
        <v>206</v>
      </c>
      <c r="AK98">
        <f t="shared" ca="1" si="70"/>
        <v>13</v>
      </c>
      <c r="AL98" t="str">
        <f t="shared" ca="1" si="71"/>
        <v xml:space="preserve"> 13 Charges</v>
      </c>
      <c r="AM98" s="17">
        <v>28</v>
      </c>
      <c r="AN98" s="17" t="s">
        <v>207</v>
      </c>
      <c r="AY98" s="27">
        <v>67</v>
      </c>
      <c r="AZ98" s="17" t="s">
        <v>586</v>
      </c>
      <c r="BA98" s="17"/>
      <c r="BB98" s="17"/>
      <c r="BC98" s="17"/>
      <c r="BD98" s="17"/>
      <c r="BE98" s="37"/>
      <c r="BF98" s="17"/>
      <c r="BH98" s="27">
        <v>28</v>
      </c>
      <c r="BI98" s="17" t="s">
        <v>721</v>
      </c>
      <c r="BJ98" s="17"/>
      <c r="BK98" s="17"/>
      <c r="BO98">
        <v>26</v>
      </c>
      <c r="BP98" s="17" t="s">
        <v>33</v>
      </c>
      <c r="BS98" s="24"/>
      <c r="BU98" s="25">
        <v>94</v>
      </c>
      <c r="BV98" s="30" t="s">
        <v>644</v>
      </c>
      <c r="CV98" s="17"/>
      <c r="CW98" s="17"/>
      <c r="CX98" s="17"/>
      <c r="CY98" s="17"/>
      <c r="CZ98" s="17"/>
      <c r="DA98" s="17"/>
      <c r="DB98" s="17"/>
      <c r="DC98" s="17"/>
      <c r="DD98" s="17"/>
      <c r="DE98" s="17"/>
      <c r="DF98" s="17"/>
      <c r="DG98" s="17"/>
      <c r="DH98" s="17" t="s">
        <v>208</v>
      </c>
      <c r="DI98" s="17"/>
      <c r="DJ98" s="17"/>
    </row>
    <row r="99" spans="1:114">
      <c r="A99" s="32" t="s">
        <v>115</v>
      </c>
      <c r="B99" s="10" t="str">
        <f ca="1">B95</f>
        <v>Carte</v>
      </c>
      <c r="C99" s="10" t="str">
        <f ca="1">C95</f>
        <v>Armure de plates (+2)</v>
      </c>
      <c r="D99" s="10" t="str">
        <f ca="1">D95</f>
        <v>Potion d'Éclat irisé</v>
      </c>
      <c r="E99" s="10" t="str">
        <f ca="1">B89</f>
        <v>1 Sorts 1d8+1/niveau 1d6+1</v>
      </c>
      <c r="F99" s="44"/>
      <c r="G99" s="44"/>
      <c r="H99" s="44"/>
      <c r="I99" s="44"/>
      <c r="J99" s="44"/>
      <c r="AJ99" s="25" t="s">
        <v>821</v>
      </c>
      <c r="AK99">
        <f t="shared" ca="1" si="70"/>
        <v>63</v>
      </c>
      <c r="AL99" t="str">
        <f t="shared" ca="1" si="71"/>
        <v xml:space="preserve"> 63 Charges</v>
      </c>
      <c r="AM99" s="17">
        <v>29</v>
      </c>
      <c r="AN99" s="17" t="s">
        <v>209</v>
      </c>
      <c r="AY99" s="27">
        <v>68</v>
      </c>
      <c r="AZ99" s="17" t="s">
        <v>586</v>
      </c>
      <c r="BA99" s="17"/>
      <c r="BB99" s="17"/>
      <c r="BC99" s="17"/>
      <c r="BD99" s="17"/>
      <c r="BE99" s="37"/>
      <c r="BF99" s="17"/>
      <c r="BH99" s="27">
        <v>29</v>
      </c>
      <c r="BI99" s="17" t="s">
        <v>721</v>
      </c>
      <c r="BJ99" s="17"/>
      <c r="BK99" s="17"/>
      <c r="BO99">
        <v>27</v>
      </c>
      <c r="BP99" s="17" t="s">
        <v>33</v>
      </c>
      <c r="BS99" s="24"/>
      <c r="BU99" s="25">
        <v>95</v>
      </c>
      <c r="BV99" s="30" t="s">
        <v>644</v>
      </c>
      <c r="CV99" s="17"/>
      <c r="CW99" s="17"/>
      <c r="CX99" s="17"/>
      <c r="CY99" s="17"/>
      <c r="CZ99" s="17"/>
      <c r="DA99" s="17"/>
      <c r="DB99" s="17"/>
      <c r="DC99" s="17"/>
      <c r="DD99" s="17"/>
      <c r="DE99" s="17"/>
      <c r="DF99" s="17"/>
      <c r="DG99" s="17"/>
      <c r="DH99" s="17"/>
      <c r="DI99" s="17"/>
      <c r="DJ99" s="17"/>
    </row>
    <row r="100" spans="1:114">
      <c r="A100" s="53" t="s">
        <v>117</v>
      </c>
      <c r="B100" s="52" t="str">
        <f ca="1">CY8</f>
        <v>Protection contre le froid</v>
      </c>
      <c r="C100" s="52" t="str">
        <f ca="1">CY9</f>
        <v>Cotte de mailles (+4)</v>
      </c>
      <c r="D100" s="52" t="str">
        <f ca="1">CY10</f>
        <v>Armure de cuir (+1)</v>
      </c>
      <c r="E100" s="52" t="str">
        <f ca="1">CY11</f>
        <v>Protection contre la possession</v>
      </c>
      <c r="F100" s="52" t="str">
        <f ca="1">CY12</f>
        <v>Armure à bandes (+2)</v>
      </c>
      <c r="G100" s="49"/>
      <c r="H100" s="49"/>
      <c r="I100" s="49"/>
      <c r="J100" s="49"/>
      <c r="AM100" s="17">
        <v>30</v>
      </c>
      <c r="AN100" s="17" t="s">
        <v>210</v>
      </c>
      <c r="AY100" s="27">
        <v>69</v>
      </c>
      <c r="AZ100" s="17" t="s">
        <v>586</v>
      </c>
      <c r="BA100" s="17"/>
      <c r="BB100" s="17"/>
      <c r="BC100" s="17"/>
      <c r="BD100" s="17"/>
      <c r="BE100" s="37"/>
      <c r="BF100" s="17"/>
      <c r="BH100" s="27">
        <v>30</v>
      </c>
      <c r="BI100" s="17" t="s">
        <v>721</v>
      </c>
      <c r="BJ100" s="17"/>
      <c r="BK100" s="17"/>
      <c r="BO100">
        <v>28</v>
      </c>
      <c r="BP100" s="17" t="s">
        <v>33</v>
      </c>
      <c r="BS100" s="24"/>
      <c r="BU100" s="25">
        <v>96</v>
      </c>
      <c r="BV100" s="30" t="s">
        <v>644</v>
      </c>
      <c r="CV100" s="17"/>
      <c r="CW100" s="17"/>
      <c r="CX100" s="17"/>
      <c r="CY100" s="17"/>
      <c r="CZ100" s="17"/>
      <c r="DA100" s="17"/>
      <c r="DB100" s="17"/>
      <c r="DC100" s="17"/>
      <c r="DD100" s="17"/>
      <c r="DE100" s="17"/>
      <c r="DF100" s="17"/>
      <c r="DG100" s="17"/>
      <c r="DH100" s="17"/>
      <c r="DI100" s="17"/>
      <c r="DJ100" s="17"/>
    </row>
    <row r="101" spans="1:114">
      <c r="A101" s="32" t="s">
        <v>55</v>
      </c>
      <c r="B101" s="25" t="str">
        <f ca="1">DE22</f>
        <v>Morgenstern (+3)</v>
      </c>
      <c r="C101" s="54"/>
      <c r="D101" s="54"/>
      <c r="E101" s="54"/>
      <c r="F101" s="54"/>
      <c r="G101" s="54"/>
      <c r="H101" s="54"/>
      <c r="I101" s="54"/>
      <c r="J101" s="54"/>
      <c r="AM101" s="17">
        <v>31</v>
      </c>
      <c r="AN101" s="17" t="s">
        <v>211</v>
      </c>
      <c r="AY101" s="27">
        <v>70</v>
      </c>
      <c r="AZ101" s="17" t="s">
        <v>586</v>
      </c>
      <c r="BA101" s="17"/>
      <c r="BB101" s="17"/>
      <c r="BC101" s="17"/>
      <c r="BD101" s="17"/>
      <c r="BE101" s="37"/>
      <c r="BF101" s="17"/>
      <c r="BH101" s="27">
        <v>31</v>
      </c>
      <c r="BI101" s="17" t="s">
        <v>721</v>
      </c>
      <c r="BJ101" s="17"/>
      <c r="BK101" s="17"/>
      <c r="BO101">
        <v>29</v>
      </c>
      <c r="BP101" s="17" t="s">
        <v>33</v>
      </c>
      <c r="BS101" s="24"/>
      <c r="BU101" s="25">
        <v>97</v>
      </c>
      <c r="BV101" s="30" t="s">
        <v>644</v>
      </c>
      <c r="CV101" s="17"/>
      <c r="CW101" s="17"/>
      <c r="CX101" s="17"/>
      <c r="CY101" s="17"/>
      <c r="CZ101" s="17"/>
      <c r="DA101" s="17"/>
      <c r="DB101" s="17"/>
      <c r="DC101" s="17"/>
      <c r="DD101" s="17"/>
      <c r="DE101" s="17"/>
      <c r="DF101" s="17"/>
      <c r="DG101" s="17"/>
      <c r="DH101" s="17"/>
      <c r="DI101" s="17"/>
      <c r="DJ101" s="17"/>
    </row>
    <row r="102" spans="1:114">
      <c r="AM102" s="17">
        <v>32</v>
      </c>
      <c r="AN102" s="17" t="s">
        <v>212</v>
      </c>
      <c r="AY102" s="27">
        <v>71</v>
      </c>
      <c r="AZ102" s="17" t="s">
        <v>586</v>
      </c>
      <c r="BA102" s="17"/>
      <c r="BB102" s="17"/>
      <c r="BC102" s="17"/>
      <c r="BD102" s="17"/>
      <c r="BE102" s="37"/>
      <c r="BF102" s="17"/>
      <c r="BH102" s="27">
        <v>32</v>
      </c>
      <c r="BI102" s="17" t="s">
        <v>721</v>
      </c>
      <c r="BJ102" s="17"/>
      <c r="BK102" s="17"/>
      <c r="BO102">
        <v>30</v>
      </c>
      <c r="BP102" s="17" t="s">
        <v>33</v>
      </c>
      <c r="BS102" s="24"/>
      <c r="BU102" s="25">
        <v>98</v>
      </c>
      <c r="BV102" s="30" t="s">
        <v>644</v>
      </c>
      <c r="CV102" s="17"/>
      <c r="CW102" s="17"/>
      <c r="CX102" s="17"/>
      <c r="CY102" s="17"/>
      <c r="CZ102" s="17"/>
      <c r="DA102" s="17"/>
      <c r="DB102" s="17"/>
    </row>
    <row r="103" spans="1:114">
      <c r="AM103" s="17">
        <v>33</v>
      </c>
      <c r="AN103" s="17" t="s">
        <v>213</v>
      </c>
      <c r="AY103" s="27">
        <v>72</v>
      </c>
      <c r="AZ103" s="17" t="s">
        <v>586</v>
      </c>
      <c r="BA103" s="17"/>
      <c r="BB103" s="17"/>
      <c r="BC103" s="17"/>
      <c r="BD103" s="17"/>
      <c r="BE103" s="37"/>
      <c r="BF103" s="17"/>
      <c r="BH103" s="27">
        <v>33</v>
      </c>
      <c r="BI103" s="17" t="s">
        <v>721</v>
      </c>
      <c r="BJ103" s="17"/>
      <c r="BK103" s="17"/>
      <c r="BO103">
        <v>31</v>
      </c>
      <c r="BP103" s="17" t="s">
        <v>33</v>
      </c>
      <c r="BS103" s="24"/>
      <c r="BU103" s="25">
        <v>99</v>
      </c>
      <c r="BV103" s="30" t="s">
        <v>644</v>
      </c>
      <c r="CV103" s="17"/>
      <c r="CW103" s="17"/>
      <c r="CX103" s="17"/>
      <c r="CY103" s="17"/>
      <c r="CZ103" s="17"/>
      <c r="DA103" s="17"/>
      <c r="DB103" s="17"/>
    </row>
    <row r="104" spans="1:114">
      <c r="AM104" s="17">
        <v>34</v>
      </c>
      <c r="AN104" s="17" t="s">
        <v>214</v>
      </c>
      <c r="AY104" s="27">
        <v>73</v>
      </c>
      <c r="AZ104" s="17" t="s">
        <v>586</v>
      </c>
      <c r="BA104" s="17"/>
      <c r="BB104" s="17"/>
      <c r="BC104" s="17"/>
      <c r="BD104" s="17"/>
      <c r="BE104" s="37"/>
      <c r="BF104" s="17"/>
      <c r="BH104" s="27">
        <v>34</v>
      </c>
      <c r="BI104" s="17" t="s">
        <v>677</v>
      </c>
      <c r="BJ104" s="17"/>
      <c r="BK104" s="17"/>
      <c r="BO104">
        <v>32</v>
      </c>
      <c r="BP104" s="17" t="s">
        <v>33</v>
      </c>
      <c r="BS104" s="24"/>
      <c r="BU104" s="25">
        <v>100</v>
      </c>
      <c r="BV104" s="30" t="s">
        <v>644</v>
      </c>
      <c r="CV104" s="17"/>
      <c r="CW104" s="17"/>
      <c r="CX104" s="17"/>
      <c r="CY104" s="17"/>
      <c r="CZ104" s="17"/>
      <c r="DA104" s="17"/>
      <c r="DB104" s="17"/>
    </row>
    <row r="105" spans="1:114">
      <c r="AM105" s="17">
        <v>35</v>
      </c>
      <c r="AN105" s="17" t="s">
        <v>215</v>
      </c>
      <c r="AY105" s="27">
        <v>74</v>
      </c>
      <c r="AZ105" s="17" t="s">
        <v>586</v>
      </c>
      <c r="BA105" s="17"/>
      <c r="BB105" s="17"/>
      <c r="BC105" s="17"/>
      <c r="BD105" s="17"/>
      <c r="BE105" s="37"/>
      <c r="BF105" s="17"/>
      <c r="BH105" s="27">
        <v>35</v>
      </c>
      <c r="BI105" s="17" t="s">
        <v>677</v>
      </c>
      <c r="BJ105" s="17"/>
      <c r="BK105" s="17"/>
      <c r="BO105">
        <v>33</v>
      </c>
      <c r="BP105" s="17" t="s">
        <v>33</v>
      </c>
      <c r="BS105" s="24"/>
      <c r="BU105" s="17"/>
      <c r="BV105" s="17"/>
      <c r="CV105" s="17"/>
      <c r="CW105" s="17"/>
      <c r="CX105" s="17"/>
      <c r="CY105" s="17"/>
      <c r="CZ105" s="17"/>
      <c r="DA105" s="17"/>
      <c r="DB105" s="17"/>
    </row>
    <row r="106" spans="1:114">
      <c r="AM106" s="17">
        <v>36</v>
      </c>
      <c r="AN106" s="17" t="s">
        <v>216</v>
      </c>
      <c r="AY106" s="27">
        <v>75</v>
      </c>
      <c r="AZ106" s="17" t="s">
        <v>586</v>
      </c>
      <c r="BA106" s="17"/>
      <c r="BB106" s="17"/>
      <c r="BC106" s="17"/>
      <c r="BD106" s="17"/>
      <c r="BE106" s="37"/>
      <c r="BF106" s="17"/>
      <c r="BH106" s="27">
        <v>36</v>
      </c>
      <c r="BI106" s="17" t="s">
        <v>677</v>
      </c>
      <c r="BJ106" s="17"/>
      <c r="BK106" s="17"/>
      <c r="BO106">
        <v>34</v>
      </c>
      <c r="BP106" s="17" t="s">
        <v>33</v>
      </c>
      <c r="BS106" s="24"/>
      <c r="CV106" s="17"/>
      <c r="CW106" s="17"/>
      <c r="CX106" s="17"/>
      <c r="CY106" s="17"/>
      <c r="CZ106" s="17"/>
      <c r="DA106" s="17"/>
      <c r="DB106" s="17"/>
    </row>
    <row r="107" spans="1:114">
      <c r="AM107" s="17">
        <v>37</v>
      </c>
      <c r="AN107" s="17" t="s">
        <v>217</v>
      </c>
      <c r="AY107" s="27">
        <v>76</v>
      </c>
      <c r="AZ107" s="17" t="s">
        <v>586</v>
      </c>
      <c r="BA107" s="17"/>
      <c r="BB107" s="17"/>
      <c r="BC107" s="17"/>
      <c r="BD107" s="17"/>
      <c r="BE107" s="37"/>
      <c r="BF107" s="17"/>
      <c r="BH107" s="27">
        <v>37</v>
      </c>
      <c r="BI107" s="17" t="s">
        <v>677</v>
      </c>
      <c r="BJ107" s="17"/>
      <c r="BK107" s="17"/>
      <c r="BO107">
        <v>35</v>
      </c>
      <c r="BP107" s="17" t="s">
        <v>33</v>
      </c>
      <c r="BS107" s="24"/>
      <c r="CV107" s="17"/>
      <c r="CW107" s="17"/>
      <c r="CX107" s="17"/>
      <c r="CY107" s="17"/>
      <c r="CZ107" s="17"/>
      <c r="DA107" s="17"/>
      <c r="DB107" s="17"/>
    </row>
    <row r="108" spans="1:114">
      <c r="AM108" s="17">
        <v>38</v>
      </c>
      <c r="AN108" s="17" t="s">
        <v>218</v>
      </c>
      <c r="AY108" s="27">
        <v>77</v>
      </c>
      <c r="AZ108" s="17" t="str">
        <f t="shared" ref="AZ108:AZ127" ca="1" si="75">CONCATENATE(BA108,BC108)</f>
        <v>Cotte de mailles elfique (+3)</v>
      </c>
      <c r="BA108" s="55" t="s">
        <v>587</v>
      </c>
      <c r="BB108" s="17">
        <f t="shared" ref="BB108:BB127" ca="1" si="76">RANDBETWEEN(1,18)</f>
        <v>14</v>
      </c>
      <c r="BC108" s="17" t="str">
        <f t="shared" ref="BC108:BC127" ca="1" si="77">VLOOKUP(BB108,$BD$32:$BE$49,2,FALSE())</f>
        <v xml:space="preserve"> (+3)</v>
      </c>
      <c r="BD108" s="17"/>
      <c r="BE108" s="37"/>
      <c r="BF108" s="17"/>
      <c r="BH108" s="27">
        <v>38</v>
      </c>
      <c r="BI108" s="17" t="s">
        <v>677</v>
      </c>
      <c r="BJ108" s="17"/>
      <c r="BK108" s="17"/>
      <c r="BO108">
        <v>36</v>
      </c>
      <c r="BP108" s="17" t="s">
        <v>58</v>
      </c>
      <c r="BS108" s="24"/>
      <c r="CV108" s="17"/>
      <c r="CW108" s="17"/>
      <c r="CX108" s="17"/>
      <c r="CY108" s="17"/>
      <c r="CZ108" s="17"/>
      <c r="DA108" s="17"/>
      <c r="DB108" s="17"/>
    </row>
    <row r="109" spans="1:114">
      <c r="AM109" s="17">
        <v>39</v>
      </c>
      <c r="AN109" s="17" t="s">
        <v>219</v>
      </c>
      <c r="AY109" s="27">
        <v>78</v>
      </c>
      <c r="AZ109" s="17" t="str">
        <f t="shared" ca="1" si="75"/>
        <v>Cotte de mailles elfique (+2)</v>
      </c>
      <c r="BA109" s="55" t="s">
        <v>587</v>
      </c>
      <c r="BB109" s="17">
        <f t="shared" ca="1" si="76"/>
        <v>9</v>
      </c>
      <c r="BC109" s="17" t="str">
        <f t="shared" ca="1" si="77"/>
        <v xml:space="preserve"> (+2)</v>
      </c>
      <c r="BD109" s="17"/>
      <c r="BE109" s="37"/>
      <c r="BF109" s="17"/>
      <c r="BH109" s="27">
        <v>39</v>
      </c>
      <c r="BI109" s="17" t="s">
        <v>677</v>
      </c>
      <c r="BJ109" s="17"/>
      <c r="BK109" s="17"/>
      <c r="BO109">
        <v>37</v>
      </c>
      <c r="BP109" s="17" t="s">
        <v>58</v>
      </c>
      <c r="BS109" s="24"/>
      <c r="CV109" s="17"/>
      <c r="CW109" s="17"/>
      <c r="CX109" s="17"/>
      <c r="CY109" s="17"/>
      <c r="CZ109" s="17"/>
      <c r="DA109" s="17"/>
      <c r="DB109" s="17"/>
    </row>
    <row r="110" spans="1:114">
      <c r="AM110" s="17">
        <v>40</v>
      </c>
      <c r="AN110" s="17" t="s">
        <v>220</v>
      </c>
      <c r="AY110" s="27">
        <v>79</v>
      </c>
      <c r="AZ110" s="17" t="str">
        <f t="shared" ca="1" si="75"/>
        <v>Cotte de mailles elfique (+3)</v>
      </c>
      <c r="BA110" s="55" t="s">
        <v>587</v>
      </c>
      <c r="BB110" s="17">
        <f t="shared" ca="1" si="76"/>
        <v>15</v>
      </c>
      <c r="BC110" s="17" t="str">
        <f t="shared" ca="1" si="77"/>
        <v xml:space="preserve"> (+3)</v>
      </c>
      <c r="BD110" s="17"/>
      <c r="BE110" s="37"/>
      <c r="BF110" s="17"/>
      <c r="BH110" s="27">
        <v>40</v>
      </c>
      <c r="BI110" s="17" t="s">
        <v>678</v>
      </c>
      <c r="BJ110" s="17"/>
      <c r="BK110" s="17"/>
      <c r="BO110">
        <v>38</v>
      </c>
      <c r="BP110" s="17" t="s">
        <v>58</v>
      </c>
      <c r="BS110" s="24"/>
      <c r="CV110" s="17"/>
      <c r="CW110" s="17"/>
      <c r="CX110" s="17"/>
      <c r="CY110" s="17"/>
      <c r="CZ110" s="17"/>
      <c r="DA110" s="17"/>
      <c r="DB110" s="17"/>
    </row>
    <row r="111" spans="1:114">
      <c r="AM111" s="17">
        <v>41</v>
      </c>
      <c r="AN111" s="17" t="s">
        <v>221</v>
      </c>
      <c r="AY111" s="27">
        <v>80</v>
      </c>
      <c r="AZ111" s="17" t="str">
        <f t="shared" ca="1" si="75"/>
        <v>Cotte de mailles elfique (+1)</v>
      </c>
      <c r="BA111" s="55" t="s">
        <v>587</v>
      </c>
      <c r="BB111" s="17">
        <f t="shared" ca="1" si="76"/>
        <v>7</v>
      </c>
      <c r="BC111" s="17" t="str">
        <f t="shared" ca="1" si="77"/>
        <v xml:space="preserve"> (+1)</v>
      </c>
      <c r="BD111" s="17"/>
      <c r="BE111" s="37"/>
      <c r="BF111" s="17"/>
      <c r="BH111" s="23">
        <v>41</v>
      </c>
      <c r="BI111" s="17" t="s">
        <v>678</v>
      </c>
      <c r="BO111">
        <v>39</v>
      </c>
      <c r="BP111" s="17" t="s">
        <v>58</v>
      </c>
      <c r="BS111" s="24"/>
      <c r="CV111" s="17"/>
      <c r="CW111" s="17"/>
      <c r="CX111" s="17"/>
      <c r="CY111" s="17"/>
      <c r="CZ111" s="17"/>
      <c r="DA111" s="17"/>
      <c r="DB111" s="17"/>
    </row>
    <row r="112" spans="1:114">
      <c r="AM112" s="17">
        <v>42</v>
      </c>
      <c r="AN112" s="17" t="s">
        <v>222</v>
      </c>
      <c r="AY112" s="27">
        <v>81</v>
      </c>
      <c r="AZ112" s="17" t="str">
        <f t="shared" ca="1" si="75"/>
        <v>Cotte de mailles elfique (+1)</v>
      </c>
      <c r="BA112" s="55" t="s">
        <v>587</v>
      </c>
      <c r="BB112" s="17">
        <f t="shared" ca="1" si="76"/>
        <v>5</v>
      </c>
      <c r="BC112" s="17" t="str">
        <f t="shared" ca="1" si="77"/>
        <v xml:space="preserve"> (+1)</v>
      </c>
      <c r="BD112" s="17"/>
      <c r="BE112" s="37"/>
      <c r="BF112" s="17"/>
      <c r="BH112" s="23">
        <v>42</v>
      </c>
      <c r="BI112" s="17" t="s">
        <v>678</v>
      </c>
      <c r="BO112">
        <v>40</v>
      </c>
      <c r="BP112" s="17" t="s">
        <v>58</v>
      </c>
      <c r="BS112" s="24"/>
      <c r="CV112" s="17"/>
      <c r="CW112" s="17"/>
      <c r="CX112" s="17"/>
      <c r="CY112" s="17"/>
      <c r="CZ112" s="17"/>
      <c r="DA112" s="17"/>
      <c r="DB112" s="17"/>
    </row>
    <row r="113" spans="1:106">
      <c r="AM113" s="17">
        <v>43</v>
      </c>
      <c r="AN113" s="17" t="s">
        <v>223</v>
      </c>
      <c r="AY113" s="27">
        <v>82</v>
      </c>
      <c r="AZ113" s="17" t="str">
        <f t="shared" ca="1" si="75"/>
        <v>Cotte de mailles elfique (+2)</v>
      </c>
      <c r="BA113" s="55" t="s">
        <v>587</v>
      </c>
      <c r="BB113" s="17">
        <f t="shared" ca="1" si="76"/>
        <v>9</v>
      </c>
      <c r="BC113" s="17" t="str">
        <f t="shared" ca="1" si="77"/>
        <v xml:space="preserve"> (+2)</v>
      </c>
      <c r="BD113" s="17"/>
      <c r="BE113" s="37"/>
      <c r="BF113" s="17"/>
      <c r="BH113" s="23">
        <v>43</v>
      </c>
      <c r="BI113" s="17" t="str">
        <f ca="1">CONCATENATE(BJ113,BL113)</f>
        <v>Dague de lancer (+4)</v>
      </c>
      <c r="BJ113" s="17" t="s">
        <v>679</v>
      </c>
      <c r="BK113">
        <f ca="1">RANDBETWEEN(1,100)</f>
        <v>94</v>
      </c>
      <c r="BL113" t="str">
        <f ca="1">VLOOKUP(BK113,$BO$73:$BP$172,2,FALSE())</f>
        <v xml:space="preserve"> (+4)</v>
      </c>
      <c r="BO113">
        <v>41</v>
      </c>
      <c r="BP113" s="17" t="s">
        <v>58</v>
      </c>
      <c r="BS113" s="24"/>
      <c r="CV113" s="17"/>
      <c r="CW113" s="17"/>
      <c r="CX113" s="17"/>
      <c r="CY113" s="17"/>
      <c r="CZ113" s="17"/>
      <c r="DA113" s="17"/>
      <c r="DB113" s="17"/>
    </row>
    <row r="114" spans="1:106">
      <c r="AM114" s="17">
        <v>44</v>
      </c>
      <c r="AN114" s="17" t="s">
        <v>224</v>
      </c>
      <c r="AY114" s="27">
        <v>83</v>
      </c>
      <c r="AZ114" s="17" t="str">
        <f t="shared" ca="1" si="75"/>
        <v>Cotte de mailles elfique (+1)</v>
      </c>
      <c r="BA114" s="55" t="s">
        <v>587</v>
      </c>
      <c r="BB114" s="17">
        <f t="shared" ca="1" si="76"/>
        <v>3</v>
      </c>
      <c r="BC114" s="17" t="str">
        <f t="shared" ca="1" si="77"/>
        <v xml:space="preserve"> (+1)</v>
      </c>
      <c r="BD114" s="17"/>
      <c r="BE114" s="37"/>
      <c r="BF114" s="17"/>
      <c r="BH114" s="23">
        <v>44</v>
      </c>
      <c r="BI114" s="17" t="str">
        <f ca="1">CONCATENATE(BJ114,BL114)</f>
        <v>Dague de lancer (+3)</v>
      </c>
      <c r="BJ114" s="17" t="s">
        <v>679</v>
      </c>
      <c r="BK114">
        <f ca="1">RANDBETWEEN(1,100)</f>
        <v>67</v>
      </c>
      <c r="BL114" t="str">
        <f ca="1">VLOOKUP(BK114,$BO$73:$BP$172,2,FALSE())</f>
        <v xml:space="preserve"> (+3)</v>
      </c>
      <c r="BO114">
        <v>42</v>
      </c>
      <c r="BP114" s="17" t="s">
        <v>58</v>
      </c>
      <c r="BS114" s="24"/>
      <c r="CV114" s="17"/>
      <c r="CW114" s="17"/>
      <c r="CX114" s="17"/>
      <c r="CY114" s="17"/>
      <c r="CZ114" s="17"/>
      <c r="DA114" s="17"/>
      <c r="DB114" s="17"/>
    </row>
    <row r="115" spans="1:106">
      <c r="AM115" s="17">
        <v>45</v>
      </c>
      <c r="AN115" s="17" t="s">
        <v>225</v>
      </c>
      <c r="AY115" s="27">
        <v>84</v>
      </c>
      <c r="AZ115" s="17" t="str">
        <f t="shared" ca="1" si="75"/>
        <v>Cotte de mailles elfique (+1)</v>
      </c>
      <c r="BA115" s="55" t="s">
        <v>587</v>
      </c>
      <c r="BB115" s="17">
        <f t="shared" ca="1" si="76"/>
        <v>8</v>
      </c>
      <c r="BC115" s="17" t="str">
        <f t="shared" ca="1" si="77"/>
        <v xml:space="preserve"> (+1)</v>
      </c>
      <c r="BD115" s="17"/>
      <c r="BE115" s="37"/>
      <c r="BF115" s="17"/>
      <c r="BH115" s="23">
        <v>45</v>
      </c>
      <c r="BI115" s="17" t="str">
        <f ca="1">CONCATENATE(BJ115,BL115)</f>
        <v>Dague de lancer (+1)</v>
      </c>
      <c r="BJ115" s="17" t="s">
        <v>679</v>
      </c>
      <c r="BK115">
        <f ca="1">RANDBETWEEN(1,100)</f>
        <v>20</v>
      </c>
      <c r="BL115" t="str">
        <f ca="1">VLOOKUP(BK115,$BO$73:$BP$172,2,FALSE())</f>
        <v xml:space="preserve"> (+1)</v>
      </c>
      <c r="BO115">
        <v>43</v>
      </c>
      <c r="BP115" s="17" t="s">
        <v>58</v>
      </c>
      <c r="BS115" s="24"/>
      <c r="CV115" s="17"/>
      <c r="CW115" s="17"/>
      <c r="CX115" s="17"/>
      <c r="CY115" s="17"/>
      <c r="CZ115" s="17"/>
      <c r="DA115" s="17"/>
      <c r="DB115" s="17"/>
    </row>
    <row r="116" spans="1:106">
      <c r="AM116" s="17">
        <v>46</v>
      </c>
      <c r="AN116" s="17" t="s">
        <v>226</v>
      </c>
      <c r="AY116" s="27">
        <v>85</v>
      </c>
      <c r="AZ116" s="17" t="str">
        <f t="shared" ca="1" si="75"/>
        <v>Cotte de mailles elfique (+4)</v>
      </c>
      <c r="BA116" s="55" t="s">
        <v>587</v>
      </c>
      <c r="BB116" s="17">
        <f t="shared" ca="1" si="76"/>
        <v>17</v>
      </c>
      <c r="BC116" s="17" t="str">
        <f t="shared" ca="1" si="77"/>
        <v xml:space="preserve"> (+4)</v>
      </c>
      <c r="BD116" s="17"/>
      <c r="BE116" s="37"/>
      <c r="BF116" s="17"/>
      <c r="BH116" s="23">
        <v>46</v>
      </c>
      <c r="BI116" s="17" t="s">
        <v>680</v>
      </c>
      <c r="BO116">
        <v>44</v>
      </c>
      <c r="BP116" s="17" t="s">
        <v>58</v>
      </c>
      <c r="BS116" s="24"/>
      <c r="CV116" s="17"/>
      <c r="CW116" s="17"/>
      <c r="CX116" s="17"/>
      <c r="CY116" s="17"/>
      <c r="CZ116" s="17"/>
      <c r="DA116" s="17"/>
      <c r="DB116" s="17"/>
    </row>
    <row r="117" spans="1:106">
      <c r="AM117" s="17">
        <v>47</v>
      </c>
      <c r="AN117" s="17" t="s">
        <v>227</v>
      </c>
      <c r="AY117" s="27">
        <v>86</v>
      </c>
      <c r="AZ117" s="17" t="str">
        <f t="shared" ca="1" si="75"/>
        <v>Cotte de mailles elfique (+4)</v>
      </c>
      <c r="BA117" s="55" t="s">
        <v>587</v>
      </c>
      <c r="BB117" s="17">
        <f t="shared" ca="1" si="76"/>
        <v>16</v>
      </c>
      <c r="BC117" s="17" t="str">
        <f t="shared" ca="1" si="77"/>
        <v xml:space="preserve"> (+4)</v>
      </c>
      <c r="BD117" s="17"/>
      <c r="BE117" s="37"/>
      <c r="BF117" s="17"/>
      <c r="BH117" s="23">
        <v>47</v>
      </c>
      <c r="BI117" s="17" t="s">
        <v>680</v>
      </c>
      <c r="BO117">
        <v>45</v>
      </c>
      <c r="BP117" s="17" t="s">
        <v>58</v>
      </c>
      <c r="BS117" s="24"/>
      <c r="CV117" s="17"/>
      <c r="CW117" s="17"/>
      <c r="CX117" s="17"/>
      <c r="CY117" s="17"/>
      <c r="CZ117" s="17"/>
      <c r="DA117" s="17"/>
      <c r="DB117" s="17"/>
    </row>
    <row r="118" spans="1:106">
      <c r="AM118" s="17">
        <v>48</v>
      </c>
      <c r="AN118" s="17" t="s">
        <v>228</v>
      </c>
      <c r="AY118" s="27">
        <v>87</v>
      </c>
      <c r="AZ118" s="17" t="str">
        <f t="shared" ca="1" si="75"/>
        <v>Cotte de mailles elfique (+1)</v>
      </c>
      <c r="BA118" s="55" t="s">
        <v>587</v>
      </c>
      <c r="BB118" s="17">
        <f t="shared" ca="1" si="76"/>
        <v>4</v>
      </c>
      <c r="BC118" s="17" t="str">
        <f t="shared" ca="1" si="77"/>
        <v xml:space="preserve"> (+1)</v>
      </c>
      <c r="BD118" s="17"/>
      <c r="BE118" s="37"/>
      <c r="BF118" s="17"/>
      <c r="BH118" s="23">
        <v>48</v>
      </c>
      <c r="BI118" s="17" t="s">
        <v>680</v>
      </c>
      <c r="BO118">
        <v>46</v>
      </c>
      <c r="BP118" s="17" t="s">
        <v>58</v>
      </c>
      <c r="BS118" s="24"/>
      <c r="CV118" s="17"/>
      <c r="CW118" s="17"/>
      <c r="CX118" s="17"/>
      <c r="CY118" s="17"/>
      <c r="CZ118" s="17"/>
      <c r="DA118" s="17"/>
      <c r="DB118" s="17"/>
    </row>
    <row r="119" spans="1:106">
      <c r="A119" s="94" t="s">
        <v>229</v>
      </c>
      <c r="B119" s="94"/>
      <c r="C119" s="56">
        <f ca="1">RANDBETWEEN(1,100)</f>
        <v>29</v>
      </c>
      <c r="E119" s="95" t="s">
        <v>230</v>
      </c>
      <c r="F119" s="95"/>
      <c r="G119" s="95"/>
      <c r="H119" s="95"/>
      <c r="I119" s="95"/>
      <c r="J119" s="95"/>
      <c r="K119" s="95"/>
      <c r="L119" s="57">
        <f ca="1">RANDBETWEEN(1,6)</f>
        <v>3</v>
      </c>
      <c r="AM119" s="17">
        <v>49</v>
      </c>
      <c r="AN119" s="17" t="s">
        <v>231</v>
      </c>
      <c r="AY119" s="27">
        <v>88</v>
      </c>
      <c r="AZ119" s="17" t="str">
        <f t="shared" ca="1" si="75"/>
        <v>Cotte de mailles elfique (+3)</v>
      </c>
      <c r="BA119" s="55" t="s">
        <v>587</v>
      </c>
      <c r="BB119" s="17">
        <f t="shared" ca="1" si="76"/>
        <v>14</v>
      </c>
      <c r="BC119" s="17" t="str">
        <f t="shared" ca="1" si="77"/>
        <v xml:space="preserve"> (+3)</v>
      </c>
      <c r="BD119" s="17"/>
      <c r="BE119" s="37"/>
      <c r="BF119" s="17"/>
      <c r="BH119" s="23">
        <v>49</v>
      </c>
      <c r="BI119" s="17" t="s">
        <v>681</v>
      </c>
      <c r="BO119">
        <v>47</v>
      </c>
      <c r="BP119" s="17" t="s">
        <v>58</v>
      </c>
      <c r="BS119" s="24"/>
      <c r="CV119" s="17"/>
      <c r="CW119" s="17"/>
      <c r="CX119" s="17"/>
      <c r="CY119" s="17"/>
      <c r="CZ119" s="17"/>
      <c r="DA119" s="17"/>
      <c r="DB119" s="17"/>
    </row>
    <row r="120" spans="1:106">
      <c r="A120" s="58">
        <v>1</v>
      </c>
      <c r="B120">
        <v>10</v>
      </c>
      <c r="C120" s="24" t="s">
        <v>232</v>
      </c>
      <c r="E120" s="23">
        <v>1</v>
      </c>
      <c r="F120" s="90" t="s">
        <v>233</v>
      </c>
      <c r="G120" s="90"/>
      <c r="H120" s="90"/>
      <c r="I120" s="90"/>
      <c r="J120" s="90"/>
      <c r="K120" s="90"/>
      <c r="L120" s="90"/>
      <c r="AM120" s="17">
        <v>50</v>
      </c>
      <c r="AN120" s="17" t="s">
        <v>234</v>
      </c>
      <c r="AY120" s="27">
        <v>89</v>
      </c>
      <c r="AZ120" s="17" t="str">
        <f t="shared" ca="1" si="75"/>
        <v>Cotte de mailles elfique (+1)</v>
      </c>
      <c r="BA120" s="55" t="s">
        <v>587</v>
      </c>
      <c r="BB120" s="17">
        <f t="shared" ca="1" si="76"/>
        <v>4</v>
      </c>
      <c r="BC120" s="17" t="str">
        <f t="shared" ca="1" si="77"/>
        <v xml:space="preserve"> (+1)</v>
      </c>
      <c r="BD120" s="17"/>
      <c r="BE120" s="37"/>
      <c r="BF120" s="17"/>
      <c r="BH120" s="23">
        <v>50</v>
      </c>
      <c r="BI120" s="17" t="s">
        <v>681</v>
      </c>
      <c r="BO120">
        <v>48</v>
      </c>
      <c r="BP120" s="17" t="s">
        <v>58</v>
      </c>
      <c r="BS120" s="24"/>
      <c r="CV120" s="17"/>
      <c r="CW120" s="17"/>
      <c r="CX120" s="17"/>
      <c r="CY120" s="17"/>
      <c r="CZ120" s="17"/>
      <c r="DA120" s="17"/>
      <c r="DB120" s="17"/>
    </row>
    <row r="121" spans="1:106">
      <c r="A121" s="58">
        <v>2</v>
      </c>
      <c r="B121">
        <v>10</v>
      </c>
      <c r="C121" s="24" t="s">
        <v>232</v>
      </c>
      <c r="E121" s="23">
        <v>2</v>
      </c>
      <c r="F121" s="90" t="s">
        <v>235</v>
      </c>
      <c r="G121" s="90"/>
      <c r="H121" s="90"/>
      <c r="I121" s="90"/>
      <c r="J121" s="90"/>
      <c r="K121" s="90"/>
      <c r="L121" s="90"/>
      <c r="AM121" s="17">
        <v>51</v>
      </c>
      <c r="AN121" s="17" t="s">
        <v>236</v>
      </c>
      <c r="AY121" s="27">
        <v>90</v>
      </c>
      <c r="AZ121" s="17" t="str">
        <f t="shared" ca="1" si="75"/>
        <v>Cotte de mailles elfique (+5)</v>
      </c>
      <c r="BA121" s="55" t="s">
        <v>587</v>
      </c>
      <c r="BB121" s="17">
        <f t="shared" ca="1" si="76"/>
        <v>18</v>
      </c>
      <c r="BC121" s="17" t="str">
        <f t="shared" ca="1" si="77"/>
        <v xml:space="preserve"> (+5)</v>
      </c>
      <c r="BD121" s="17"/>
      <c r="BE121" s="37"/>
      <c r="BF121" s="17"/>
      <c r="BH121" s="23">
        <v>51</v>
      </c>
      <c r="BI121" s="17" t="s">
        <v>681</v>
      </c>
      <c r="BO121">
        <v>49</v>
      </c>
      <c r="BP121" s="17" t="s">
        <v>58</v>
      </c>
      <c r="BS121" s="24"/>
      <c r="CV121" s="17"/>
      <c r="CW121" s="17"/>
      <c r="CX121" s="17"/>
      <c r="CY121" s="17"/>
      <c r="CZ121" s="17"/>
      <c r="DA121" s="17"/>
      <c r="DB121" s="17"/>
    </row>
    <row r="122" spans="1:106">
      <c r="A122" s="58">
        <v>3</v>
      </c>
      <c r="B122">
        <v>10</v>
      </c>
      <c r="C122" s="24" t="s">
        <v>232</v>
      </c>
      <c r="E122" s="23">
        <v>3</v>
      </c>
      <c r="F122" s="89" t="s">
        <v>237</v>
      </c>
      <c r="G122" s="89"/>
      <c r="H122" s="89"/>
      <c r="I122" s="89"/>
      <c r="J122" s="89"/>
      <c r="K122" s="89"/>
      <c r="L122" s="24">
        <f ca="1">RANDBETWEEN(10,60)</f>
        <v>35</v>
      </c>
      <c r="AM122" s="17">
        <v>52</v>
      </c>
      <c r="AN122" s="17" t="s">
        <v>238</v>
      </c>
      <c r="AY122" s="27">
        <v>91</v>
      </c>
      <c r="AZ122" s="17" t="str">
        <f t="shared" ca="1" si="75"/>
        <v>Cotte de mailles elfique (+2)</v>
      </c>
      <c r="BA122" s="55" t="s">
        <v>587</v>
      </c>
      <c r="BB122" s="17">
        <f t="shared" ca="1" si="76"/>
        <v>10</v>
      </c>
      <c r="BC122" s="17" t="str">
        <f t="shared" ca="1" si="77"/>
        <v xml:space="preserve"> (+2)</v>
      </c>
      <c r="BD122" s="17"/>
      <c r="BE122" s="37"/>
      <c r="BF122" s="17"/>
      <c r="BH122" s="23">
        <v>52</v>
      </c>
      <c r="BI122" s="17" t="s">
        <v>682</v>
      </c>
      <c r="BO122">
        <v>50</v>
      </c>
      <c r="BP122" s="17" t="s">
        <v>58</v>
      </c>
      <c r="BS122" s="24"/>
      <c r="CV122" s="17"/>
      <c r="CW122" s="17"/>
      <c r="CX122" s="17"/>
      <c r="CY122" s="17"/>
      <c r="CZ122" s="17"/>
      <c r="DA122" s="17"/>
      <c r="DB122" s="17"/>
    </row>
    <row r="123" spans="1:106">
      <c r="A123" s="58">
        <v>4</v>
      </c>
      <c r="B123">
        <v>10</v>
      </c>
      <c r="C123" s="24" t="s">
        <v>232</v>
      </c>
      <c r="E123" s="23">
        <v>4</v>
      </c>
      <c r="F123" s="89" t="s">
        <v>239</v>
      </c>
      <c r="G123" s="89"/>
      <c r="H123" s="89"/>
      <c r="I123" s="89"/>
      <c r="J123" s="89"/>
      <c r="K123" s="89"/>
      <c r="L123" s="24">
        <f ca="1">RANDBETWEEN(10,40)</f>
        <v>18</v>
      </c>
      <c r="AM123" s="17">
        <v>53</v>
      </c>
      <c r="AN123" s="17" t="s">
        <v>240</v>
      </c>
      <c r="AY123" s="27">
        <v>92</v>
      </c>
      <c r="AZ123" s="17" t="str">
        <f t="shared" ca="1" si="75"/>
        <v>Cotte de mailles elfique (+1)</v>
      </c>
      <c r="BA123" s="55" t="s">
        <v>587</v>
      </c>
      <c r="BB123" s="17">
        <f t="shared" ca="1" si="76"/>
        <v>2</v>
      </c>
      <c r="BC123" s="17" t="str">
        <f t="shared" ca="1" si="77"/>
        <v xml:space="preserve"> (+1)</v>
      </c>
      <c r="BD123" s="17"/>
      <c r="BE123" s="37"/>
      <c r="BF123" s="17"/>
      <c r="BH123" s="23">
        <v>53</v>
      </c>
      <c r="BI123" s="17" t="s">
        <v>682</v>
      </c>
      <c r="BO123">
        <v>51</v>
      </c>
      <c r="BP123" s="17" t="s">
        <v>58</v>
      </c>
      <c r="BS123" s="24"/>
      <c r="CV123" s="17"/>
      <c r="CW123" s="17"/>
      <c r="CX123" s="17"/>
      <c r="CY123" s="17"/>
      <c r="CZ123" s="17"/>
      <c r="DA123" s="17"/>
      <c r="DB123" s="17"/>
    </row>
    <row r="124" spans="1:106">
      <c r="A124" s="58">
        <v>5</v>
      </c>
      <c r="B124">
        <v>10</v>
      </c>
      <c r="C124" s="24" t="s">
        <v>232</v>
      </c>
      <c r="E124" s="23">
        <v>5</v>
      </c>
      <c r="F124" s="90" t="s">
        <v>241</v>
      </c>
      <c r="G124" s="90"/>
      <c r="H124" s="90"/>
      <c r="I124" s="90"/>
      <c r="J124" s="90"/>
      <c r="K124" s="90"/>
      <c r="L124" s="90"/>
      <c r="AM124" s="17">
        <v>54</v>
      </c>
      <c r="AN124" s="17" t="s">
        <v>242</v>
      </c>
      <c r="AY124" s="27">
        <v>93</v>
      </c>
      <c r="AZ124" s="17" t="str">
        <f t="shared" ca="1" si="75"/>
        <v>Cotte de mailles elfique (+2)</v>
      </c>
      <c r="BA124" s="55" t="s">
        <v>587</v>
      </c>
      <c r="BB124" s="17">
        <f t="shared" ca="1" si="76"/>
        <v>9</v>
      </c>
      <c r="BC124" s="17" t="str">
        <f t="shared" ca="1" si="77"/>
        <v xml:space="preserve"> (+2)</v>
      </c>
      <c r="BD124" s="17"/>
      <c r="BE124" s="37"/>
      <c r="BF124" s="17"/>
      <c r="BH124" s="23">
        <v>54</v>
      </c>
      <c r="BI124" s="17" t="s">
        <v>682</v>
      </c>
      <c r="BO124">
        <v>52</v>
      </c>
      <c r="BP124" s="17" t="s">
        <v>58</v>
      </c>
      <c r="BS124" s="24"/>
      <c r="CV124" s="17"/>
      <c r="CW124" s="17"/>
      <c r="CX124" s="17"/>
      <c r="CY124" s="17"/>
      <c r="CZ124" s="17"/>
      <c r="DA124" s="17"/>
      <c r="DB124" s="17"/>
    </row>
    <row r="125" spans="1:106">
      <c r="A125" s="58">
        <v>6</v>
      </c>
      <c r="B125">
        <v>10</v>
      </c>
      <c r="C125" s="24" t="s">
        <v>232</v>
      </c>
      <c r="E125" s="59">
        <v>6</v>
      </c>
      <c r="F125" s="91" t="s">
        <v>243</v>
      </c>
      <c r="G125" s="91"/>
      <c r="H125" s="91"/>
      <c r="I125" s="91"/>
      <c r="J125" s="91"/>
      <c r="K125" s="91"/>
      <c r="L125" s="91"/>
      <c r="AM125" s="17">
        <v>55</v>
      </c>
      <c r="AN125" s="17" t="s">
        <v>244</v>
      </c>
      <c r="AY125" s="27">
        <v>94</v>
      </c>
      <c r="AZ125" s="17" t="str">
        <f t="shared" ca="1" si="75"/>
        <v>Cotte de mailles elfique (+1)</v>
      </c>
      <c r="BA125" s="55" t="s">
        <v>587</v>
      </c>
      <c r="BB125" s="17">
        <f t="shared" ca="1" si="76"/>
        <v>4</v>
      </c>
      <c r="BC125" s="17" t="str">
        <f t="shared" ca="1" si="77"/>
        <v xml:space="preserve"> (+1)</v>
      </c>
      <c r="BD125" s="17"/>
      <c r="BE125" s="37"/>
      <c r="BH125" s="23">
        <v>55</v>
      </c>
      <c r="BI125" s="17" t="s">
        <v>683</v>
      </c>
      <c r="BO125">
        <v>53</v>
      </c>
      <c r="BP125" s="17" t="s">
        <v>58</v>
      </c>
      <c r="BS125" s="24"/>
      <c r="CV125" s="17"/>
      <c r="CW125" s="17"/>
      <c r="CX125" s="17"/>
      <c r="CY125" s="17"/>
      <c r="CZ125" s="17"/>
      <c r="DA125" s="17"/>
      <c r="DB125" s="17"/>
    </row>
    <row r="126" spans="1:106">
      <c r="A126" s="58">
        <v>7</v>
      </c>
      <c r="B126">
        <v>10</v>
      </c>
      <c r="C126" s="24" t="s">
        <v>232</v>
      </c>
      <c r="AM126" s="17">
        <v>56</v>
      </c>
      <c r="AN126" s="17" t="s">
        <v>245</v>
      </c>
      <c r="AY126" s="27">
        <v>95</v>
      </c>
      <c r="AZ126" s="17" t="str">
        <f t="shared" ca="1" si="75"/>
        <v>Cotte de mailles elfique (+3)</v>
      </c>
      <c r="BA126" s="55" t="s">
        <v>587</v>
      </c>
      <c r="BB126" s="17">
        <f t="shared" ca="1" si="76"/>
        <v>14</v>
      </c>
      <c r="BC126" s="17" t="str">
        <f t="shared" ca="1" si="77"/>
        <v xml:space="preserve"> (+3)</v>
      </c>
      <c r="BD126" s="17"/>
      <c r="BE126" s="37"/>
      <c r="BH126" s="23">
        <v>56</v>
      </c>
      <c r="BI126" s="17" t="s">
        <v>683</v>
      </c>
      <c r="BO126">
        <v>54</v>
      </c>
      <c r="BP126" s="17" t="s">
        <v>58</v>
      </c>
      <c r="BS126" s="24"/>
      <c r="CV126" s="17"/>
      <c r="CW126" s="17"/>
      <c r="CX126" s="17"/>
      <c r="CY126" s="17"/>
      <c r="CZ126" s="17"/>
      <c r="DA126" s="17"/>
      <c r="DB126" s="17"/>
    </row>
    <row r="127" spans="1:106">
      <c r="A127" s="58">
        <v>8</v>
      </c>
      <c r="B127">
        <v>10</v>
      </c>
      <c r="C127" s="24" t="s">
        <v>232</v>
      </c>
      <c r="E127">
        <v>1</v>
      </c>
      <c r="F127" t="s">
        <v>246</v>
      </c>
      <c r="AM127" s="17">
        <v>57</v>
      </c>
      <c r="AN127" s="17" t="s">
        <v>247</v>
      </c>
      <c r="AY127" s="27">
        <v>96</v>
      </c>
      <c r="AZ127" s="17" t="str">
        <f t="shared" ca="1" si="75"/>
        <v>Cotte de mailles elfique (+5)</v>
      </c>
      <c r="BA127" s="55" t="s">
        <v>587</v>
      </c>
      <c r="BB127" s="17">
        <f t="shared" ca="1" si="76"/>
        <v>18</v>
      </c>
      <c r="BC127" s="17" t="str">
        <f t="shared" ca="1" si="77"/>
        <v xml:space="preserve"> (+5)</v>
      </c>
      <c r="BD127" s="17"/>
      <c r="BE127" s="37"/>
      <c r="BH127" s="23">
        <v>57</v>
      </c>
      <c r="BI127" s="17" t="s">
        <v>683</v>
      </c>
      <c r="BO127">
        <v>55</v>
      </c>
      <c r="BP127" s="17" t="s">
        <v>58</v>
      </c>
      <c r="BS127" s="24"/>
      <c r="CV127" s="17"/>
      <c r="CW127" s="17"/>
      <c r="CX127" s="17"/>
      <c r="CY127" s="17"/>
      <c r="CZ127" s="17"/>
      <c r="DA127" s="17"/>
      <c r="DB127" s="17"/>
    </row>
    <row r="128" spans="1:106">
      <c r="A128" s="58">
        <v>9</v>
      </c>
      <c r="B128">
        <v>10</v>
      </c>
      <c r="C128" s="24" t="s">
        <v>232</v>
      </c>
      <c r="E128">
        <v>6</v>
      </c>
      <c r="F128" t="s">
        <v>248</v>
      </c>
      <c r="AM128" s="17">
        <v>58</v>
      </c>
      <c r="AN128" s="17" t="s">
        <v>249</v>
      </c>
      <c r="AY128" s="27">
        <v>97</v>
      </c>
      <c r="AZ128" s="17" t="s">
        <v>588</v>
      </c>
      <c r="BA128" s="55"/>
      <c r="BB128" s="17"/>
      <c r="BC128" s="17"/>
      <c r="BD128" s="17"/>
      <c r="BE128" s="37"/>
      <c r="BH128" s="23">
        <v>58</v>
      </c>
      <c r="BI128" s="17" t="s">
        <v>684</v>
      </c>
      <c r="BO128">
        <v>56</v>
      </c>
      <c r="BP128" s="17" t="s">
        <v>58</v>
      </c>
      <c r="BS128" s="24"/>
      <c r="CV128" s="17"/>
      <c r="CW128" s="17"/>
      <c r="CX128" s="17"/>
      <c r="CY128" s="17"/>
      <c r="CZ128" s="17"/>
      <c r="DA128" s="17"/>
      <c r="DB128" s="17"/>
    </row>
    <row r="129" spans="1:106">
      <c r="A129" s="58">
        <v>10</v>
      </c>
      <c r="B129">
        <v>10</v>
      </c>
      <c r="C129" s="24" t="s">
        <v>232</v>
      </c>
      <c r="AM129" s="17">
        <v>59</v>
      </c>
      <c r="AN129" s="17" t="s">
        <v>251</v>
      </c>
      <c r="AY129" s="27">
        <v>98</v>
      </c>
      <c r="AZ129" s="17" t="s">
        <v>588</v>
      </c>
      <c r="BA129" s="55"/>
      <c r="BB129" s="17"/>
      <c r="BC129" s="17"/>
      <c r="BD129" s="17"/>
      <c r="BE129" s="37"/>
      <c r="BH129" s="23">
        <v>59</v>
      </c>
      <c r="BI129" s="17" t="s">
        <v>684</v>
      </c>
      <c r="BO129">
        <v>57</v>
      </c>
      <c r="BP129" s="17" t="s">
        <v>58</v>
      </c>
      <c r="BS129" s="24"/>
      <c r="CV129" s="17"/>
      <c r="CW129" s="17"/>
      <c r="CX129" s="17"/>
      <c r="CY129" s="17"/>
      <c r="CZ129" s="17"/>
      <c r="DA129" s="17"/>
      <c r="DB129" s="17"/>
    </row>
    <row r="130" spans="1:106">
      <c r="A130" s="58">
        <v>11</v>
      </c>
      <c r="B130">
        <v>10</v>
      </c>
      <c r="C130" s="24" t="s">
        <v>232</v>
      </c>
      <c r="E130" s="92" t="s">
        <v>252</v>
      </c>
      <c r="F130" s="92"/>
      <c r="G130" s="92"/>
      <c r="H130" s="92"/>
      <c r="I130" s="92"/>
      <c r="J130" s="92"/>
      <c r="K130" s="92"/>
      <c r="L130" s="61">
        <f ca="1">RANDBETWEEN(1,12)</f>
        <v>9</v>
      </c>
      <c r="AM130" s="17">
        <v>60</v>
      </c>
      <c r="AN130" s="17" t="s">
        <v>253</v>
      </c>
      <c r="AY130" s="27">
        <v>99</v>
      </c>
      <c r="AZ130" s="17" t="s">
        <v>588</v>
      </c>
      <c r="BA130" s="55"/>
      <c r="BB130" s="17"/>
      <c r="BC130" s="17"/>
      <c r="BD130" s="17"/>
      <c r="BE130" s="37"/>
      <c r="BH130" s="23">
        <v>60</v>
      </c>
      <c r="BI130" s="17" t="s">
        <v>684</v>
      </c>
      <c r="BO130">
        <v>58</v>
      </c>
      <c r="BP130" s="17" t="s">
        <v>58</v>
      </c>
      <c r="BS130" s="24"/>
      <c r="CV130" s="17"/>
      <c r="CW130" s="17"/>
      <c r="CX130" s="17"/>
      <c r="CY130" s="17"/>
      <c r="CZ130" s="17"/>
      <c r="DA130" s="17"/>
      <c r="DB130" s="17"/>
    </row>
    <row r="131" spans="1:106">
      <c r="A131" s="58">
        <v>12</v>
      </c>
      <c r="B131">
        <v>10</v>
      </c>
      <c r="C131" s="24" t="s">
        <v>232</v>
      </c>
      <c r="E131" s="23">
        <v>1</v>
      </c>
      <c r="F131" s="90" t="s">
        <v>254</v>
      </c>
      <c r="G131" s="90"/>
      <c r="H131" s="90"/>
      <c r="I131" s="90"/>
      <c r="J131" s="90"/>
      <c r="K131" s="90"/>
      <c r="L131" s="90"/>
      <c r="AM131" s="17">
        <v>61</v>
      </c>
      <c r="AN131" s="17" t="s">
        <v>255</v>
      </c>
      <c r="AY131" s="27">
        <v>100</v>
      </c>
      <c r="AZ131" s="17" t="s">
        <v>588</v>
      </c>
      <c r="BA131" s="55"/>
      <c r="BB131" s="17"/>
      <c r="BC131" s="17"/>
      <c r="BD131" s="17"/>
      <c r="BE131" s="37"/>
      <c r="BH131" s="23">
        <v>61</v>
      </c>
      <c r="BI131" s="17" t="s">
        <v>685</v>
      </c>
      <c r="BO131">
        <v>59</v>
      </c>
      <c r="BP131" s="17" t="s">
        <v>58</v>
      </c>
      <c r="BS131" s="24"/>
      <c r="CV131" s="17"/>
      <c r="CW131" s="17"/>
      <c r="CX131" s="17"/>
      <c r="CY131" s="17"/>
      <c r="CZ131" s="17"/>
      <c r="DA131" s="17"/>
      <c r="DB131" s="17"/>
    </row>
    <row r="132" spans="1:106">
      <c r="A132" s="58">
        <v>13</v>
      </c>
      <c r="B132">
        <v>10</v>
      </c>
      <c r="C132" s="24" t="s">
        <v>232</v>
      </c>
      <c r="E132" s="23">
        <v>2</v>
      </c>
      <c r="F132" s="90" t="s">
        <v>256</v>
      </c>
      <c r="G132" s="90"/>
      <c r="H132" s="90"/>
      <c r="I132" s="90"/>
      <c r="J132" s="90"/>
      <c r="K132" s="90"/>
      <c r="L132" s="90"/>
      <c r="AM132" s="17">
        <v>62</v>
      </c>
      <c r="AN132" s="17" t="s">
        <v>257</v>
      </c>
      <c r="AY132" s="27">
        <v>101</v>
      </c>
      <c r="AZ132" s="17" t="s">
        <v>588</v>
      </c>
      <c r="BA132" s="55"/>
      <c r="BB132" s="17"/>
      <c r="BC132" s="17"/>
      <c r="BD132" s="17"/>
      <c r="BE132" s="37"/>
      <c r="BH132" s="23">
        <v>62</v>
      </c>
      <c r="BI132" s="17" t="s">
        <v>685</v>
      </c>
      <c r="BO132">
        <v>60</v>
      </c>
      <c r="BP132" s="17" t="s">
        <v>58</v>
      </c>
      <c r="BS132" s="24"/>
      <c r="CV132" s="17"/>
      <c r="CW132" s="17"/>
      <c r="CX132" s="17"/>
      <c r="CY132" s="17"/>
      <c r="CZ132" s="17"/>
      <c r="DA132" s="17"/>
      <c r="DB132" s="17"/>
    </row>
    <row r="133" spans="1:106">
      <c r="A133" s="58">
        <v>14</v>
      </c>
      <c r="B133">
        <v>10</v>
      </c>
      <c r="C133" s="24" t="s">
        <v>232</v>
      </c>
      <c r="E133" s="23">
        <v>3</v>
      </c>
      <c r="F133" s="90" t="s">
        <v>258</v>
      </c>
      <c r="G133" s="90"/>
      <c r="H133" s="90"/>
      <c r="I133" s="90"/>
      <c r="J133" s="90"/>
      <c r="K133" s="90"/>
      <c r="L133" s="90"/>
      <c r="AM133" s="17">
        <v>63</v>
      </c>
      <c r="AN133" s="17" t="s">
        <v>259</v>
      </c>
      <c r="AY133" s="27">
        <v>102</v>
      </c>
      <c r="AZ133" s="17" t="s">
        <v>588</v>
      </c>
      <c r="BA133" s="55"/>
      <c r="BB133" s="17"/>
      <c r="BC133" s="17"/>
      <c r="BD133" s="17"/>
      <c r="BE133" s="37"/>
      <c r="BH133" s="23">
        <v>63</v>
      </c>
      <c r="BI133" s="17" t="s">
        <v>685</v>
      </c>
      <c r="BO133">
        <v>61</v>
      </c>
      <c r="BP133" s="17" t="s">
        <v>58</v>
      </c>
      <c r="BS133" s="24"/>
      <c r="CV133" s="17"/>
      <c r="CW133" s="17"/>
      <c r="CX133" s="17"/>
      <c r="CY133" s="17"/>
      <c r="CZ133" s="17"/>
      <c r="DA133" s="17"/>
      <c r="DB133" s="17"/>
    </row>
    <row r="134" spans="1:106">
      <c r="A134" s="58">
        <v>15</v>
      </c>
      <c r="B134">
        <v>10</v>
      </c>
      <c r="C134" s="24" t="s">
        <v>232</v>
      </c>
      <c r="E134" s="23">
        <v>4</v>
      </c>
      <c r="F134" s="90" t="s">
        <v>260</v>
      </c>
      <c r="G134" s="90"/>
      <c r="H134" s="90"/>
      <c r="I134" s="90"/>
      <c r="J134" s="90"/>
      <c r="K134" s="90"/>
      <c r="L134" s="90"/>
      <c r="AM134" s="17">
        <v>64</v>
      </c>
      <c r="AN134" s="17" t="s">
        <v>261</v>
      </c>
      <c r="AY134" s="27">
        <v>103</v>
      </c>
      <c r="AZ134" s="17" t="s">
        <v>588</v>
      </c>
      <c r="BA134" s="55"/>
      <c r="BB134" s="17"/>
      <c r="BC134" s="17"/>
      <c r="BD134" s="17"/>
      <c r="BE134" s="37"/>
      <c r="BH134" s="23">
        <v>64</v>
      </c>
      <c r="BI134" s="17" t="s">
        <v>686</v>
      </c>
      <c r="BO134">
        <v>62</v>
      </c>
      <c r="BP134" s="17" t="s">
        <v>58</v>
      </c>
      <c r="BS134" s="24"/>
      <c r="CV134" s="17"/>
      <c r="CW134" s="17"/>
      <c r="CX134" s="17"/>
      <c r="CY134" s="17"/>
      <c r="CZ134" s="17"/>
      <c r="DA134" s="17"/>
      <c r="DB134" s="17"/>
    </row>
    <row r="135" spans="1:106">
      <c r="A135" s="58">
        <v>16</v>
      </c>
      <c r="B135">
        <v>10</v>
      </c>
      <c r="C135" s="24" t="s">
        <v>232</v>
      </c>
      <c r="E135" s="23">
        <v>5</v>
      </c>
      <c r="F135" s="90" t="s">
        <v>262</v>
      </c>
      <c r="G135" s="90"/>
      <c r="H135" s="90"/>
      <c r="I135" s="90"/>
      <c r="J135" s="90"/>
      <c r="K135" s="90"/>
      <c r="L135" s="90"/>
      <c r="AM135" s="17">
        <v>65</v>
      </c>
      <c r="AN135" s="17" t="s">
        <v>263</v>
      </c>
      <c r="AY135" s="27">
        <v>104</v>
      </c>
      <c r="AZ135" s="17" t="s">
        <v>588</v>
      </c>
      <c r="BA135" s="55"/>
      <c r="BB135" s="17"/>
      <c r="BC135" s="17"/>
      <c r="BD135" s="17"/>
      <c r="BE135" s="37"/>
      <c r="BH135" s="23">
        <v>65</v>
      </c>
      <c r="BI135" s="17" t="s">
        <v>686</v>
      </c>
      <c r="BO135">
        <v>63</v>
      </c>
      <c r="BP135" s="17" t="s">
        <v>58</v>
      </c>
      <c r="BS135" s="24"/>
      <c r="CV135" s="17"/>
      <c r="CW135" s="17"/>
      <c r="CX135" s="17"/>
      <c r="CY135" s="17"/>
      <c r="CZ135" s="17"/>
      <c r="DA135" s="17"/>
      <c r="DB135" s="17"/>
    </row>
    <row r="136" spans="1:106">
      <c r="A136" s="58">
        <v>17</v>
      </c>
      <c r="B136">
        <v>10</v>
      </c>
      <c r="C136" s="24" t="s">
        <v>232</v>
      </c>
      <c r="E136" s="23">
        <v>6</v>
      </c>
      <c r="F136" s="90" t="s">
        <v>264</v>
      </c>
      <c r="G136" s="90"/>
      <c r="H136" s="90"/>
      <c r="I136" s="90"/>
      <c r="J136" s="90"/>
      <c r="K136" s="90"/>
      <c r="L136" s="90"/>
      <c r="AM136" s="17">
        <v>66</v>
      </c>
      <c r="AN136" s="17" t="s">
        <v>265</v>
      </c>
      <c r="AY136" s="27">
        <v>105</v>
      </c>
      <c r="AZ136" s="17" t="s">
        <v>588</v>
      </c>
      <c r="BA136" s="55"/>
      <c r="BB136" s="17"/>
      <c r="BC136" s="17"/>
      <c r="BD136" s="17"/>
      <c r="BE136" s="37"/>
      <c r="BH136" s="23">
        <v>66</v>
      </c>
      <c r="BI136" s="17" t="s">
        <v>686</v>
      </c>
      <c r="BO136">
        <v>64</v>
      </c>
      <c r="BP136" s="17" t="s">
        <v>58</v>
      </c>
      <c r="BS136" s="24"/>
      <c r="CV136" s="17"/>
      <c r="CW136" s="17"/>
      <c r="CX136" s="17"/>
      <c r="CY136" s="17"/>
      <c r="CZ136" s="17"/>
      <c r="DA136" s="17"/>
      <c r="DB136" s="17"/>
    </row>
    <row r="137" spans="1:106">
      <c r="A137" s="58">
        <v>18</v>
      </c>
      <c r="B137">
        <v>10</v>
      </c>
      <c r="C137" s="24" t="s">
        <v>232</v>
      </c>
      <c r="E137" s="23">
        <v>7</v>
      </c>
      <c r="F137" s="90" t="s">
        <v>266</v>
      </c>
      <c r="G137" s="90"/>
      <c r="H137" s="90"/>
      <c r="I137" s="90"/>
      <c r="J137" s="90"/>
      <c r="K137" s="90"/>
      <c r="L137" s="90"/>
      <c r="AM137" s="17">
        <v>67</v>
      </c>
      <c r="AN137" s="17" t="s">
        <v>267</v>
      </c>
      <c r="AY137" s="27">
        <v>106</v>
      </c>
      <c r="AZ137" s="17" t="s">
        <v>588</v>
      </c>
      <c r="BA137" s="55"/>
      <c r="BB137" s="17"/>
      <c r="BC137" s="17"/>
      <c r="BD137" s="17"/>
      <c r="BE137" s="37"/>
      <c r="BH137" s="23">
        <v>67</v>
      </c>
      <c r="BI137" s="17" t="s">
        <v>687</v>
      </c>
      <c r="BO137">
        <v>65</v>
      </c>
      <c r="BP137" s="17" t="s">
        <v>58</v>
      </c>
      <c r="BR137" s="17" t="s">
        <v>268</v>
      </c>
      <c r="BS137" s="24"/>
      <c r="CV137" s="17"/>
      <c r="CW137" s="17"/>
      <c r="CX137" s="17"/>
      <c r="CY137" s="17"/>
      <c r="CZ137" s="17"/>
      <c r="DA137" s="17"/>
      <c r="DB137" s="17"/>
    </row>
    <row r="138" spans="1:106">
      <c r="A138" s="58">
        <v>19</v>
      </c>
      <c r="B138">
        <v>10</v>
      </c>
      <c r="C138" s="24" t="s">
        <v>232</v>
      </c>
      <c r="E138" s="23">
        <v>8</v>
      </c>
      <c r="F138" s="90" t="s">
        <v>269</v>
      </c>
      <c r="G138" s="90"/>
      <c r="H138" s="90"/>
      <c r="I138" s="90"/>
      <c r="J138" s="90"/>
      <c r="K138" s="90"/>
      <c r="L138" s="90"/>
      <c r="AM138" s="17">
        <v>68</v>
      </c>
      <c r="AN138" s="17" t="s">
        <v>270</v>
      </c>
      <c r="AY138" s="27">
        <v>107</v>
      </c>
      <c r="AZ138" s="17" t="s">
        <v>588</v>
      </c>
      <c r="BA138" s="55"/>
      <c r="BB138" s="17"/>
      <c r="BC138" s="17"/>
      <c r="BD138" s="17"/>
      <c r="BE138" s="37"/>
      <c r="BH138" s="23">
        <v>68</v>
      </c>
      <c r="BI138" s="17" t="s">
        <v>687</v>
      </c>
      <c r="BO138">
        <v>66</v>
      </c>
      <c r="BP138" s="17" t="s">
        <v>71</v>
      </c>
      <c r="BR138">
        <v>1</v>
      </c>
      <c r="BS138" s="37" t="s">
        <v>33</v>
      </c>
      <c r="CV138" s="17"/>
      <c r="CW138" s="17"/>
      <c r="CX138" s="17"/>
      <c r="CY138" s="17"/>
      <c r="CZ138" s="17"/>
      <c r="DA138" s="17"/>
      <c r="DB138" s="17"/>
    </row>
    <row r="139" spans="1:106">
      <c r="A139" s="58">
        <v>20</v>
      </c>
      <c r="B139">
        <v>10</v>
      </c>
      <c r="C139" s="24" t="s">
        <v>232</v>
      </c>
      <c r="E139" s="23">
        <v>9</v>
      </c>
      <c r="F139" s="90" t="s">
        <v>271</v>
      </c>
      <c r="G139" s="90"/>
      <c r="H139" s="90"/>
      <c r="I139" s="90"/>
      <c r="J139" s="90"/>
      <c r="K139" s="90"/>
      <c r="L139" s="90"/>
      <c r="AM139" s="17">
        <v>69</v>
      </c>
      <c r="AN139" s="17" t="s">
        <v>272</v>
      </c>
      <c r="AY139" s="27">
        <v>108</v>
      </c>
      <c r="AZ139" s="17" t="s">
        <v>588</v>
      </c>
      <c r="BA139" s="55"/>
      <c r="BB139" s="17"/>
      <c r="BC139" s="17"/>
      <c r="BD139" s="17"/>
      <c r="BE139" s="37"/>
      <c r="BH139" s="23">
        <v>69</v>
      </c>
      <c r="BI139" s="17" t="s">
        <v>687</v>
      </c>
      <c r="BO139">
        <v>67</v>
      </c>
      <c r="BP139" s="17" t="s">
        <v>71</v>
      </c>
      <c r="BR139">
        <v>2</v>
      </c>
      <c r="BS139" s="37" t="s">
        <v>33</v>
      </c>
      <c r="CV139" s="17"/>
      <c r="CW139" s="17"/>
      <c r="CX139" s="17"/>
      <c r="CY139" s="17"/>
      <c r="CZ139" s="17"/>
      <c r="DA139" s="17"/>
      <c r="DB139" s="17"/>
    </row>
    <row r="140" spans="1:106">
      <c r="A140" s="58">
        <v>21</v>
      </c>
      <c r="B140">
        <v>10</v>
      </c>
      <c r="C140" s="24" t="s">
        <v>232</v>
      </c>
      <c r="E140" s="23">
        <v>10</v>
      </c>
      <c r="F140" s="90" t="s">
        <v>273</v>
      </c>
      <c r="G140" s="90"/>
      <c r="H140" s="90"/>
      <c r="I140" s="90"/>
      <c r="J140" s="90"/>
      <c r="K140" s="90"/>
      <c r="L140" s="90"/>
      <c r="AM140" s="17">
        <v>70</v>
      </c>
      <c r="AN140" s="17" t="s">
        <v>274</v>
      </c>
      <c r="AY140" s="27">
        <v>109</v>
      </c>
      <c r="AZ140" s="17" t="s">
        <v>588</v>
      </c>
      <c r="BA140" s="55"/>
      <c r="BB140" s="17"/>
      <c r="BC140" s="17"/>
      <c r="BD140" s="17"/>
      <c r="BE140" s="37"/>
      <c r="BH140" s="23">
        <v>70</v>
      </c>
      <c r="BI140" s="10" t="str">
        <f t="shared" ref="BI140:BI145" ca="1" si="78">CONCATENATE(BJ140,BL140)</f>
        <v>Couteau-ceinturon (+1)</v>
      </c>
      <c r="BJ140" s="17" t="s">
        <v>688</v>
      </c>
      <c r="BK140">
        <f t="shared" ref="BK140:BK145" ca="1" si="79">RANDBETWEEN(1,10)</f>
        <v>4</v>
      </c>
      <c r="BL140" t="str">
        <f t="shared" ref="BL140:BL145" ca="1" si="80">VLOOKUP(BK140,$BR$138:$BS$147,2,FALSE())</f>
        <v xml:space="preserve"> (+1)</v>
      </c>
      <c r="BO140">
        <v>68</v>
      </c>
      <c r="BP140" s="17" t="s">
        <v>71</v>
      </c>
      <c r="BR140">
        <v>3</v>
      </c>
      <c r="BS140" s="37" t="s">
        <v>33</v>
      </c>
      <c r="CV140" s="17"/>
      <c r="CW140" s="17"/>
      <c r="CX140" s="17"/>
      <c r="CY140" s="17"/>
      <c r="CZ140" s="17"/>
      <c r="DA140" s="17"/>
      <c r="DB140" s="17"/>
    </row>
    <row r="141" spans="1:106">
      <c r="A141" s="58">
        <v>22</v>
      </c>
      <c r="B141">
        <v>10</v>
      </c>
      <c r="C141" s="24" t="s">
        <v>232</v>
      </c>
      <c r="E141" s="23">
        <v>11</v>
      </c>
      <c r="F141" s="90" t="s">
        <v>275</v>
      </c>
      <c r="G141" s="90"/>
      <c r="H141" s="90"/>
      <c r="I141" s="90"/>
      <c r="J141" s="90"/>
      <c r="K141" s="90"/>
      <c r="L141" s="90"/>
      <c r="AM141" s="17">
        <v>71</v>
      </c>
      <c r="AN141" s="17" t="s">
        <v>276</v>
      </c>
      <c r="AY141" s="27">
        <v>110</v>
      </c>
      <c r="AZ141" s="17" t="s">
        <v>588</v>
      </c>
      <c r="BA141" s="55"/>
      <c r="BB141" s="17"/>
      <c r="BC141" s="17"/>
      <c r="BD141" s="17"/>
      <c r="BE141" s="37"/>
      <c r="BH141" s="23">
        <v>71</v>
      </c>
      <c r="BI141" s="10" t="str">
        <f t="shared" ca="1" si="78"/>
        <v>Couteau-ceinturon (+1)</v>
      </c>
      <c r="BJ141" s="17" t="s">
        <v>688</v>
      </c>
      <c r="BK141">
        <f t="shared" ca="1" si="79"/>
        <v>2</v>
      </c>
      <c r="BL141" t="str">
        <f t="shared" ca="1" si="80"/>
        <v xml:space="preserve"> (+1)</v>
      </c>
      <c r="BO141">
        <v>69</v>
      </c>
      <c r="BP141" s="17" t="s">
        <v>71</v>
      </c>
      <c r="BR141">
        <v>4</v>
      </c>
      <c r="BS141" s="37" t="s">
        <v>33</v>
      </c>
      <c r="CV141" s="17"/>
      <c r="CW141" s="17"/>
      <c r="CX141" s="17"/>
      <c r="CY141" s="17"/>
      <c r="CZ141" s="17"/>
      <c r="DA141" s="17"/>
      <c r="DB141" s="17"/>
    </row>
    <row r="142" spans="1:106">
      <c r="A142" s="58">
        <v>23</v>
      </c>
      <c r="B142">
        <v>10</v>
      </c>
      <c r="C142" s="24" t="s">
        <v>232</v>
      </c>
      <c r="E142" s="59">
        <v>12</v>
      </c>
      <c r="F142" s="91" t="s">
        <v>277</v>
      </c>
      <c r="G142" s="91"/>
      <c r="H142" s="91"/>
      <c r="I142" s="91"/>
      <c r="J142" s="91"/>
      <c r="K142" s="91"/>
      <c r="L142" s="91"/>
      <c r="AM142" s="17">
        <v>72</v>
      </c>
      <c r="AN142" s="17" t="s">
        <v>278</v>
      </c>
      <c r="AY142" s="27">
        <v>111</v>
      </c>
      <c r="AZ142" s="17" t="s">
        <v>588</v>
      </c>
      <c r="BA142" s="55"/>
      <c r="BB142" s="17"/>
      <c r="BC142" s="17"/>
      <c r="BD142" s="17"/>
      <c r="BE142" s="37"/>
      <c r="BH142" s="23">
        <v>72</v>
      </c>
      <c r="BI142" s="10" t="str">
        <f t="shared" ca="1" si="78"/>
        <v>Couteau-ceinturon (+2)</v>
      </c>
      <c r="BJ142" s="17" t="s">
        <v>688</v>
      </c>
      <c r="BK142">
        <f t="shared" ca="1" si="79"/>
        <v>6</v>
      </c>
      <c r="BL142" t="str">
        <f t="shared" ca="1" si="80"/>
        <v xml:space="preserve"> (+2)</v>
      </c>
      <c r="BO142">
        <v>70</v>
      </c>
      <c r="BP142" s="17" t="s">
        <v>71</v>
      </c>
      <c r="BR142">
        <v>5</v>
      </c>
      <c r="BS142" s="37" t="s">
        <v>58</v>
      </c>
      <c r="CV142" s="17"/>
      <c r="CW142" s="17"/>
      <c r="CX142" s="17"/>
      <c r="CY142" s="17"/>
      <c r="CZ142" s="17"/>
      <c r="DA142" s="17"/>
      <c r="DB142" s="17"/>
    </row>
    <row r="143" spans="1:106">
      <c r="A143" s="58">
        <v>24</v>
      </c>
      <c r="B143">
        <v>10</v>
      </c>
      <c r="C143" s="24" t="s">
        <v>232</v>
      </c>
      <c r="AM143" s="17">
        <v>73</v>
      </c>
      <c r="AN143" s="17" t="s">
        <v>279</v>
      </c>
      <c r="AY143" s="27">
        <v>112</v>
      </c>
      <c r="AZ143" s="17" t="s">
        <v>588</v>
      </c>
      <c r="BA143" s="55"/>
      <c r="BB143" s="17"/>
      <c r="BC143" s="17"/>
      <c r="BD143" s="17"/>
      <c r="BE143" s="37"/>
      <c r="BH143" s="23">
        <v>73</v>
      </c>
      <c r="BI143" s="10" t="str">
        <f t="shared" ca="1" si="78"/>
        <v>Couteau-ceinturon (+1)</v>
      </c>
      <c r="BJ143" s="17" t="s">
        <v>688</v>
      </c>
      <c r="BK143">
        <f t="shared" ca="1" si="79"/>
        <v>3</v>
      </c>
      <c r="BL143" t="str">
        <f t="shared" ca="1" si="80"/>
        <v xml:space="preserve"> (+1)</v>
      </c>
      <c r="BO143">
        <v>71</v>
      </c>
      <c r="BP143" s="17" t="s">
        <v>71</v>
      </c>
      <c r="BR143">
        <v>6</v>
      </c>
      <c r="BS143" s="37" t="s">
        <v>58</v>
      </c>
      <c r="CV143" s="17"/>
      <c r="CW143" s="17"/>
      <c r="CX143" s="17"/>
      <c r="CY143" s="17"/>
      <c r="CZ143" s="17"/>
      <c r="DA143" s="17"/>
      <c r="DB143" s="17"/>
    </row>
    <row r="144" spans="1:106">
      <c r="A144" s="58">
        <v>25</v>
      </c>
      <c r="B144">
        <v>10</v>
      </c>
      <c r="C144" s="24" t="s">
        <v>232</v>
      </c>
      <c r="E144" s="96" t="s">
        <v>280</v>
      </c>
      <c r="F144" s="96"/>
      <c r="G144" s="96"/>
      <c r="H144" s="96"/>
      <c r="I144" s="96"/>
      <c r="J144" s="96"/>
      <c r="K144" s="96"/>
      <c r="L144" s="62">
        <f ca="1">RANDBETWEEN(1,13)</f>
        <v>13</v>
      </c>
      <c r="AM144" s="17">
        <v>74</v>
      </c>
      <c r="AN144" s="17" t="s">
        <v>281</v>
      </c>
      <c r="AY144" s="27">
        <v>113</v>
      </c>
      <c r="AZ144" s="17" t="s">
        <v>588</v>
      </c>
      <c r="BA144" s="55"/>
      <c r="BB144" s="17"/>
      <c r="BC144" s="17"/>
      <c r="BD144" s="17"/>
      <c r="BE144" s="37"/>
      <c r="BH144" s="23">
        <v>74</v>
      </c>
      <c r="BI144" s="10" t="str">
        <f t="shared" ca="1" si="78"/>
        <v>Couteau-ceinturon (+1)</v>
      </c>
      <c r="BJ144" s="17" t="s">
        <v>688</v>
      </c>
      <c r="BK144">
        <f t="shared" ca="1" si="79"/>
        <v>1</v>
      </c>
      <c r="BL144" t="str">
        <f t="shared" ca="1" si="80"/>
        <v xml:space="preserve"> (+1)</v>
      </c>
      <c r="BO144">
        <v>72</v>
      </c>
      <c r="BP144" s="17" t="s">
        <v>71</v>
      </c>
      <c r="BR144">
        <v>7</v>
      </c>
      <c r="BS144" s="37" t="s">
        <v>58</v>
      </c>
      <c r="CV144" s="17"/>
      <c r="CW144" s="17"/>
      <c r="CX144" s="17"/>
      <c r="CY144" s="17"/>
      <c r="CZ144" s="17"/>
      <c r="DA144" s="17"/>
      <c r="DB144" s="17"/>
    </row>
    <row r="145" spans="1:106">
      <c r="A145" s="58">
        <v>26</v>
      </c>
      <c r="B145">
        <v>50</v>
      </c>
      <c r="C145" s="24" t="s">
        <v>282</v>
      </c>
      <c r="E145" s="23">
        <v>1</v>
      </c>
      <c r="F145" s="90" t="s">
        <v>283</v>
      </c>
      <c r="G145" s="90"/>
      <c r="H145" s="90"/>
      <c r="I145" s="90"/>
      <c r="J145" s="90"/>
      <c r="K145" s="90"/>
      <c r="L145" s="90"/>
      <c r="AM145" s="17">
        <v>75</v>
      </c>
      <c r="AN145" s="17" t="s">
        <v>284</v>
      </c>
      <c r="AY145" s="27">
        <v>114</v>
      </c>
      <c r="AZ145" s="17" t="s">
        <v>588</v>
      </c>
      <c r="BA145" s="55"/>
      <c r="BB145" s="17"/>
      <c r="BC145" s="17"/>
      <c r="BD145" s="17"/>
      <c r="BE145" s="37"/>
      <c r="BH145" s="23">
        <v>75</v>
      </c>
      <c r="BI145" s="10" t="str">
        <f t="shared" ca="1" si="78"/>
        <v>Couteau-ceinturon (+2)</v>
      </c>
      <c r="BJ145" s="17" t="s">
        <v>688</v>
      </c>
      <c r="BK145">
        <f t="shared" ca="1" si="79"/>
        <v>6</v>
      </c>
      <c r="BL145" t="str">
        <f t="shared" ca="1" si="80"/>
        <v xml:space="preserve"> (+2)</v>
      </c>
      <c r="BO145">
        <v>73</v>
      </c>
      <c r="BP145" s="17" t="s">
        <v>71</v>
      </c>
      <c r="BR145">
        <v>8</v>
      </c>
      <c r="BS145" s="37" t="s">
        <v>71</v>
      </c>
      <c r="CV145" s="17"/>
      <c r="CW145" s="17"/>
      <c r="CX145" s="17"/>
      <c r="CY145" s="17"/>
      <c r="CZ145" s="17"/>
      <c r="DA145" s="17"/>
      <c r="DB145" s="17"/>
    </row>
    <row r="146" spans="1:106">
      <c r="A146" s="58">
        <v>27</v>
      </c>
      <c r="B146">
        <v>50</v>
      </c>
      <c r="C146" s="24" t="s">
        <v>282</v>
      </c>
      <c r="E146" s="23">
        <v>2</v>
      </c>
      <c r="F146" s="90" t="s">
        <v>285</v>
      </c>
      <c r="G146" s="90"/>
      <c r="H146" s="90"/>
      <c r="I146" s="90"/>
      <c r="J146" s="90"/>
      <c r="K146" s="90"/>
      <c r="L146" s="90"/>
      <c r="AM146" s="17">
        <v>76</v>
      </c>
      <c r="AN146" s="17" t="s">
        <v>286</v>
      </c>
      <c r="AY146" s="27">
        <v>115</v>
      </c>
      <c r="AZ146" s="17" t="s">
        <v>588</v>
      </c>
      <c r="BA146" s="55"/>
      <c r="BB146" s="17"/>
      <c r="BC146" s="17"/>
      <c r="BD146" s="17"/>
      <c r="BE146" s="37"/>
      <c r="BH146" s="23">
        <v>76</v>
      </c>
      <c r="BI146" s="17" t="s">
        <v>689</v>
      </c>
      <c r="BO146">
        <v>74</v>
      </c>
      <c r="BP146" s="17" t="s">
        <v>71</v>
      </c>
      <c r="BR146">
        <v>9</v>
      </c>
      <c r="BS146" s="37" t="s">
        <v>71</v>
      </c>
      <c r="CV146" s="17"/>
      <c r="CW146" s="17"/>
      <c r="CX146" s="17"/>
      <c r="CY146" s="17"/>
      <c r="CZ146" s="17"/>
      <c r="DA146" s="17"/>
      <c r="DB146" s="17"/>
    </row>
    <row r="147" spans="1:106">
      <c r="A147" s="58">
        <v>28</v>
      </c>
      <c r="B147">
        <v>50</v>
      </c>
      <c r="C147" s="24" t="s">
        <v>282</v>
      </c>
      <c r="E147" s="23">
        <v>3</v>
      </c>
      <c r="F147" s="90" t="s">
        <v>287</v>
      </c>
      <c r="G147" s="90"/>
      <c r="H147" s="90"/>
      <c r="I147" s="90"/>
      <c r="J147" s="90"/>
      <c r="K147" s="90"/>
      <c r="L147" s="90"/>
      <c r="AM147" s="17">
        <v>77</v>
      </c>
      <c r="AN147" s="17" t="s">
        <v>288</v>
      </c>
      <c r="AY147" s="27">
        <v>116</v>
      </c>
      <c r="AZ147" s="17" t="s">
        <v>589</v>
      </c>
      <c r="BA147" s="55"/>
      <c r="BB147" s="17"/>
      <c r="BC147" s="17"/>
      <c r="BD147" s="17"/>
      <c r="BE147" s="37"/>
      <c r="BH147" s="23">
        <v>77</v>
      </c>
      <c r="BI147" s="17" t="s">
        <v>689</v>
      </c>
      <c r="BO147">
        <v>75</v>
      </c>
      <c r="BP147" s="17" t="s">
        <v>71</v>
      </c>
      <c r="BR147">
        <v>10</v>
      </c>
      <c r="BS147" s="37" t="s">
        <v>82</v>
      </c>
      <c r="CV147" s="17"/>
      <c r="CW147" s="17"/>
      <c r="CX147" s="17"/>
      <c r="CY147" s="17"/>
      <c r="CZ147" s="17"/>
      <c r="DA147" s="17"/>
      <c r="DB147" s="17"/>
    </row>
    <row r="148" spans="1:106">
      <c r="A148" s="58">
        <v>29</v>
      </c>
      <c r="B148">
        <v>50</v>
      </c>
      <c r="C148" s="24" t="s">
        <v>282</v>
      </c>
      <c r="E148" s="23">
        <v>4</v>
      </c>
      <c r="F148" s="90" t="s">
        <v>289</v>
      </c>
      <c r="G148" s="90"/>
      <c r="H148" s="90"/>
      <c r="I148" s="90"/>
      <c r="J148" s="90"/>
      <c r="K148" s="90"/>
      <c r="L148" s="90"/>
      <c r="AM148" s="17">
        <v>78</v>
      </c>
      <c r="AN148" s="17" t="s">
        <v>290</v>
      </c>
      <c r="AY148" s="27">
        <v>117</v>
      </c>
      <c r="AZ148" s="17" t="s">
        <v>589</v>
      </c>
      <c r="BA148" s="55"/>
      <c r="BB148" s="17"/>
      <c r="BC148" s="17"/>
      <c r="BD148" s="17"/>
      <c r="BE148" s="37"/>
      <c r="BH148" s="23">
        <v>78</v>
      </c>
      <c r="BI148" s="17" t="s">
        <v>689</v>
      </c>
      <c r="BO148">
        <v>76</v>
      </c>
      <c r="BP148" s="17" t="s">
        <v>71</v>
      </c>
      <c r="BS148" s="24"/>
      <c r="CV148" s="17"/>
      <c r="CW148" s="17"/>
      <c r="CX148" s="17"/>
      <c r="CY148" s="17"/>
      <c r="CZ148" s="17"/>
      <c r="DA148" s="17"/>
      <c r="DB148" s="17"/>
    </row>
    <row r="149" spans="1:106">
      <c r="A149" s="58">
        <v>30</v>
      </c>
      <c r="B149">
        <v>50</v>
      </c>
      <c r="C149" s="24" t="s">
        <v>282</v>
      </c>
      <c r="E149" s="23">
        <v>5</v>
      </c>
      <c r="F149" s="90" t="s">
        <v>291</v>
      </c>
      <c r="G149" s="90"/>
      <c r="H149" s="90"/>
      <c r="I149" s="90"/>
      <c r="J149" s="90"/>
      <c r="K149" s="90"/>
      <c r="L149" s="90"/>
      <c r="AM149" s="17">
        <v>79</v>
      </c>
      <c r="AN149" s="17" t="s">
        <v>292</v>
      </c>
      <c r="AY149" s="27">
        <v>118</v>
      </c>
      <c r="AZ149" s="17" t="s">
        <v>589</v>
      </c>
      <c r="BA149" s="55"/>
      <c r="BB149" s="17"/>
      <c r="BC149" s="17"/>
      <c r="BD149" s="17"/>
      <c r="BE149" s="37"/>
      <c r="BH149" s="23">
        <v>79</v>
      </c>
      <c r="BI149" s="17" t="s">
        <v>689</v>
      </c>
      <c r="BO149">
        <v>77</v>
      </c>
      <c r="BP149" s="17" t="s">
        <v>71</v>
      </c>
      <c r="BR149" s="17" t="s">
        <v>293</v>
      </c>
      <c r="BS149" s="24"/>
      <c r="CV149" s="17"/>
      <c r="CW149" s="17"/>
      <c r="CX149" s="17"/>
      <c r="CY149" s="17"/>
      <c r="CZ149" s="17"/>
      <c r="DA149" s="17"/>
      <c r="DB149" s="17"/>
    </row>
    <row r="150" spans="1:106">
      <c r="A150" s="58">
        <v>31</v>
      </c>
      <c r="B150">
        <v>50</v>
      </c>
      <c r="C150" s="24" t="s">
        <v>282</v>
      </c>
      <c r="E150" s="23">
        <v>6</v>
      </c>
      <c r="F150" s="90" t="s">
        <v>294</v>
      </c>
      <c r="G150" s="90"/>
      <c r="H150" s="90"/>
      <c r="I150" s="90"/>
      <c r="J150" s="90"/>
      <c r="K150" s="90"/>
      <c r="L150" s="90"/>
      <c r="AM150" s="17">
        <v>80</v>
      </c>
      <c r="AN150" s="17" t="s">
        <v>295</v>
      </c>
      <c r="AY150" s="27">
        <v>119</v>
      </c>
      <c r="AZ150" s="17" t="s">
        <v>589</v>
      </c>
      <c r="BA150" s="55"/>
      <c r="BB150" s="17"/>
      <c r="BC150" s="17"/>
      <c r="BD150" s="17"/>
      <c r="BE150" s="37"/>
      <c r="BH150" s="23">
        <v>80</v>
      </c>
      <c r="BI150" s="17" t="s">
        <v>689</v>
      </c>
      <c r="BO150">
        <v>78</v>
      </c>
      <c r="BP150" s="17" t="s">
        <v>71</v>
      </c>
      <c r="BR150">
        <v>1</v>
      </c>
      <c r="BS150" s="37" t="s">
        <v>33</v>
      </c>
      <c r="CV150" s="17"/>
      <c r="CW150" s="17"/>
      <c r="CX150" s="17"/>
      <c r="CY150" s="17"/>
      <c r="CZ150" s="17"/>
      <c r="DA150" s="17"/>
      <c r="DB150" s="17"/>
    </row>
    <row r="151" spans="1:106">
      <c r="A151" s="58">
        <v>32</v>
      </c>
      <c r="B151">
        <v>50</v>
      </c>
      <c r="C151" s="24" t="s">
        <v>282</v>
      </c>
      <c r="E151" s="23">
        <v>7</v>
      </c>
      <c r="F151" s="90" t="s">
        <v>296</v>
      </c>
      <c r="G151" s="90"/>
      <c r="H151" s="90"/>
      <c r="I151" s="90"/>
      <c r="J151" s="90"/>
      <c r="K151" s="90"/>
      <c r="L151" s="90"/>
      <c r="AM151" s="17">
        <v>81</v>
      </c>
      <c r="AN151" s="17" t="s">
        <v>297</v>
      </c>
      <c r="AY151" s="27">
        <v>120</v>
      </c>
      <c r="AZ151" s="17" t="s">
        <v>589</v>
      </c>
      <c r="BA151" s="55"/>
      <c r="BB151" s="17"/>
      <c r="BC151" s="17"/>
      <c r="BD151" s="17"/>
      <c r="BE151" s="37"/>
      <c r="BH151" s="23">
        <v>81</v>
      </c>
      <c r="BI151" s="17" t="s">
        <v>689</v>
      </c>
      <c r="BO151">
        <v>79</v>
      </c>
      <c r="BP151" s="17" t="s">
        <v>71</v>
      </c>
      <c r="BR151">
        <v>2</v>
      </c>
      <c r="BS151" s="37" t="s">
        <v>33</v>
      </c>
      <c r="CV151" s="17"/>
      <c r="CW151" s="17"/>
      <c r="CX151" s="17"/>
      <c r="CY151" s="17"/>
      <c r="CZ151" s="17"/>
      <c r="DA151" s="17"/>
      <c r="DB151" s="17"/>
    </row>
    <row r="152" spans="1:106">
      <c r="A152" s="58">
        <v>33</v>
      </c>
      <c r="B152">
        <v>50</v>
      </c>
      <c r="C152" s="24" t="s">
        <v>282</v>
      </c>
      <c r="E152" s="23">
        <v>8</v>
      </c>
      <c r="F152" s="90" t="s">
        <v>298</v>
      </c>
      <c r="G152" s="90"/>
      <c r="H152" s="90"/>
      <c r="I152" s="90"/>
      <c r="J152" s="90"/>
      <c r="K152" s="90"/>
      <c r="L152" s="90"/>
      <c r="AM152" s="17">
        <v>82</v>
      </c>
      <c r="AN152" s="17" t="s">
        <v>299</v>
      </c>
      <c r="AU152" s="17"/>
      <c r="AV152" s="17"/>
      <c r="AW152" s="17"/>
      <c r="AX152" s="17"/>
      <c r="AY152" s="27">
        <v>121</v>
      </c>
      <c r="AZ152" s="17" t="s">
        <v>589</v>
      </c>
      <c r="BA152" s="55"/>
      <c r="BB152" s="17"/>
      <c r="BC152" s="17"/>
      <c r="BD152" s="17"/>
      <c r="BE152" s="37"/>
      <c r="BH152" s="23">
        <v>82</v>
      </c>
      <c r="BI152" s="17" t="s">
        <v>690</v>
      </c>
      <c r="BO152">
        <v>80</v>
      </c>
      <c r="BP152" s="17" t="s">
        <v>71</v>
      </c>
      <c r="BR152">
        <v>3</v>
      </c>
      <c r="BS152" s="37" t="s">
        <v>33</v>
      </c>
      <c r="CV152" s="17"/>
      <c r="CW152" s="17"/>
      <c r="CX152" s="17"/>
      <c r="CY152" s="17"/>
      <c r="CZ152" s="17"/>
      <c r="DA152" s="17"/>
      <c r="DB152" s="17"/>
    </row>
    <row r="153" spans="1:106">
      <c r="A153" s="58">
        <v>34</v>
      </c>
      <c r="B153">
        <v>50</v>
      </c>
      <c r="C153" s="24" t="s">
        <v>282</v>
      </c>
      <c r="E153" s="23">
        <v>9</v>
      </c>
      <c r="F153" s="90" t="s">
        <v>300</v>
      </c>
      <c r="G153" s="90"/>
      <c r="H153" s="90"/>
      <c r="I153" s="90"/>
      <c r="J153" s="90"/>
      <c r="K153" s="90"/>
      <c r="L153" s="90"/>
      <c r="AM153" s="17">
        <v>83</v>
      </c>
      <c r="AN153" s="17" t="s">
        <v>301</v>
      </c>
      <c r="AU153" s="17"/>
      <c r="AV153" s="17"/>
      <c r="AW153" s="17"/>
      <c r="AX153" s="17"/>
      <c r="AY153" s="27">
        <v>122</v>
      </c>
      <c r="AZ153" s="17" t="s">
        <v>589</v>
      </c>
      <c r="BA153" s="55"/>
      <c r="BB153" s="17"/>
      <c r="BC153" s="17"/>
      <c r="BD153" s="17"/>
      <c r="BE153" s="37"/>
      <c r="BH153" s="23">
        <v>83</v>
      </c>
      <c r="BI153" s="17" t="s">
        <v>690</v>
      </c>
      <c r="BO153">
        <v>81</v>
      </c>
      <c r="BP153" s="17" t="s">
        <v>71</v>
      </c>
      <c r="BR153">
        <v>4</v>
      </c>
      <c r="BS153" s="37" t="s">
        <v>33</v>
      </c>
      <c r="CV153" s="17"/>
      <c r="CW153" s="17"/>
      <c r="CX153" s="17"/>
      <c r="CY153" s="17"/>
      <c r="CZ153" s="17"/>
      <c r="DA153" s="17"/>
      <c r="DB153" s="17"/>
    </row>
    <row r="154" spans="1:106">
      <c r="A154" s="58">
        <v>35</v>
      </c>
      <c r="B154">
        <v>50</v>
      </c>
      <c r="C154" s="24" t="s">
        <v>282</v>
      </c>
      <c r="E154" s="23">
        <v>10</v>
      </c>
      <c r="F154" s="90" t="s">
        <v>302</v>
      </c>
      <c r="G154" s="90"/>
      <c r="H154" s="90"/>
      <c r="I154" s="90"/>
      <c r="J154" s="90"/>
      <c r="K154" s="90"/>
      <c r="L154" s="90"/>
      <c r="AM154" s="17">
        <v>84</v>
      </c>
      <c r="AN154" s="17" t="s">
        <v>303</v>
      </c>
      <c r="AU154" s="17"/>
      <c r="AV154" s="17"/>
      <c r="AW154" s="17"/>
      <c r="AX154" s="17"/>
      <c r="AY154" s="27">
        <v>123</v>
      </c>
      <c r="AZ154" s="17" t="s">
        <v>589</v>
      </c>
      <c r="BA154" s="55"/>
      <c r="BB154" s="17"/>
      <c r="BC154" s="17"/>
      <c r="BD154" s="17"/>
      <c r="BE154" s="37"/>
      <c r="BH154" s="23">
        <v>84</v>
      </c>
      <c r="BI154" s="17" t="s">
        <v>690</v>
      </c>
      <c r="BO154">
        <v>82</v>
      </c>
      <c r="BP154" s="17" t="s">
        <v>71</v>
      </c>
      <c r="BR154">
        <v>5</v>
      </c>
      <c r="BS154" s="37" t="s">
        <v>33</v>
      </c>
      <c r="CV154" s="17"/>
      <c r="CW154" s="17"/>
      <c r="CX154" s="17"/>
      <c r="CY154" s="17"/>
      <c r="CZ154" s="17"/>
      <c r="DA154" s="17"/>
      <c r="DB154" s="17"/>
    </row>
    <row r="155" spans="1:106">
      <c r="A155" s="58">
        <v>36</v>
      </c>
      <c r="B155">
        <v>50</v>
      </c>
      <c r="C155" s="24" t="s">
        <v>282</v>
      </c>
      <c r="E155" s="23">
        <v>11</v>
      </c>
      <c r="F155" s="90" t="s">
        <v>304</v>
      </c>
      <c r="G155" s="90"/>
      <c r="H155" s="90"/>
      <c r="I155" s="90"/>
      <c r="J155" s="90"/>
      <c r="K155" s="90"/>
      <c r="L155" s="90"/>
      <c r="AM155" s="17">
        <v>85</v>
      </c>
      <c r="AN155" s="17" t="s">
        <v>305</v>
      </c>
      <c r="AY155" s="27">
        <v>124</v>
      </c>
      <c r="AZ155" s="17" t="s">
        <v>589</v>
      </c>
      <c r="BA155" s="55"/>
      <c r="BB155" s="17"/>
      <c r="BC155" s="17"/>
      <c r="BD155" s="17"/>
      <c r="BE155" s="37"/>
      <c r="BH155" s="23">
        <v>85</v>
      </c>
      <c r="BI155" s="10" t="str">
        <f t="shared" ref="BI155:BI160" ca="1" si="81">CONCATENATE(BJ155,BL155)</f>
        <v>Bâton magique (+5)</v>
      </c>
      <c r="BJ155" s="17" t="s">
        <v>691</v>
      </c>
      <c r="BK155">
        <f t="shared" ref="BK155:BK160" ca="1" si="82">RANDBETWEEN(1,20)</f>
        <v>20</v>
      </c>
      <c r="BL155" t="str">
        <f t="shared" ref="BL155:BL160" ca="1" si="83">VLOOKUP(BK155,$BR$150:$BS$169,2,FALSE())</f>
        <v xml:space="preserve"> (+5)</v>
      </c>
      <c r="BO155">
        <v>83</v>
      </c>
      <c r="BP155" s="17" t="s">
        <v>71</v>
      </c>
      <c r="BR155">
        <v>6</v>
      </c>
      <c r="BS155" s="37" t="s">
        <v>58</v>
      </c>
      <c r="CV155" s="17"/>
      <c r="CW155" s="17"/>
      <c r="CX155" s="17"/>
      <c r="CY155" s="17"/>
      <c r="CZ155" s="17"/>
      <c r="DA155" s="17"/>
      <c r="DB155" s="17"/>
    </row>
    <row r="156" spans="1:106">
      <c r="A156" s="58">
        <v>37</v>
      </c>
      <c r="B156">
        <v>50</v>
      </c>
      <c r="C156" s="24" t="s">
        <v>282</v>
      </c>
      <c r="E156" s="23">
        <v>12</v>
      </c>
      <c r="F156" s="90" t="s">
        <v>306</v>
      </c>
      <c r="G156" s="90"/>
      <c r="H156" s="90"/>
      <c r="I156" s="90"/>
      <c r="J156" s="90"/>
      <c r="K156" s="90"/>
      <c r="L156" s="90"/>
      <c r="AM156" s="17">
        <v>86</v>
      </c>
      <c r="AN156" s="17" t="s">
        <v>307</v>
      </c>
      <c r="AY156" s="27">
        <v>125</v>
      </c>
      <c r="AZ156" s="17" t="s">
        <v>589</v>
      </c>
      <c r="BA156" s="55"/>
      <c r="BB156" s="17"/>
      <c r="BC156" s="17"/>
      <c r="BD156" s="17"/>
      <c r="BE156" s="37"/>
      <c r="BH156" s="23">
        <v>86</v>
      </c>
      <c r="BI156" s="10" t="str">
        <f t="shared" ca="1" si="81"/>
        <v>Bâton magique (+3)</v>
      </c>
      <c r="BJ156" s="17" t="s">
        <v>691</v>
      </c>
      <c r="BK156">
        <f t="shared" ca="1" si="82"/>
        <v>13</v>
      </c>
      <c r="BL156" t="str">
        <f t="shared" ca="1" si="83"/>
        <v xml:space="preserve"> (+3)</v>
      </c>
      <c r="BO156">
        <v>84</v>
      </c>
      <c r="BP156" s="17" t="s">
        <v>71</v>
      </c>
      <c r="BR156">
        <v>7</v>
      </c>
      <c r="BS156" s="37" t="s">
        <v>58</v>
      </c>
      <c r="CV156" s="17"/>
      <c r="CW156" s="17"/>
      <c r="CX156" s="17"/>
      <c r="CY156" s="17"/>
      <c r="CZ156" s="17"/>
      <c r="DA156" s="17"/>
      <c r="DB156" s="17"/>
    </row>
    <row r="157" spans="1:106">
      <c r="A157" s="58">
        <v>38</v>
      </c>
      <c r="B157">
        <v>50</v>
      </c>
      <c r="C157" s="24" t="s">
        <v>282</v>
      </c>
      <c r="E157" s="59">
        <v>13</v>
      </c>
      <c r="F157" s="91" t="s">
        <v>308</v>
      </c>
      <c r="G157" s="91"/>
      <c r="H157" s="91"/>
      <c r="I157" s="91"/>
      <c r="J157" s="91"/>
      <c r="K157" s="91"/>
      <c r="L157" s="91"/>
      <c r="AM157" s="17">
        <v>87</v>
      </c>
      <c r="AN157" s="17" t="s">
        <v>309</v>
      </c>
      <c r="AY157" s="27">
        <v>126</v>
      </c>
      <c r="AZ157" s="17" t="s">
        <v>589</v>
      </c>
      <c r="BA157" s="55"/>
      <c r="BB157" s="17"/>
      <c r="BC157" s="17"/>
      <c r="BD157" s="17"/>
      <c r="BE157" s="37"/>
      <c r="BH157" s="23">
        <v>87</v>
      </c>
      <c r="BI157" s="10" t="str">
        <f t="shared" ca="1" si="81"/>
        <v>Bâton magique (+3)</v>
      </c>
      <c r="BJ157" s="17" t="s">
        <v>691</v>
      </c>
      <c r="BK157">
        <f t="shared" ca="1" si="82"/>
        <v>12</v>
      </c>
      <c r="BL157" t="str">
        <f t="shared" ca="1" si="83"/>
        <v xml:space="preserve"> (+3)</v>
      </c>
      <c r="BO157">
        <v>85</v>
      </c>
      <c r="BP157" s="17" t="s">
        <v>71</v>
      </c>
      <c r="BR157">
        <v>8</v>
      </c>
      <c r="BS157" s="37" t="s">
        <v>58</v>
      </c>
      <c r="CV157" s="17"/>
      <c r="CW157" s="17"/>
      <c r="CX157" s="17"/>
      <c r="CY157" s="17"/>
      <c r="CZ157" s="17"/>
      <c r="DA157" s="17"/>
      <c r="DB157" s="17"/>
    </row>
    <row r="158" spans="1:106">
      <c r="A158" s="58">
        <v>39</v>
      </c>
      <c r="B158">
        <v>50</v>
      </c>
      <c r="C158" s="24" t="s">
        <v>282</v>
      </c>
      <c r="AM158" s="17">
        <v>88</v>
      </c>
      <c r="AN158" s="17" t="s">
        <v>310</v>
      </c>
      <c r="AY158" s="27">
        <v>127</v>
      </c>
      <c r="AZ158" s="17" t="s">
        <v>589</v>
      </c>
      <c r="BA158" s="55"/>
      <c r="BB158" s="17"/>
      <c r="BC158" s="17"/>
      <c r="BD158" s="17"/>
      <c r="BE158" s="37"/>
      <c r="BH158" s="23">
        <v>88</v>
      </c>
      <c r="BI158" s="10" t="str">
        <f t="shared" ca="1" si="81"/>
        <v>Bâton magique (+5)</v>
      </c>
      <c r="BJ158" s="17" t="s">
        <v>691</v>
      </c>
      <c r="BK158">
        <f t="shared" ca="1" si="82"/>
        <v>19</v>
      </c>
      <c r="BL158" t="str">
        <f t="shared" ca="1" si="83"/>
        <v xml:space="preserve"> (+5)</v>
      </c>
      <c r="BO158">
        <v>86</v>
      </c>
      <c r="BP158" s="17" t="s">
        <v>71</v>
      </c>
      <c r="BR158">
        <v>9</v>
      </c>
      <c r="BS158" s="37" t="s">
        <v>58</v>
      </c>
      <c r="CV158" s="17"/>
      <c r="CW158" s="17"/>
      <c r="CX158" s="17"/>
      <c r="CY158" s="17"/>
      <c r="CZ158" s="17"/>
      <c r="DA158" s="17"/>
      <c r="DB158" s="17"/>
    </row>
    <row r="159" spans="1:106">
      <c r="A159" s="58">
        <v>40</v>
      </c>
      <c r="B159">
        <v>50</v>
      </c>
      <c r="C159" s="24" t="s">
        <v>282</v>
      </c>
      <c r="E159" s="98" t="s">
        <v>311</v>
      </c>
      <c r="F159" s="98"/>
      <c r="G159" s="98"/>
      <c r="H159" s="98"/>
      <c r="I159" s="98"/>
      <c r="J159" s="98"/>
      <c r="K159" s="98"/>
      <c r="L159" s="63">
        <f ca="1">RANDBETWEEN(1,10)</f>
        <v>9</v>
      </c>
      <c r="AM159" s="17">
        <v>89</v>
      </c>
      <c r="AN159" s="17" t="s">
        <v>312</v>
      </c>
      <c r="AY159" s="27">
        <v>128</v>
      </c>
      <c r="AZ159" s="17" t="s">
        <v>589</v>
      </c>
      <c r="BA159" s="55"/>
      <c r="BB159" s="17"/>
      <c r="BC159" s="17"/>
      <c r="BD159" s="17"/>
      <c r="BE159" s="37"/>
      <c r="BH159" s="23">
        <v>89</v>
      </c>
      <c r="BI159" s="10" t="str">
        <f t="shared" ca="1" si="81"/>
        <v>Bâton magique (+1)</v>
      </c>
      <c r="BJ159" s="17" t="s">
        <v>691</v>
      </c>
      <c r="BK159">
        <f t="shared" ca="1" si="82"/>
        <v>4</v>
      </c>
      <c r="BL159" t="str">
        <f t="shared" ca="1" si="83"/>
        <v xml:space="preserve"> (+1)</v>
      </c>
      <c r="BO159">
        <v>87</v>
      </c>
      <c r="BP159" s="17" t="s">
        <v>71</v>
      </c>
      <c r="BR159">
        <v>10</v>
      </c>
      <c r="BS159" s="37" t="s">
        <v>71</v>
      </c>
      <c r="CV159" s="17"/>
      <c r="CW159" s="17"/>
      <c r="CX159" s="17"/>
      <c r="CY159" s="17"/>
      <c r="CZ159" s="17"/>
      <c r="DA159" s="17"/>
      <c r="DB159" s="17"/>
    </row>
    <row r="160" spans="1:106">
      <c r="A160" s="58">
        <v>41</v>
      </c>
      <c r="B160">
        <v>50</v>
      </c>
      <c r="C160" s="24" t="s">
        <v>282</v>
      </c>
      <c r="E160" s="23">
        <v>1</v>
      </c>
      <c r="F160" s="90" t="s">
        <v>313</v>
      </c>
      <c r="G160" s="90"/>
      <c r="H160" s="90"/>
      <c r="I160" s="90"/>
      <c r="J160" s="90"/>
      <c r="K160" s="90"/>
      <c r="L160" s="90"/>
      <c r="AM160" s="17">
        <v>90</v>
      </c>
      <c r="AN160" s="17" t="s">
        <v>314</v>
      </c>
      <c r="AY160" s="27">
        <v>129</v>
      </c>
      <c r="AZ160" s="17" t="s">
        <v>589</v>
      </c>
      <c r="BA160" s="55"/>
      <c r="BB160" s="17"/>
      <c r="BC160" s="17"/>
      <c r="BD160" s="17"/>
      <c r="BE160" s="37"/>
      <c r="BH160" s="23">
        <v>90</v>
      </c>
      <c r="BI160" s="10" t="str">
        <f t="shared" ca="1" si="81"/>
        <v>Bâton magique (+5)</v>
      </c>
      <c r="BJ160" s="17" t="s">
        <v>691</v>
      </c>
      <c r="BK160">
        <f t="shared" ca="1" si="82"/>
        <v>18</v>
      </c>
      <c r="BL160" t="str">
        <f t="shared" ca="1" si="83"/>
        <v xml:space="preserve"> (+5)</v>
      </c>
      <c r="BO160">
        <v>88</v>
      </c>
      <c r="BP160" s="17" t="s">
        <v>71</v>
      </c>
      <c r="BR160">
        <v>11</v>
      </c>
      <c r="BS160" s="37" t="s">
        <v>71</v>
      </c>
      <c r="CV160" s="17"/>
      <c r="CW160" s="17"/>
      <c r="CX160" s="17"/>
      <c r="CY160" s="17"/>
      <c r="CZ160" s="17"/>
      <c r="DA160" s="17"/>
      <c r="DB160" s="17"/>
    </row>
    <row r="161" spans="1:106">
      <c r="A161" s="58">
        <v>42</v>
      </c>
      <c r="B161">
        <v>50</v>
      </c>
      <c r="C161" s="24" t="s">
        <v>282</v>
      </c>
      <c r="E161" s="23">
        <v>2</v>
      </c>
      <c r="F161" s="90" t="s">
        <v>315</v>
      </c>
      <c r="G161" s="90"/>
      <c r="H161" s="90"/>
      <c r="I161" s="90"/>
      <c r="J161" s="90"/>
      <c r="K161" s="90"/>
      <c r="L161" s="90"/>
      <c r="AM161" s="17">
        <v>91</v>
      </c>
      <c r="AN161" s="17" t="s">
        <v>316</v>
      </c>
      <c r="AY161" s="27">
        <v>130</v>
      </c>
      <c r="AZ161" s="17" t="s">
        <v>589</v>
      </c>
      <c r="BA161" s="55"/>
      <c r="BB161" s="17"/>
      <c r="BC161" s="17"/>
      <c r="BD161" s="17"/>
      <c r="BE161" s="37"/>
      <c r="BH161" s="23">
        <v>91</v>
      </c>
      <c r="BI161" s="17" t="s">
        <v>692</v>
      </c>
      <c r="BO161">
        <v>89</v>
      </c>
      <c r="BP161" s="17" t="s">
        <v>71</v>
      </c>
      <c r="BR161">
        <v>12</v>
      </c>
      <c r="BS161" s="37" t="s">
        <v>71</v>
      </c>
      <c r="CV161" s="17"/>
      <c r="CW161" s="17"/>
      <c r="CX161" s="17"/>
      <c r="CY161" s="17"/>
      <c r="CZ161" s="17"/>
      <c r="DA161" s="17"/>
      <c r="DB161" s="17"/>
    </row>
    <row r="162" spans="1:106">
      <c r="A162" s="58">
        <v>43</v>
      </c>
      <c r="B162">
        <v>50</v>
      </c>
      <c r="C162" s="24" t="s">
        <v>282</v>
      </c>
      <c r="E162" s="23">
        <v>3</v>
      </c>
      <c r="F162" s="90" t="s">
        <v>317</v>
      </c>
      <c r="G162" s="90"/>
      <c r="H162" s="90"/>
      <c r="I162" s="90"/>
      <c r="J162" s="90"/>
      <c r="K162" s="90"/>
      <c r="L162" s="90"/>
      <c r="AM162" s="17">
        <v>92</v>
      </c>
      <c r="AN162" s="17" t="s">
        <v>318</v>
      </c>
      <c r="AY162" s="27">
        <v>131</v>
      </c>
      <c r="AZ162" s="17" t="s">
        <v>589</v>
      </c>
      <c r="BA162" s="55"/>
      <c r="BB162" s="17"/>
      <c r="BC162" s="17"/>
      <c r="BD162" s="17"/>
      <c r="BE162" s="37"/>
      <c r="BH162" s="23">
        <v>92</v>
      </c>
      <c r="BI162" s="17" t="s">
        <v>692</v>
      </c>
      <c r="BO162">
        <v>90</v>
      </c>
      <c r="BP162" s="17" t="s">
        <v>71</v>
      </c>
      <c r="BR162">
        <v>13</v>
      </c>
      <c r="BS162" s="37" t="s">
        <v>71</v>
      </c>
      <c r="CV162" s="17"/>
      <c r="CW162" s="17"/>
      <c r="CX162" s="17"/>
      <c r="CY162" s="17"/>
      <c r="CZ162" s="17"/>
      <c r="DA162" s="17"/>
      <c r="DB162" s="17"/>
    </row>
    <row r="163" spans="1:106">
      <c r="A163" s="58">
        <v>44</v>
      </c>
      <c r="B163">
        <v>50</v>
      </c>
      <c r="C163" s="24" t="s">
        <v>282</v>
      </c>
      <c r="E163" s="23">
        <v>4</v>
      </c>
      <c r="F163" s="90" t="s">
        <v>319</v>
      </c>
      <c r="G163" s="90"/>
      <c r="H163" s="90"/>
      <c r="I163" s="90"/>
      <c r="J163" s="90"/>
      <c r="K163" s="90"/>
      <c r="L163" s="90"/>
      <c r="AM163" s="17">
        <v>93</v>
      </c>
      <c r="AN163" s="17" t="s">
        <v>320</v>
      </c>
      <c r="AY163" s="27">
        <v>132</v>
      </c>
      <c r="AZ163" s="17" t="s">
        <v>589</v>
      </c>
      <c r="BA163" s="55"/>
      <c r="BB163" s="17"/>
      <c r="BC163" s="17"/>
      <c r="BD163" s="17"/>
      <c r="BE163" s="37"/>
      <c r="BH163" s="23">
        <v>93</v>
      </c>
      <c r="BI163" s="17" t="s">
        <v>692</v>
      </c>
      <c r="BO163">
        <v>91</v>
      </c>
      <c r="BP163" s="17" t="s">
        <v>82</v>
      </c>
      <c r="BR163">
        <v>14</v>
      </c>
      <c r="BS163" s="37" t="s">
        <v>82</v>
      </c>
      <c r="CV163" s="17"/>
      <c r="CW163" s="17"/>
      <c r="CX163" s="17"/>
      <c r="CY163" s="17"/>
      <c r="CZ163" s="17"/>
      <c r="DA163" s="17"/>
      <c r="DB163" s="17"/>
    </row>
    <row r="164" spans="1:106">
      <c r="A164" s="58">
        <v>45</v>
      </c>
      <c r="B164">
        <v>50</v>
      </c>
      <c r="C164" s="24" t="s">
        <v>282</v>
      </c>
      <c r="E164" s="23">
        <v>5</v>
      </c>
      <c r="F164" s="90" t="s">
        <v>321</v>
      </c>
      <c r="G164" s="90"/>
      <c r="H164" s="90"/>
      <c r="I164" s="90"/>
      <c r="J164" s="90"/>
      <c r="K164" s="90"/>
      <c r="L164" s="90"/>
      <c r="AM164" s="17">
        <v>94</v>
      </c>
      <c r="AN164" s="17" t="s">
        <v>322</v>
      </c>
      <c r="AY164" s="27">
        <v>133</v>
      </c>
      <c r="AZ164" s="17" t="s">
        <v>589</v>
      </c>
      <c r="BA164" s="55"/>
      <c r="BB164" s="17"/>
      <c r="BC164" s="17"/>
      <c r="BD164" s="17"/>
      <c r="BE164" s="37"/>
      <c r="BH164" s="23">
        <v>94</v>
      </c>
      <c r="BI164" s="17" t="s">
        <v>720</v>
      </c>
      <c r="BO164">
        <v>92</v>
      </c>
      <c r="BP164" s="17" t="s">
        <v>82</v>
      </c>
      <c r="BR164">
        <v>15</v>
      </c>
      <c r="BS164" s="37" t="s">
        <v>82</v>
      </c>
      <c r="CV164" s="17"/>
      <c r="CW164" s="17"/>
      <c r="CX164" s="17"/>
      <c r="CY164" s="17"/>
      <c r="CZ164" s="17"/>
      <c r="DA164" s="17"/>
      <c r="DB164" s="17"/>
    </row>
    <row r="165" spans="1:106">
      <c r="A165" s="58">
        <v>46</v>
      </c>
      <c r="B165">
        <v>50</v>
      </c>
      <c r="C165" s="24" t="s">
        <v>282</v>
      </c>
      <c r="E165" s="23">
        <v>6</v>
      </c>
      <c r="F165" s="90" t="s">
        <v>323</v>
      </c>
      <c r="G165" s="90"/>
      <c r="H165" s="90"/>
      <c r="I165" s="90"/>
      <c r="J165" s="90"/>
      <c r="K165" s="90"/>
      <c r="L165" s="90"/>
      <c r="AM165" s="17">
        <v>95</v>
      </c>
      <c r="AN165" s="17" t="s">
        <v>324</v>
      </c>
      <c r="AY165" s="27">
        <v>134</v>
      </c>
      <c r="AZ165" s="17" t="s">
        <v>589</v>
      </c>
      <c r="BA165" s="55"/>
      <c r="BB165" s="17"/>
      <c r="BC165" s="17"/>
      <c r="BD165" s="17"/>
      <c r="BE165" s="37"/>
      <c r="BH165" s="23">
        <v>95</v>
      </c>
      <c r="BI165" s="17" t="s">
        <v>720</v>
      </c>
      <c r="BO165">
        <v>93</v>
      </c>
      <c r="BP165" s="17" t="s">
        <v>82</v>
      </c>
      <c r="BR165">
        <v>16</v>
      </c>
      <c r="BS165" s="37" t="s">
        <v>82</v>
      </c>
      <c r="CV165" s="17"/>
      <c r="CW165" s="17"/>
      <c r="CX165" s="17"/>
      <c r="CY165" s="17"/>
      <c r="CZ165" s="17"/>
      <c r="DA165" s="17"/>
      <c r="DB165" s="17"/>
    </row>
    <row r="166" spans="1:106">
      <c r="A166" s="58">
        <v>47</v>
      </c>
      <c r="B166">
        <v>50</v>
      </c>
      <c r="C166" s="24" t="s">
        <v>282</v>
      </c>
      <c r="E166" s="23">
        <v>7</v>
      </c>
      <c r="F166" s="90" t="s">
        <v>325</v>
      </c>
      <c r="G166" s="90"/>
      <c r="H166" s="90"/>
      <c r="I166" s="90"/>
      <c r="J166" s="90"/>
      <c r="K166" s="90"/>
      <c r="L166" s="90"/>
      <c r="AM166" s="17">
        <v>96</v>
      </c>
      <c r="AN166" s="17" t="s">
        <v>326</v>
      </c>
      <c r="AY166" s="27">
        <v>135</v>
      </c>
      <c r="AZ166" s="17" t="s">
        <v>590</v>
      </c>
      <c r="BA166" s="55"/>
      <c r="BB166" s="17"/>
      <c r="BC166" s="17"/>
      <c r="BD166" s="17"/>
      <c r="BE166" s="37"/>
      <c r="BH166" s="23">
        <v>96</v>
      </c>
      <c r="BI166" s="17" t="s">
        <v>720</v>
      </c>
      <c r="BO166">
        <v>94</v>
      </c>
      <c r="BP166" s="17" t="s">
        <v>82</v>
      </c>
      <c r="BR166">
        <v>17</v>
      </c>
      <c r="BS166" s="37" t="s">
        <v>82</v>
      </c>
      <c r="CV166" s="17"/>
      <c r="CW166" s="17"/>
      <c r="CX166" s="17"/>
      <c r="CY166" s="17"/>
      <c r="CZ166" s="17"/>
      <c r="DA166" s="17"/>
      <c r="DB166" s="17"/>
    </row>
    <row r="167" spans="1:106">
      <c r="A167" s="58">
        <v>48</v>
      </c>
      <c r="B167">
        <v>50</v>
      </c>
      <c r="C167" s="24" t="s">
        <v>282</v>
      </c>
      <c r="E167" s="23">
        <v>8</v>
      </c>
      <c r="F167" s="90" t="s">
        <v>327</v>
      </c>
      <c r="G167" s="90"/>
      <c r="H167" s="90"/>
      <c r="I167" s="90"/>
      <c r="J167" s="90"/>
      <c r="K167" s="90"/>
      <c r="L167" s="90"/>
      <c r="AM167" s="17">
        <v>97</v>
      </c>
      <c r="AN167" s="17" t="s">
        <v>328</v>
      </c>
      <c r="AY167" s="27">
        <v>136</v>
      </c>
      <c r="AZ167" s="17" t="s">
        <v>590</v>
      </c>
      <c r="BA167" s="55"/>
      <c r="BB167" s="17"/>
      <c r="BC167" s="17"/>
      <c r="BD167" s="17"/>
      <c r="BE167" s="37"/>
      <c r="BH167" s="23">
        <v>97</v>
      </c>
      <c r="BI167" s="17" t="s">
        <v>720</v>
      </c>
      <c r="BO167">
        <v>95</v>
      </c>
      <c r="BP167" s="17" t="s">
        <v>82</v>
      </c>
      <c r="BR167">
        <v>18</v>
      </c>
      <c r="BS167" s="37" t="s">
        <v>91</v>
      </c>
      <c r="CV167" s="17"/>
      <c r="CW167" s="17"/>
      <c r="CX167" s="17"/>
      <c r="CY167" s="17"/>
      <c r="CZ167" s="17"/>
      <c r="DA167" s="17"/>
      <c r="DB167" s="17"/>
    </row>
    <row r="168" spans="1:106">
      <c r="A168" s="58">
        <v>49</v>
      </c>
      <c r="B168">
        <v>50</v>
      </c>
      <c r="C168" s="24" t="s">
        <v>282</v>
      </c>
      <c r="E168" s="23">
        <v>9</v>
      </c>
      <c r="F168" s="90" t="s">
        <v>329</v>
      </c>
      <c r="G168" s="90"/>
      <c r="H168" s="90"/>
      <c r="I168" s="90"/>
      <c r="J168" s="90"/>
      <c r="K168" s="90"/>
      <c r="L168" s="90"/>
      <c r="AM168" s="17">
        <v>98</v>
      </c>
      <c r="AN168" s="17" t="s">
        <v>330</v>
      </c>
      <c r="AY168" s="27">
        <v>137</v>
      </c>
      <c r="AZ168" s="17" t="s">
        <v>590</v>
      </c>
      <c r="BA168" s="55"/>
      <c r="BB168" s="17"/>
      <c r="BC168" s="17"/>
      <c r="BD168" s="17"/>
      <c r="BE168" s="37"/>
      <c r="BH168" s="23">
        <v>98</v>
      </c>
      <c r="BI168" s="17" t="s">
        <v>720</v>
      </c>
      <c r="BO168">
        <v>96</v>
      </c>
      <c r="BP168" s="17" t="s">
        <v>82</v>
      </c>
      <c r="BR168">
        <v>19</v>
      </c>
      <c r="BS168" s="37" t="s">
        <v>91</v>
      </c>
      <c r="CV168" s="17"/>
      <c r="CW168" s="17"/>
      <c r="CX168" s="17"/>
      <c r="CY168" s="17"/>
      <c r="CZ168" s="17"/>
      <c r="DA168" s="17"/>
      <c r="DB168" s="17"/>
    </row>
    <row r="169" spans="1:106">
      <c r="A169" s="58">
        <v>50</v>
      </c>
      <c r="B169">
        <v>50</v>
      </c>
      <c r="C169" s="24" t="s">
        <v>282</v>
      </c>
      <c r="E169" s="59">
        <v>10</v>
      </c>
      <c r="F169" s="91" t="s">
        <v>331</v>
      </c>
      <c r="G169" s="91"/>
      <c r="H169" s="91"/>
      <c r="I169" s="91"/>
      <c r="J169" s="91"/>
      <c r="K169" s="91"/>
      <c r="L169" s="91"/>
      <c r="AM169" s="17">
        <v>99</v>
      </c>
      <c r="AN169" s="17" t="s">
        <v>332</v>
      </c>
      <c r="AY169" s="27">
        <v>138</v>
      </c>
      <c r="AZ169" s="17" t="s">
        <v>590</v>
      </c>
      <c r="BA169" s="55"/>
      <c r="BB169" s="17"/>
      <c r="BC169" s="17"/>
      <c r="BD169" s="17"/>
      <c r="BE169" s="37"/>
      <c r="BH169" s="23">
        <v>99</v>
      </c>
      <c r="BI169" s="17" t="s">
        <v>720</v>
      </c>
      <c r="BO169">
        <v>97</v>
      </c>
      <c r="BP169" s="17" t="s">
        <v>82</v>
      </c>
      <c r="BR169">
        <v>20</v>
      </c>
      <c r="BS169" s="37" t="s">
        <v>91</v>
      </c>
      <c r="CV169" s="17"/>
      <c r="CW169" s="17"/>
      <c r="CX169" s="17"/>
      <c r="CY169" s="17"/>
      <c r="CZ169" s="17"/>
      <c r="DA169" s="17"/>
      <c r="DB169" s="17"/>
    </row>
    <row r="170" spans="1:106">
      <c r="A170" s="58">
        <v>51</v>
      </c>
      <c r="B170">
        <v>100</v>
      </c>
      <c r="C170" s="24" t="s">
        <v>333</v>
      </c>
      <c r="AM170" s="17">
        <v>100</v>
      </c>
      <c r="AN170" s="17" t="s">
        <v>334</v>
      </c>
      <c r="AY170" s="27">
        <v>139</v>
      </c>
      <c r="AZ170" s="17" t="s">
        <v>590</v>
      </c>
      <c r="BA170" s="55"/>
      <c r="BB170" s="17"/>
      <c r="BC170" s="17"/>
      <c r="BD170" s="17"/>
      <c r="BE170" s="37"/>
      <c r="BH170" s="23">
        <v>100</v>
      </c>
      <c r="BI170" s="17" t="s">
        <v>693</v>
      </c>
      <c r="BO170">
        <v>98</v>
      </c>
      <c r="BP170" s="17" t="s">
        <v>82</v>
      </c>
      <c r="BS170" s="24"/>
      <c r="CV170" s="17"/>
      <c r="CW170" s="17"/>
      <c r="CX170" s="17"/>
      <c r="CY170" s="17"/>
      <c r="CZ170" s="17"/>
      <c r="DA170" s="17"/>
      <c r="DB170" s="17"/>
    </row>
    <row r="171" spans="1:106">
      <c r="A171" s="58">
        <v>52</v>
      </c>
      <c r="B171">
        <v>100</v>
      </c>
      <c r="C171" s="24" t="s">
        <v>333</v>
      </c>
      <c r="E171" s="97" t="s">
        <v>335</v>
      </c>
      <c r="F171" s="97"/>
      <c r="G171" s="97"/>
      <c r="H171" s="97"/>
      <c r="I171" s="97"/>
      <c r="J171" s="97"/>
      <c r="K171" s="97"/>
      <c r="L171" s="64">
        <f ca="1">RANDBETWEEN(1,6)</f>
        <v>5</v>
      </c>
      <c r="AY171" s="27">
        <v>140</v>
      </c>
      <c r="AZ171" s="17" t="s">
        <v>590</v>
      </c>
      <c r="BA171" s="55"/>
      <c r="BB171" s="17"/>
      <c r="BC171" s="17"/>
      <c r="BD171" s="17"/>
      <c r="BE171" s="37"/>
      <c r="BH171" s="23">
        <v>101</v>
      </c>
      <c r="BI171" s="17" t="s">
        <v>693</v>
      </c>
      <c r="BO171">
        <v>99</v>
      </c>
      <c r="BP171" s="17" t="s">
        <v>82</v>
      </c>
      <c r="BS171" s="24"/>
      <c r="CV171" s="17"/>
      <c r="CW171" s="17"/>
      <c r="CX171" s="17"/>
      <c r="CY171" s="17"/>
      <c r="CZ171" s="17"/>
      <c r="DA171" s="17"/>
      <c r="DB171" s="17"/>
    </row>
    <row r="172" spans="1:106">
      <c r="A172" s="58">
        <v>53</v>
      </c>
      <c r="B172">
        <v>100</v>
      </c>
      <c r="C172" s="24" t="s">
        <v>333</v>
      </c>
      <c r="E172" s="23">
        <v>1</v>
      </c>
      <c r="F172" s="90" t="s">
        <v>336</v>
      </c>
      <c r="G172" s="90"/>
      <c r="H172" s="90"/>
      <c r="I172" s="90"/>
      <c r="J172" s="90"/>
      <c r="K172" s="90"/>
      <c r="L172" s="90"/>
      <c r="AY172" s="27">
        <v>141</v>
      </c>
      <c r="AZ172" s="17" t="s">
        <v>590</v>
      </c>
      <c r="BA172" s="55"/>
      <c r="BB172" s="17"/>
      <c r="BC172" s="17"/>
      <c r="BD172" s="17"/>
      <c r="BE172" s="37"/>
      <c r="BH172" s="23">
        <v>102</v>
      </c>
      <c r="BI172" s="17" t="s">
        <v>693</v>
      </c>
      <c r="BO172">
        <v>100</v>
      </c>
      <c r="BP172" s="17" t="s">
        <v>82</v>
      </c>
      <c r="BS172" s="24"/>
      <c r="CV172" s="17"/>
      <c r="CW172" s="17"/>
      <c r="CX172" s="17"/>
      <c r="CY172" s="17"/>
      <c r="CZ172" s="17"/>
      <c r="DA172" s="17"/>
      <c r="DB172" s="17"/>
    </row>
    <row r="173" spans="1:106">
      <c r="A173" s="58">
        <v>54</v>
      </c>
      <c r="B173">
        <v>100</v>
      </c>
      <c r="C173" s="24" t="s">
        <v>333</v>
      </c>
      <c r="E173" s="23">
        <v>2</v>
      </c>
      <c r="F173" s="90" t="s">
        <v>323</v>
      </c>
      <c r="G173" s="90"/>
      <c r="H173" s="90"/>
      <c r="I173" s="90"/>
      <c r="J173" s="90"/>
      <c r="K173" s="90"/>
      <c r="L173" s="90"/>
      <c r="AY173" s="27">
        <v>142</v>
      </c>
      <c r="AZ173" s="17" t="s">
        <v>590</v>
      </c>
      <c r="BA173" s="55"/>
      <c r="BB173" s="17"/>
      <c r="BC173" s="17"/>
      <c r="BD173" s="17"/>
      <c r="BE173" s="37"/>
      <c r="BH173" s="23">
        <v>103</v>
      </c>
      <c r="BI173" s="17" t="s">
        <v>694</v>
      </c>
      <c r="BS173" s="24"/>
      <c r="CV173" s="17"/>
      <c r="CW173" s="17"/>
      <c r="CX173" s="17"/>
      <c r="CY173" s="17"/>
      <c r="CZ173" s="17"/>
      <c r="DA173" s="17"/>
      <c r="DB173" s="17"/>
    </row>
    <row r="174" spans="1:106">
      <c r="A174" s="58">
        <v>55</v>
      </c>
      <c r="B174">
        <v>100</v>
      </c>
      <c r="C174" s="24" t="s">
        <v>333</v>
      </c>
      <c r="E174" s="23">
        <v>3</v>
      </c>
      <c r="F174" s="90" t="s">
        <v>327</v>
      </c>
      <c r="G174" s="90"/>
      <c r="H174" s="90"/>
      <c r="I174" s="90"/>
      <c r="J174" s="90"/>
      <c r="K174" s="90"/>
      <c r="L174" s="90"/>
      <c r="AY174" s="27">
        <v>143</v>
      </c>
      <c r="AZ174" s="17" t="s">
        <v>590</v>
      </c>
      <c r="BA174" s="55"/>
      <c r="BB174" s="17"/>
      <c r="BC174" s="17"/>
      <c r="BD174" s="17"/>
      <c r="BE174" s="37"/>
      <c r="BH174" s="23">
        <v>104</v>
      </c>
      <c r="BI174" s="17" t="s">
        <v>694</v>
      </c>
      <c r="BS174" s="24"/>
      <c r="CV174" s="17"/>
      <c r="CW174" s="17"/>
      <c r="CX174" s="17"/>
      <c r="CY174" s="17"/>
      <c r="CZ174" s="17"/>
      <c r="DA174" s="17"/>
      <c r="DB174" s="17"/>
    </row>
    <row r="175" spans="1:106">
      <c r="A175" s="58">
        <v>56</v>
      </c>
      <c r="B175">
        <v>100</v>
      </c>
      <c r="C175" s="24" t="s">
        <v>333</v>
      </c>
      <c r="E175" s="23">
        <v>4</v>
      </c>
      <c r="F175" s="90" t="s">
        <v>337</v>
      </c>
      <c r="G175" s="90"/>
      <c r="H175" s="90"/>
      <c r="I175" s="90"/>
      <c r="J175" s="90"/>
      <c r="K175" s="90"/>
      <c r="L175" s="90"/>
      <c r="AY175" s="27">
        <v>144</v>
      </c>
      <c r="AZ175" s="17" t="s">
        <v>590</v>
      </c>
      <c r="BA175" s="55"/>
      <c r="BB175" s="17"/>
      <c r="BC175" s="17"/>
      <c r="BD175" s="17"/>
      <c r="BE175" s="37"/>
      <c r="BH175" s="23">
        <v>105</v>
      </c>
      <c r="BI175" s="17" t="s">
        <v>694</v>
      </c>
      <c r="BS175" s="24"/>
      <c r="CV175" s="17"/>
      <c r="CW175" s="17"/>
      <c r="CX175" s="17"/>
      <c r="CY175" s="17"/>
      <c r="CZ175" s="17"/>
      <c r="DA175" s="17"/>
      <c r="DB175" s="17"/>
    </row>
    <row r="176" spans="1:106">
      <c r="A176" s="58">
        <v>57</v>
      </c>
      <c r="B176">
        <v>100</v>
      </c>
      <c r="C176" s="24" t="s">
        <v>333</v>
      </c>
      <c r="E176" s="23">
        <v>5</v>
      </c>
      <c r="F176" s="90" t="s">
        <v>329</v>
      </c>
      <c r="G176" s="90"/>
      <c r="H176" s="90"/>
      <c r="I176" s="90"/>
      <c r="J176" s="90"/>
      <c r="K176" s="90"/>
      <c r="L176" s="90"/>
      <c r="AY176" s="27">
        <v>145</v>
      </c>
      <c r="AZ176" s="17" t="s">
        <v>590</v>
      </c>
      <c r="BA176" s="55"/>
      <c r="BB176" s="17"/>
      <c r="BC176" s="17"/>
      <c r="BD176" s="17"/>
      <c r="BE176" s="37"/>
      <c r="BH176" s="23">
        <v>106</v>
      </c>
      <c r="BI176" s="17" t="s">
        <v>695</v>
      </c>
      <c r="BS176" s="24"/>
      <c r="CV176" s="17"/>
      <c r="CW176" s="17"/>
      <c r="CX176" s="17"/>
      <c r="CY176" s="17"/>
      <c r="CZ176" s="17"/>
      <c r="DA176" s="17"/>
      <c r="DB176" s="17"/>
    </row>
    <row r="177" spans="1:71">
      <c r="A177" s="58">
        <v>58</v>
      </c>
      <c r="B177">
        <v>100</v>
      </c>
      <c r="C177" s="24" t="s">
        <v>333</v>
      </c>
      <c r="E177" s="59">
        <v>6</v>
      </c>
      <c r="F177" s="91" t="s">
        <v>338</v>
      </c>
      <c r="G177" s="91"/>
      <c r="H177" s="91"/>
      <c r="I177" s="91"/>
      <c r="J177" s="91"/>
      <c r="K177" s="91"/>
      <c r="L177" s="91"/>
      <c r="AY177" s="27">
        <v>146</v>
      </c>
      <c r="AZ177" s="17" t="s">
        <v>590</v>
      </c>
      <c r="BA177" s="55"/>
      <c r="BB177" s="17"/>
      <c r="BC177" s="17"/>
      <c r="BD177" s="17"/>
      <c r="BE177" s="37"/>
      <c r="BH177" s="23">
        <v>107</v>
      </c>
      <c r="BI177" s="17" t="s">
        <v>695</v>
      </c>
      <c r="BS177" s="24"/>
    </row>
    <row r="178" spans="1:71">
      <c r="A178" s="58">
        <v>59</v>
      </c>
      <c r="B178">
        <v>100</v>
      </c>
      <c r="C178" s="24" t="s">
        <v>333</v>
      </c>
      <c r="AY178" s="27">
        <v>147</v>
      </c>
      <c r="AZ178" s="17" t="s">
        <v>590</v>
      </c>
      <c r="BA178" s="55"/>
      <c r="BB178" s="17"/>
      <c r="BC178" s="17"/>
      <c r="BD178" s="17"/>
      <c r="BE178" s="37"/>
      <c r="BH178" s="23">
        <v>108</v>
      </c>
      <c r="BI178" s="17" t="s">
        <v>695</v>
      </c>
      <c r="BS178" s="24"/>
    </row>
    <row r="179" spans="1:71">
      <c r="A179" s="58">
        <v>60</v>
      </c>
      <c r="B179">
        <v>100</v>
      </c>
      <c r="C179" s="24" t="s">
        <v>333</v>
      </c>
      <c r="E179" s="99" t="s">
        <v>339</v>
      </c>
      <c r="F179" s="99"/>
      <c r="G179" s="99"/>
      <c r="H179" s="99"/>
      <c r="I179" s="99"/>
      <c r="J179" s="99"/>
      <c r="K179" s="99"/>
      <c r="L179" s="65">
        <f ca="1">RANDBETWEEN(1,6)</f>
        <v>2</v>
      </c>
      <c r="AY179" s="27">
        <v>148</v>
      </c>
      <c r="AZ179" s="17" t="s">
        <v>590</v>
      </c>
      <c r="BA179" s="55"/>
      <c r="BB179" s="17"/>
      <c r="BC179" s="17"/>
      <c r="BD179" s="17"/>
      <c r="BE179" s="37"/>
      <c r="BH179" s="23">
        <v>109</v>
      </c>
      <c r="BI179" s="17" t="s">
        <v>696</v>
      </c>
      <c r="BS179" s="24"/>
    </row>
    <row r="180" spans="1:71">
      <c r="A180" s="58">
        <v>61</v>
      </c>
      <c r="B180">
        <v>100</v>
      </c>
      <c r="C180" s="24" t="s">
        <v>333</v>
      </c>
      <c r="E180" s="23">
        <v>1</v>
      </c>
      <c r="F180" s="90" t="s">
        <v>340</v>
      </c>
      <c r="G180" s="90"/>
      <c r="H180" s="90"/>
      <c r="I180" s="90"/>
      <c r="J180" s="90"/>
      <c r="K180" s="90"/>
      <c r="L180" s="90"/>
      <c r="AY180" s="27">
        <v>149</v>
      </c>
      <c r="AZ180" s="17" t="s">
        <v>590</v>
      </c>
      <c r="BA180" s="55"/>
      <c r="BB180" s="17"/>
      <c r="BC180" s="17"/>
      <c r="BD180" s="17"/>
      <c r="BE180" s="37"/>
      <c r="BH180" s="23">
        <v>110</v>
      </c>
      <c r="BI180" s="17" t="s">
        <v>696</v>
      </c>
      <c r="BS180" s="24"/>
    </row>
    <row r="181" spans="1:71">
      <c r="A181" s="58">
        <v>62</v>
      </c>
      <c r="B181">
        <v>100</v>
      </c>
      <c r="C181" s="24" t="s">
        <v>333</v>
      </c>
      <c r="E181" s="23">
        <v>2</v>
      </c>
      <c r="F181" s="90" t="s">
        <v>341</v>
      </c>
      <c r="G181" s="90"/>
      <c r="H181" s="90"/>
      <c r="I181" s="90"/>
      <c r="J181" s="90"/>
      <c r="K181" s="90"/>
      <c r="L181" s="90"/>
      <c r="AY181" s="27">
        <v>150</v>
      </c>
      <c r="AZ181" s="17" t="s">
        <v>590</v>
      </c>
      <c r="BA181" s="55"/>
      <c r="BB181" s="17"/>
      <c r="BC181" s="17"/>
      <c r="BD181" s="17"/>
      <c r="BE181" s="37"/>
      <c r="BH181" s="23">
        <v>111</v>
      </c>
      <c r="BI181" s="17" t="s">
        <v>696</v>
      </c>
      <c r="BS181" s="24"/>
    </row>
    <row r="182" spans="1:71">
      <c r="A182" s="58">
        <v>63</v>
      </c>
      <c r="B182">
        <v>100</v>
      </c>
      <c r="C182" s="24" t="s">
        <v>333</v>
      </c>
      <c r="E182" s="23">
        <v>3</v>
      </c>
      <c r="F182" s="90" t="s">
        <v>342</v>
      </c>
      <c r="G182" s="90"/>
      <c r="H182" s="90"/>
      <c r="I182" s="90"/>
      <c r="J182" s="90"/>
      <c r="K182" s="90"/>
      <c r="L182" s="90"/>
      <c r="AY182" s="27">
        <v>151</v>
      </c>
      <c r="AZ182" s="17" t="s">
        <v>590</v>
      </c>
      <c r="BA182" s="55"/>
      <c r="BB182" s="17"/>
      <c r="BC182" s="17"/>
      <c r="BD182" s="17"/>
      <c r="BE182" s="37"/>
      <c r="BH182" s="23">
        <v>112</v>
      </c>
      <c r="BI182" s="17" t="s">
        <v>697</v>
      </c>
      <c r="BS182" s="24"/>
    </row>
    <row r="183" spans="1:71">
      <c r="A183" s="58">
        <v>64</v>
      </c>
      <c r="B183">
        <v>100</v>
      </c>
      <c r="C183" s="24" t="s">
        <v>333</v>
      </c>
      <c r="E183" s="23">
        <v>4</v>
      </c>
      <c r="F183" s="90" t="s">
        <v>343</v>
      </c>
      <c r="G183" s="90"/>
      <c r="H183" s="90"/>
      <c r="I183" s="90"/>
      <c r="J183" s="90"/>
      <c r="K183" s="90"/>
      <c r="L183" s="90"/>
      <c r="AY183" s="27">
        <v>152</v>
      </c>
      <c r="AZ183" s="17" t="s">
        <v>590</v>
      </c>
      <c r="BA183" s="55"/>
      <c r="BB183" s="17"/>
      <c r="BC183" s="17"/>
      <c r="BD183" s="17"/>
      <c r="BE183" s="37"/>
      <c r="BH183" s="23">
        <v>113</v>
      </c>
      <c r="BI183" s="17" t="s">
        <v>697</v>
      </c>
      <c r="BS183" s="24"/>
    </row>
    <row r="184" spans="1:71">
      <c r="A184" s="58">
        <v>65</v>
      </c>
      <c r="B184">
        <v>100</v>
      </c>
      <c r="C184" s="24" t="s">
        <v>333</v>
      </c>
      <c r="E184" s="23">
        <v>5</v>
      </c>
      <c r="F184" s="90" t="s">
        <v>344</v>
      </c>
      <c r="G184" s="90"/>
      <c r="H184" s="90"/>
      <c r="I184" s="90"/>
      <c r="J184" s="90"/>
      <c r="K184" s="90"/>
      <c r="L184" s="90"/>
      <c r="AY184" s="27">
        <v>153</v>
      </c>
      <c r="AZ184" s="17" t="s">
        <v>590</v>
      </c>
      <c r="BA184" s="55"/>
      <c r="BB184" s="17"/>
      <c r="BC184" s="17"/>
      <c r="BD184" s="17"/>
      <c r="BE184" s="37"/>
      <c r="BH184" s="23">
        <v>114</v>
      </c>
      <c r="BI184" s="17" t="s">
        <v>697</v>
      </c>
      <c r="BS184" s="24"/>
    </row>
    <row r="185" spans="1:71">
      <c r="A185" s="58">
        <v>66</v>
      </c>
      <c r="B185">
        <v>100</v>
      </c>
      <c r="C185" s="24" t="s">
        <v>333</v>
      </c>
      <c r="E185" s="59">
        <v>6</v>
      </c>
      <c r="F185" s="91" t="s">
        <v>345</v>
      </c>
      <c r="G185" s="91"/>
      <c r="H185" s="91"/>
      <c r="I185" s="91"/>
      <c r="J185" s="91"/>
      <c r="K185" s="91"/>
      <c r="L185" s="91"/>
      <c r="AY185" s="27">
        <v>154</v>
      </c>
      <c r="AZ185" s="17" t="s">
        <v>836</v>
      </c>
      <c r="BA185" s="55"/>
      <c r="BB185" s="17"/>
      <c r="BC185" s="17"/>
      <c r="BD185" s="17"/>
      <c r="BE185" s="37"/>
      <c r="BH185" s="23">
        <v>115</v>
      </c>
      <c r="BI185" s="17" t="s">
        <v>684</v>
      </c>
      <c r="BS185" s="24"/>
    </row>
    <row r="186" spans="1:71">
      <c r="A186" s="58">
        <v>67</v>
      </c>
      <c r="B186">
        <v>100</v>
      </c>
      <c r="C186" s="24" t="s">
        <v>333</v>
      </c>
      <c r="AY186" s="27">
        <v>155</v>
      </c>
      <c r="AZ186" s="17" t="s">
        <v>836</v>
      </c>
      <c r="BA186" s="55"/>
      <c r="BB186" s="17"/>
      <c r="BC186" s="17"/>
      <c r="BD186" s="17"/>
      <c r="BE186" s="37"/>
      <c r="BH186" s="23">
        <v>116</v>
      </c>
      <c r="BI186" s="17" t="s">
        <v>684</v>
      </c>
      <c r="BS186" s="24"/>
    </row>
    <row r="187" spans="1:71">
      <c r="A187" s="58">
        <v>68</v>
      </c>
      <c r="B187">
        <v>100</v>
      </c>
      <c r="C187" s="24" t="s">
        <v>333</v>
      </c>
      <c r="E187" s="100" t="s">
        <v>346</v>
      </c>
      <c r="F187" s="100"/>
      <c r="G187" s="100"/>
      <c r="H187" s="100"/>
      <c r="I187" s="100"/>
      <c r="J187" s="100"/>
      <c r="K187" s="100"/>
      <c r="L187" s="66">
        <f ca="1">RANDBETWEEN(1,8)</f>
        <v>5</v>
      </c>
      <c r="AY187" s="27">
        <v>156</v>
      </c>
      <c r="AZ187" s="17" t="s">
        <v>836</v>
      </c>
      <c r="BA187" s="55"/>
      <c r="BB187" s="17"/>
      <c r="BC187" s="17"/>
      <c r="BD187" s="17"/>
      <c r="BE187" s="37"/>
      <c r="BH187" s="23">
        <v>117</v>
      </c>
      <c r="BI187" s="17" t="s">
        <v>684</v>
      </c>
      <c r="BS187" s="24"/>
    </row>
    <row r="188" spans="1:71">
      <c r="A188" s="58">
        <v>69</v>
      </c>
      <c r="B188">
        <v>100</v>
      </c>
      <c r="C188" s="24" t="s">
        <v>333</v>
      </c>
      <c r="E188" s="23">
        <v>1</v>
      </c>
      <c r="F188" s="90" t="s">
        <v>347</v>
      </c>
      <c r="G188" s="90"/>
      <c r="H188" s="90"/>
      <c r="I188" s="90"/>
      <c r="J188" s="90"/>
      <c r="K188" s="90"/>
      <c r="L188" s="90"/>
      <c r="AY188" s="27">
        <v>157</v>
      </c>
      <c r="AZ188" s="17" t="s">
        <v>836</v>
      </c>
      <c r="BA188" s="55"/>
      <c r="BB188" s="17"/>
      <c r="BC188" s="17"/>
      <c r="BD188" s="17"/>
      <c r="BE188" s="37"/>
      <c r="BH188" s="23">
        <v>118</v>
      </c>
      <c r="BI188" s="17" t="s">
        <v>698</v>
      </c>
      <c r="BS188" s="24"/>
    </row>
    <row r="189" spans="1:71">
      <c r="A189" s="58">
        <v>70</v>
      </c>
      <c r="B189">
        <v>100</v>
      </c>
      <c r="C189" s="24" t="s">
        <v>333</v>
      </c>
      <c r="E189" s="23">
        <v>2</v>
      </c>
      <c r="F189" s="90" t="s">
        <v>348</v>
      </c>
      <c r="G189" s="90"/>
      <c r="H189" s="90"/>
      <c r="I189" s="90"/>
      <c r="J189" s="90"/>
      <c r="K189" s="90"/>
      <c r="L189" s="90"/>
      <c r="AY189" s="27">
        <v>158</v>
      </c>
      <c r="AZ189" s="17" t="s">
        <v>836</v>
      </c>
      <c r="BA189" s="55"/>
      <c r="BB189" s="17"/>
      <c r="BC189" s="17"/>
      <c r="BD189" s="17"/>
      <c r="BE189" s="37"/>
      <c r="BH189" s="23">
        <v>119</v>
      </c>
      <c r="BI189" s="17" t="s">
        <v>698</v>
      </c>
      <c r="BS189" s="24"/>
    </row>
    <row r="190" spans="1:71">
      <c r="A190" s="58">
        <v>71</v>
      </c>
      <c r="B190">
        <v>500</v>
      </c>
      <c r="C190" s="24" t="s">
        <v>349</v>
      </c>
      <c r="E190" s="23">
        <v>3</v>
      </c>
      <c r="F190" s="90" t="s">
        <v>350</v>
      </c>
      <c r="G190" s="90"/>
      <c r="H190" s="90"/>
      <c r="I190" s="90"/>
      <c r="J190" s="90"/>
      <c r="K190" s="90"/>
      <c r="L190" s="90"/>
      <c r="AY190" s="27">
        <v>159</v>
      </c>
      <c r="AZ190" s="17" t="s">
        <v>836</v>
      </c>
      <c r="BA190" s="55"/>
      <c r="BB190" s="17"/>
      <c r="BC190" s="17"/>
      <c r="BD190" s="17"/>
      <c r="BE190" s="37"/>
      <c r="BH190" s="23">
        <v>120</v>
      </c>
      <c r="BI190" s="17" t="s">
        <v>698</v>
      </c>
      <c r="BS190" s="24"/>
    </row>
    <row r="191" spans="1:71">
      <c r="A191" s="58">
        <v>72</v>
      </c>
      <c r="B191">
        <v>500</v>
      </c>
      <c r="C191" s="24" t="s">
        <v>349</v>
      </c>
      <c r="E191" s="23">
        <v>4</v>
      </c>
      <c r="F191" s="90" t="s">
        <v>351</v>
      </c>
      <c r="G191" s="90"/>
      <c r="H191" s="90"/>
      <c r="I191" s="90"/>
      <c r="J191" s="90"/>
      <c r="K191" s="90"/>
      <c r="L191" s="90"/>
      <c r="AY191" s="27">
        <v>160</v>
      </c>
      <c r="AZ191" s="17" t="s">
        <v>836</v>
      </c>
      <c r="BA191" s="55"/>
      <c r="BB191" s="17"/>
      <c r="BC191" s="17"/>
      <c r="BD191" s="17"/>
      <c r="BE191" s="37"/>
      <c r="BH191" s="23">
        <v>121</v>
      </c>
      <c r="BI191" s="17" t="s">
        <v>699</v>
      </c>
      <c r="BS191" s="24"/>
    </row>
    <row r="192" spans="1:71">
      <c r="A192" s="58">
        <v>73</v>
      </c>
      <c r="B192">
        <v>500</v>
      </c>
      <c r="C192" s="24" t="s">
        <v>349</v>
      </c>
      <c r="E192" s="23">
        <v>5</v>
      </c>
      <c r="F192" s="90" t="s">
        <v>352</v>
      </c>
      <c r="G192" s="90"/>
      <c r="H192" s="90"/>
      <c r="I192" s="90"/>
      <c r="J192" s="90"/>
      <c r="K192" s="90"/>
      <c r="L192" s="90"/>
      <c r="AY192" s="27">
        <v>161</v>
      </c>
      <c r="AZ192" s="17" t="s">
        <v>836</v>
      </c>
      <c r="BA192" s="55"/>
      <c r="BB192" s="17"/>
      <c r="BC192" s="17"/>
      <c r="BD192" s="17"/>
      <c r="BE192" s="37"/>
      <c r="BH192" s="23">
        <v>122</v>
      </c>
      <c r="BI192" s="17" t="s">
        <v>699</v>
      </c>
      <c r="BS192" s="24"/>
    </row>
    <row r="193" spans="1:71">
      <c r="A193" s="58">
        <v>74</v>
      </c>
      <c r="B193">
        <v>500</v>
      </c>
      <c r="C193" s="24" t="s">
        <v>349</v>
      </c>
      <c r="E193" s="23">
        <v>6</v>
      </c>
      <c r="F193" s="90" t="s">
        <v>353</v>
      </c>
      <c r="G193" s="90"/>
      <c r="H193" s="90"/>
      <c r="I193" s="90"/>
      <c r="J193" s="90"/>
      <c r="K193" s="90"/>
      <c r="L193" s="90"/>
      <c r="AY193" s="27">
        <v>162</v>
      </c>
      <c r="AZ193" s="17" t="s">
        <v>836</v>
      </c>
      <c r="BA193" s="55"/>
      <c r="BB193" s="17"/>
      <c r="BC193" s="17"/>
      <c r="BD193" s="17"/>
      <c r="BE193" s="37"/>
      <c r="BH193" s="23">
        <v>123</v>
      </c>
      <c r="BI193" s="17" t="s">
        <v>699</v>
      </c>
      <c r="BS193" s="24"/>
    </row>
    <row r="194" spans="1:71">
      <c r="A194" s="58">
        <v>75</v>
      </c>
      <c r="B194">
        <v>500</v>
      </c>
      <c r="C194" s="24" t="s">
        <v>349</v>
      </c>
      <c r="E194" s="23">
        <v>7</v>
      </c>
      <c r="F194" s="90" t="s">
        <v>354</v>
      </c>
      <c r="G194" s="90"/>
      <c r="H194" s="90"/>
      <c r="I194" s="90"/>
      <c r="J194" s="90"/>
      <c r="K194" s="90"/>
      <c r="L194" s="90"/>
      <c r="AY194" s="27">
        <v>163</v>
      </c>
      <c r="AZ194" s="17" t="s">
        <v>836</v>
      </c>
      <c r="BA194" s="55"/>
      <c r="BB194" s="17"/>
      <c r="BC194" s="17"/>
      <c r="BD194" s="17"/>
      <c r="BE194" s="37"/>
      <c r="BH194" s="23">
        <v>124</v>
      </c>
      <c r="BI194" s="17" t="s">
        <v>699</v>
      </c>
      <c r="BS194" s="24"/>
    </row>
    <row r="195" spans="1:71">
      <c r="A195" s="58">
        <v>76</v>
      </c>
      <c r="B195">
        <v>500</v>
      </c>
      <c r="C195" s="24" t="s">
        <v>349</v>
      </c>
      <c r="E195" s="59">
        <v>8</v>
      </c>
      <c r="F195" s="91" t="s">
        <v>327</v>
      </c>
      <c r="G195" s="91"/>
      <c r="H195" s="91"/>
      <c r="I195" s="91"/>
      <c r="J195" s="91"/>
      <c r="K195" s="91"/>
      <c r="L195" s="91"/>
      <c r="AY195" s="27">
        <v>164</v>
      </c>
      <c r="AZ195" s="17" t="s">
        <v>836</v>
      </c>
      <c r="BA195" s="55"/>
      <c r="BB195" s="17"/>
      <c r="BC195" s="17"/>
      <c r="BD195" s="17"/>
      <c r="BE195" s="37"/>
      <c r="BH195" s="23">
        <v>125</v>
      </c>
      <c r="BI195" s="17" t="s">
        <v>699</v>
      </c>
      <c r="BS195" s="24"/>
    </row>
    <row r="196" spans="1:71">
      <c r="A196" s="58">
        <v>77</v>
      </c>
      <c r="B196">
        <v>500</v>
      </c>
      <c r="C196" s="24" t="s">
        <v>349</v>
      </c>
      <c r="AY196" s="27">
        <v>165</v>
      </c>
      <c r="AZ196" s="17" t="s">
        <v>836</v>
      </c>
      <c r="BA196" s="55"/>
      <c r="BB196" s="17"/>
      <c r="BC196" s="17"/>
      <c r="BD196" s="17"/>
      <c r="BE196" s="37"/>
      <c r="BH196" s="23">
        <v>126</v>
      </c>
      <c r="BI196" s="17" t="s">
        <v>699</v>
      </c>
      <c r="BS196" s="24"/>
    </row>
    <row r="197" spans="1:71">
      <c r="A197" s="58">
        <v>78</v>
      </c>
      <c r="B197">
        <v>500</v>
      </c>
      <c r="C197" s="24" t="s">
        <v>349</v>
      </c>
      <c r="AY197" s="27">
        <v>166</v>
      </c>
      <c r="AZ197" s="17" t="s">
        <v>836</v>
      </c>
      <c r="BA197" s="55"/>
      <c r="BB197" s="17"/>
      <c r="BC197" s="17"/>
      <c r="BD197" s="17"/>
      <c r="BE197" s="37"/>
      <c r="BH197" s="23">
        <v>127</v>
      </c>
      <c r="BI197" s="17" t="s">
        <v>699</v>
      </c>
      <c r="BS197" s="24"/>
    </row>
    <row r="198" spans="1:71">
      <c r="A198" s="58">
        <v>79</v>
      </c>
      <c r="B198">
        <v>500</v>
      </c>
      <c r="C198" s="24" t="s">
        <v>349</v>
      </c>
      <c r="AY198" s="27">
        <v>167</v>
      </c>
      <c r="AZ198" s="17" t="s">
        <v>836</v>
      </c>
      <c r="BA198" s="55"/>
      <c r="BB198" s="17"/>
      <c r="BC198" s="17"/>
      <c r="BD198" s="17"/>
      <c r="BE198" s="37"/>
      <c r="BH198" s="23">
        <v>128</v>
      </c>
      <c r="BI198" s="17" t="s">
        <v>699</v>
      </c>
      <c r="BS198" s="24"/>
    </row>
    <row r="199" spans="1:71">
      <c r="A199" s="58">
        <v>80</v>
      </c>
      <c r="B199">
        <v>500</v>
      </c>
      <c r="C199" s="24" t="s">
        <v>349</v>
      </c>
      <c r="AY199" s="27">
        <v>168</v>
      </c>
      <c r="AZ199" s="17" t="s">
        <v>836</v>
      </c>
      <c r="BA199" s="55"/>
      <c r="BB199" s="17"/>
      <c r="BC199" s="17"/>
      <c r="BD199" s="17"/>
      <c r="BE199" s="37"/>
      <c r="BH199" s="23">
        <v>129</v>
      </c>
      <c r="BI199" s="17" t="s">
        <v>699</v>
      </c>
      <c r="BS199" s="24"/>
    </row>
    <row r="200" spans="1:71">
      <c r="A200" s="58">
        <v>81</v>
      </c>
      <c r="B200">
        <v>500</v>
      </c>
      <c r="C200" s="24" t="s">
        <v>349</v>
      </c>
      <c r="AY200" s="27">
        <v>169</v>
      </c>
      <c r="AZ200" s="17" t="s">
        <v>836</v>
      </c>
      <c r="BA200" s="55"/>
      <c r="BB200" s="17"/>
      <c r="BC200" s="17"/>
      <c r="BD200" s="17"/>
      <c r="BE200" s="37"/>
      <c r="BH200" s="23">
        <v>130</v>
      </c>
      <c r="BI200" s="17" t="s">
        <v>699</v>
      </c>
      <c r="BS200" s="24"/>
    </row>
    <row r="201" spans="1:71">
      <c r="A201" s="58">
        <v>82</v>
      </c>
      <c r="B201">
        <v>500</v>
      </c>
      <c r="C201" s="24" t="s">
        <v>349</v>
      </c>
      <c r="AY201" s="27">
        <v>170</v>
      </c>
      <c r="AZ201" s="17" t="s">
        <v>836</v>
      </c>
      <c r="BA201" s="55"/>
      <c r="BB201" s="17"/>
      <c r="BC201" s="17"/>
      <c r="BD201" s="17"/>
      <c r="BE201" s="37"/>
      <c r="BH201" s="23">
        <v>131</v>
      </c>
      <c r="BI201" s="17" t="s">
        <v>699</v>
      </c>
      <c r="BS201" s="24"/>
    </row>
    <row r="202" spans="1:71">
      <c r="A202" s="58">
        <v>83</v>
      </c>
      <c r="B202">
        <v>500</v>
      </c>
      <c r="C202" s="24" t="s">
        <v>349</v>
      </c>
      <c r="Z202" s="17"/>
      <c r="AY202" s="27">
        <v>171</v>
      </c>
      <c r="AZ202" s="17" t="s">
        <v>836</v>
      </c>
      <c r="BA202" s="55"/>
      <c r="BB202" s="17"/>
      <c r="BC202" s="17"/>
      <c r="BD202" s="17"/>
      <c r="BE202" s="37"/>
      <c r="BH202" s="23">
        <v>132</v>
      </c>
      <c r="BI202" s="17" t="s">
        <v>699</v>
      </c>
      <c r="BS202" s="24"/>
    </row>
    <row r="203" spans="1:71">
      <c r="A203" s="58">
        <v>84</v>
      </c>
      <c r="B203">
        <v>500</v>
      </c>
      <c r="C203" s="24" t="s">
        <v>349</v>
      </c>
      <c r="Z203" s="17"/>
      <c r="AY203" s="27">
        <v>172</v>
      </c>
      <c r="AZ203" s="17" t="s">
        <v>836</v>
      </c>
      <c r="BA203" s="55"/>
      <c r="BB203" s="17"/>
      <c r="BC203" s="17"/>
      <c r="BD203" s="17"/>
      <c r="BE203" s="37"/>
      <c r="BH203" s="23">
        <v>133</v>
      </c>
      <c r="BI203" s="17" t="s">
        <v>699</v>
      </c>
      <c r="BS203" s="24"/>
    </row>
    <row r="204" spans="1:71">
      <c r="A204" s="58">
        <v>85</v>
      </c>
      <c r="B204">
        <v>500</v>
      </c>
      <c r="C204" s="24" t="s">
        <v>349</v>
      </c>
      <c r="Z204" s="17"/>
      <c r="AY204" s="27">
        <v>173</v>
      </c>
      <c r="AZ204" s="17" t="s">
        <v>591</v>
      </c>
      <c r="BA204" s="55"/>
      <c r="BB204" s="17"/>
      <c r="BC204" s="17"/>
      <c r="BD204" s="17"/>
      <c r="BE204" s="37"/>
      <c r="BH204" s="23">
        <v>134</v>
      </c>
      <c r="BI204" s="17" t="s">
        <v>699</v>
      </c>
      <c r="BS204" s="24"/>
    </row>
    <row r="205" spans="1:71">
      <c r="A205" s="58">
        <v>86</v>
      </c>
      <c r="B205">
        <v>500</v>
      </c>
      <c r="C205" s="24" t="s">
        <v>349</v>
      </c>
      <c r="Z205" s="17"/>
      <c r="AY205" s="27">
        <v>174</v>
      </c>
      <c r="AZ205" s="17" t="s">
        <v>591</v>
      </c>
      <c r="BA205" s="55"/>
      <c r="BB205" s="17"/>
      <c r="BC205" s="17"/>
      <c r="BD205" s="17"/>
      <c r="BE205" s="37"/>
      <c r="BH205" s="23">
        <v>135</v>
      </c>
      <c r="BI205" s="17" t="s">
        <v>699</v>
      </c>
      <c r="BS205" s="24"/>
    </row>
    <row r="206" spans="1:71">
      <c r="A206" s="58">
        <v>87</v>
      </c>
      <c r="B206">
        <v>500</v>
      </c>
      <c r="C206" s="24" t="s">
        <v>349</v>
      </c>
      <c r="Z206" s="17"/>
      <c r="AY206" s="27">
        <v>175</v>
      </c>
      <c r="AZ206" s="17" t="s">
        <v>591</v>
      </c>
      <c r="BA206" s="55"/>
      <c r="BB206" s="17"/>
      <c r="BC206" s="17"/>
      <c r="BD206" s="17"/>
      <c r="BE206" s="37"/>
      <c r="BH206" s="23">
        <v>136</v>
      </c>
      <c r="BI206" s="17" t="s">
        <v>699</v>
      </c>
      <c r="BS206" s="24"/>
    </row>
    <row r="207" spans="1:71">
      <c r="A207" s="58">
        <v>88</v>
      </c>
      <c r="B207">
        <v>500</v>
      </c>
      <c r="C207" s="24" t="s">
        <v>349</v>
      </c>
      <c r="Z207" s="17"/>
      <c r="AY207" s="27">
        <v>176</v>
      </c>
      <c r="AZ207" s="17" t="s">
        <v>591</v>
      </c>
      <c r="BA207" s="55"/>
      <c r="BB207" s="17"/>
      <c r="BC207" s="17"/>
      <c r="BD207" s="17"/>
      <c r="BE207" s="37"/>
      <c r="BH207" s="23">
        <v>137</v>
      </c>
      <c r="BI207" s="17" t="s">
        <v>699</v>
      </c>
      <c r="BS207" s="24"/>
    </row>
    <row r="208" spans="1:71">
      <c r="A208" s="58">
        <v>89</v>
      </c>
      <c r="B208">
        <v>500</v>
      </c>
      <c r="C208" s="24" t="s">
        <v>349</v>
      </c>
      <c r="Z208" s="17"/>
      <c r="AY208" s="27">
        <v>177</v>
      </c>
      <c r="AZ208" s="17" t="s">
        <v>591</v>
      </c>
      <c r="BA208" s="55"/>
      <c r="BB208" s="17"/>
      <c r="BC208" s="17"/>
      <c r="BD208" s="17"/>
      <c r="BE208" s="37"/>
      <c r="BH208" s="23">
        <v>138</v>
      </c>
      <c r="BI208" s="17" t="s">
        <v>699</v>
      </c>
      <c r="BS208" s="24"/>
    </row>
    <row r="209" spans="1:71">
      <c r="A209" s="58">
        <v>90</v>
      </c>
      <c r="B209">
        <v>500</v>
      </c>
      <c r="C209" s="24" t="s">
        <v>349</v>
      </c>
      <c r="Z209" s="17"/>
      <c r="AY209" s="27">
        <v>178</v>
      </c>
      <c r="AZ209" s="17" t="s">
        <v>591</v>
      </c>
      <c r="BA209" s="55"/>
      <c r="BB209" s="17"/>
      <c r="BC209" s="17"/>
      <c r="BD209" s="17"/>
      <c r="BE209" s="37"/>
      <c r="BH209" s="23">
        <v>139</v>
      </c>
      <c r="BI209" s="17" t="s">
        <v>700</v>
      </c>
      <c r="BS209" s="24"/>
    </row>
    <row r="210" spans="1:71">
      <c r="A210" s="58">
        <v>91</v>
      </c>
      <c r="B210">
        <v>1000</v>
      </c>
      <c r="C210" s="24" t="s">
        <v>339</v>
      </c>
      <c r="Z210" s="17"/>
      <c r="AY210" s="27">
        <v>179</v>
      </c>
      <c r="AZ210" s="17" t="s">
        <v>591</v>
      </c>
      <c r="BA210" s="55"/>
      <c r="BB210" s="17"/>
      <c r="BC210" s="17"/>
      <c r="BD210" s="17"/>
      <c r="BE210" s="37"/>
      <c r="BH210" s="23">
        <v>140</v>
      </c>
      <c r="BI210" s="17" t="s">
        <v>700</v>
      </c>
      <c r="BS210" s="24"/>
    </row>
    <row r="211" spans="1:71">
      <c r="A211" s="58">
        <v>92</v>
      </c>
      <c r="B211">
        <v>1000</v>
      </c>
      <c r="C211" s="24" t="s">
        <v>339</v>
      </c>
      <c r="Z211" s="17"/>
      <c r="AY211" s="27">
        <v>180</v>
      </c>
      <c r="AZ211" s="17" t="s">
        <v>591</v>
      </c>
      <c r="BA211" s="55"/>
      <c r="BB211" s="17"/>
      <c r="BC211" s="17"/>
      <c r="BD211" s="17"/>
      <c r="BE211" s="37"/>
      <c r="BH211" s="23">
        <v>141</v>
      </c>
      <c r="BI211" s="17" t="s">
        <v>700</v>
      </c>
      <c r="BS211" s="24"/>
    </row>
    <row r="212" spans="1:71">
      <c r="A212" s="58">
        <v>93</v>
      </c>
      <c r="B212">
        <v>1000</v>
      </c>
      <c r="C212" s="24" t="s">
        <v>339</v>
      </c>
      <c r="Z212" s="17"/>
      <c r="AY212" s="27">
        <v>181</v>
      </c>
      <c r="AZ212" s="17" t="s">
        <v>591</v>
      </c>
      <c r="BA212" s="55"/>
      <c r="BB212" s="17"/>
      <c r="BC212" s="17"/>
      <c r="BD212" s="17"/>
      <c r="BE212" s="37"/>
      <c r="BH212" s="23">
        <v>142</v>
      </c>
      <c r="BI212" s="17" t="s">
        <v>700</v>
      </c>
      <c r="BS212" s="24"/>
    </row>
    <row r="213" spans="1:71">
      <c r="A213" s="58">
        <v>94</v>
      </c>
      <c r="B213">
        <v>1000</v>
      </c>
      <c r="C213" s="24" t="s">
        <v>339</v>
      </c>
      <c r="Z213" s="17"/>
      <c r="AY213" s="27">
        <v>182</v>
      </c>
      <c r="AZ213" s="17" t="s">
        <v>591</v>
      </c>
      <c r="BA213" s="55"/>
      <c r="BB213" s="17"/>
      <c r="BC213" s="17"/>
      <c r="BD213" s="17"/>
      <c r="BE213" s="37"/>
      <c r="BH213" s="23">
        <v>143</v>
      </c>
      <c r="BI213" s="17" t="s">
        <v>700</v>
      </c>
      <c r="BS213" s="24"/>
    </row>
    <row r="214" spans="1:71">
      <c r="A214" s="58">
        <v>95</v>
      </c>
      <c r="B214">
        <v>1000</v>
      </c>
      <c r="C214" s="24" t="s">
        <v>339</v>
      </c>
      <c r="Z214" s="17"/>
      <c r="AY214" s="27">
        <v>183</v>
      </c>
      <c r="AZ214" s="17" t="s">
        <v>591</v>
      </c>
      <c r="BA214" s="55"/>
      <c r="BB214" s="17"/>
      <c r="BC214" s="17"/>
      <c r="BD214" s="17"/>
      <c r="BE214" s="37"/>
      <c r="BH214" s="23">
        <v>144</v>
      </c>
      <c r="BI214" s="17" t="s">
        <v>700</v>
      </c>
      <c r="BS214" s="24"/>
    </row>
    <row r="215" spans="1:71">
      <c r="A215" s="58">
        <v>96</v>
      </c>
      <c r="B215">
        <v>1000</v>
      </c>
      <c r="C215" s="24" t="s">
        <v>339</v>
      </c>
      <c r="Z215" s="17"/>
      <c r="AY215" s="27">
        <v>184</v>
      </c>
      <c r="AZ215" s="17" t="s">
        <v>591</v>
      </c>
      <c r="BA215" s="55"/>
      <c r="BB215" s="17"/>
      <c r="BC215" s="17"/>
      <c r="BD215" s="17"/>
      <c r="BE215" s="37"/>
      <c r="BH215" s="23">
        <v>145</v>
      </c>
      <c r="BI215" s="17" t="s">
        <v>700</v>
      </c>
      <c r="BS215" s="24"/>
    </row>
    <row r="216" spans="1:71">
      <c r="A216" s="58">
        <v>97</v>
      </c>
      <c r="B216">
        <v>1000</v>
      </c>
      <c r="C216" s="24" t="s">
        <v>339</v>
      </c>
      <c r="Z216" s="17"/>
      <c r="AY216" s="27">
        <v>185</v>
      </c>
      <c r="AZ216" s="17" t="s">
        <v>591</v>
      </c>
      <c r="BA216" s="55"/>
      <c r="BB216" s="17"/>
      <c r="BC216" s="17"/>
      <c r="BD216" s="17"/>
      <c r="BE216" s="37"/>
      <c r="BH216" s="23">
        <v>146</v>
      </c>
      <c r="BI216" s="17" t="s">
        <v>700</v>
      </c>
      <c r="BS216" s="24"/>
    </row>
    <row r="217" spans="1:71">
      <c r="A217" s="58">
        <v>98</v>
      </c>
      <c r="B217">
        <v>1000</v>
      </c>
      <c r="C217" s="24" t="s">
        <v>339</v>
      </c>
      <c r="Z217" s="17"/>
      <c r="AY217" s="27">
        <v>186</v>
      </c>
      <c r="AZ217" s="17" t="s">
        <v>591</v>
      </c>
      <c r="BA217" s="55"/>
      <c r="BB217" s="17"/>
      <c r="BC217" s="17"/>
      <c r="BD217" s="17"/>
      <c r="BE217" s="37"/>
      <c r="BH217" s="23">
        <v>147</v>
      </c>
      <c r="BI217" s="17" t="s">
        <v>700</v>
      </c>
      <c r="BS217" s="24"/>
    </row>
    <row r="218" spans="1:71">
      <c r="A218" s="58">
        <v>99</v>
      </c>
      <c r="B218">
        <v>1000</v>
      </c>
      <c r="C218" s="24" t="s">
        <v>339</v>
      </c>
      <c r="Z218" s="17"/>
      <c r="AY218" s="27">
        <v>187</v>
      </c>
      <c r="AZ218" s="17" t="s">
        <v>591</v>
      </c>
      <c r="BA218" s="55"/>
      <c r="BB218" s="17"/>
      <c r="BC218" s="17"/>
      <c r="BD218" s="17"/>
      <c r="BE218" s="37"/>
      <c r="BH218" s="23">
        <v>148</v>
      </c>
      <c r="BI218" s="17" t="s">
        <v>838</v>
      </c>
      <c r="BS218" s="24"/>
    </row>
    <row r="219" spans="1:71">
      <c r="A219" s="36">
        <v>100</v>
      </c>
      <c r="B219" s="67">
        <v>5000</v>
      </c>
      <c r="C219" s="60" t="s">
        <v>355</v>
      </c>
      <c r="Z219" s="17"/>
      <c r="AY219" s="27">
        <v>188</v>
      </c>
      <c r="AZ219" s="17" t="s">
        <v>591</v>
      </c>
      <c r="BA219" s="55"/>
      <c r="BB219" s="17"/>
      <c r="BC219" s="17"/>
      <c r="BD219" s="17"/>
      <c r="BE219" s="37"/>
      <c r="BH219" s="23">
        <v>149</v>
      </c>
      <c r="BI219" s="17" t="s">
        <v>838</v>
      </c>
      <c r="BS219" s="24"/>
    </row>
    <row r="220" spans="1:71">
      <c r="Z220" s="17"/>
      <c r="AY220" s="27">
        <v>189</v>
      </c>
      <c r="AZ220" s="17" t="s">
        <v>591</v>
      </c>
      <c r="BA220" s="55"/>
      <c r="BB220" s="17"/>
      <c r="BC220" s="17"/>
      <c r="BD220" s="17"/>
      <c r="BE220" s="37"/>
      <c r="BH220" s="23">
        <v>150</v>
      </c>
      <c r="BI220" s="17" t="s">
        <v>838</v>
      </c>
      <c r="BS220" s="24"/>
    </row>
    <row r="221" spans="1:71">
      <c r="Z221" s="17"/>
      <c r="AY221" s="27">
        <v>190</v>
      </c>
      <c r="AZ221" s="17" t="s">
        <v>591</v>
      </c>
      <c r="BA221" s="55"/>
      <c r="BB221" s="17"/>
      <c r="BC221" s="17"/>
      <c r="BD221" s="17"/>
      <c r="BE221" s="37"/>
      <c r="BH221" s="23">
        <v>151</v>
      </c>
      <c r="BI221" s="17" t="s">
        <v>838</v>
      </c>
      <c r="BS221" s="24"/>
    </row>
    <row r="222" spans="1:71">
      <c r="Z222" s="17"/>
      <c r="AY222" s="59">
        <v>191</v>
      </c>
      <c r="AZ222" s="39" t="s">
        <v>591</v>
      </c>
      <c r="BA222" s="67"/>
      <c r="BB222" s="67"/>
      <c r="BC222" s="67"/>
      <c r="BD222" s="67"/>
      <c r="BE222" s="60"/>
      <c r="BH222" s="23">
        <v>152</v>
      </c>
      <c r="BI222" s="17" t="s">
        <v>838</v>
      </c>
      <c r="BS222" s="24"/>
    </row>
    <row r="223" spans="1:71">
      <c r="Z223" s="17"/>
      <c r="BH223" s="23">
        <v>153</v>
      </c>
      <c r="BI223" s="17" t="s">
        <v>838</v>
      </c>
      <c r="BS223" s="24"/>
    </row>
    <row r="224" spans="1:71">
      <c r="Z224" s="17"/>
      <c r="BH224" s="23">
        <v>154</v>
      </c>
      <c r="BI224" s="17" t="s">
        <v>701</v>
      </c>
      <c r="BS224" s="24"/>
    </row>
    <row r="225" spans="26:71">
      <c r="Z225" s="17"/>
      <c r="BH225" s="23">
        <v>155</v>
      </c>
      <c r="BI225" s="17" t="s">
        <v>701</v>
      </c>
      <c r="BS225" s="24"/>
    </row>
    <row r="226" spans="26:71">
      <c r="Z226" s="17"/>
      <c r="BH226" s="23">
        <v>156</v>
      </c>
      <c r="BI226" s="17" t="s">
        <v>701</v>
      </c>
      <c r="BS226" s="24"/>
    </row>
    <row r="227" spans="26:71">
      <c r="Z227" s="17"/>
      <c r="BH227" s="23">
        <v>157</v>
      </c>
      <c r="BI227" s="17" t="s">
        <v>702</v>
      </c>
      <c r="BS227" s="24"/>
    </row>
    <row r="228" spans="26:71">
      <c r="Z228" s="17"/>
      <c r="BH228" s="23">
        <v>158</v>
      </c>
      <c r="BI228" s="17" t="s">
        <v>702</v>
      </c>
      <c r="BS228" s="24"/>
    </row>
    <row r="229" spans="26:71">
      <c r="Z229" s="17"/>
      <c r="BH229" s="23">
        <v>159</v>
      </c>
      <c r="BI229" s="17" t="s">
        <v>702</v>
      </c>
      <c r="BS229" s="24"/>
    </row>
    <row r="230" spans="26:71">
      <c r="Z230" s="17"/>
      <c r="BH230" s="23">
        <v>160</v>
      </c>
      <c r="BI230" s="17" t="s">
        <v>702</v>
      </c>
      <c r="BS230" s="24"/>
    </row>
    <row r="231" spans="26:71">
      <c r="Z231" s="17"/>
      <c r="BH231" s="23">
        <v>161</v>
      </c>
      <c r="BI231" s="17" t="s">
        <v>702</v>
      </c>
      <c r="BS231" s="24"/>
    </row>
    <row r="232" spans="26:71">
      <c r="Z232" s="17"/>
      <c r="BH232" s="23">
        <v>162</v>
      </c>
      <c r="BI232" s="17" t="s">
        <v>702</v>
      </c>
      <c r="BS232" s="24"/>
    </row>
    <row r="233" spans="26:71">
      <c r="Z233" s="17"/>
      <c r="BH233" s="23">
        <v>163</v>
      </c>
      <c r="BI233" s="17" t="s">
        <v>703</v>
      </c>
      <c r="BS233" s="24"/>
    </row>
    <row r="234" spans="26:71">
      <c r="Z234" s="17"/>
      <c r="BH234" s="23">
        <v>164</v>
      </c>
      <c r="BI234" s="17" t="s">
        <v>703</v>
      </c>
      <c r="BO234" s="69" t="s">
        <v>356</v>
      </c>
      <c r="BS234" s="24"/>
    </row>
    <row r="235" spans="26:71">
      <c r="Z235" s="17"/>
      <c r="BH235" s="23">
        <v>165</v>
      </c>
      <c r="BI235" s="17" t="s">
        <v>703</v>
      </c>
      <c r="BO235">
        <v>1</v>
      </c>
      <c r="BP235" s="17" t="s">
        <v>724</v>
      </c>
      <c r="BS235" s="24"/>
    </row>
    <row r="236" spans="26:71">
      <c r="Z236" s="17"/>
      <c r="BH236" s="23">
        <v>166</v>
      </c>
      <c r="BI236" s="17" t="s">
        <v>704</v>
      </c>
      <c r="BO236">
        <v>2</v>
      </c>
      <c r="BP236" s="17" t="s">
        <v>725</v>
      </c>
      <c r="BS236" s="24"/>
    </row>
    <row r="237" spans="26:71">
      <c r="Z237" s="17"/>
      <c r="BH237" s="23">
        <v>167</v>
      </c>
      <c r="BI237" s="17" t="s">
        <v>704</v>
      </c>
      <c r="BO237">
        <v>3</v>
      </c>
      <c r="BP237" s="17" t="s">
        <v>726</v>
      </c>
      <c r="BS237" s="24"/>
    </row>
    <row r="238" spans="26:71">
      <c r="Z238" s="17"/>
      <c r="BH238" s="23">
        <v>168</v>
      </c>
      <c r="BI238" s="17" t="s">
        <v>704</v>
      </c>
      <c r="BO238">
        <v>4</v>
      </c>
      <c r="BP238" s="17" t="s">
        <v>727</v>
      </c>
      <c r="BS238" s="24"/>
    </row>
    <row r="239" spans="26:71">
      <c r="Z239" s="17"/>
      <c r="BH239" s="23">
        <v>169</v>
      </c>
      <c r="BI239" s="10" t="str">
        <f ca="1">CONCATENATE(BJ239,BL239)</f>
        <v>Épée +2, tueuse de dragons rouge</v>
      </c>
      <c r="BJ239" s="17" t="s">
        <v>705</v>
      </c>
      <c r="BK239">
        <f ca="1">RANDBETWEEN(1,10)</f>
        <v>8</v>
      </c>
      <c r="BL239" t="str">
        <f ca="1">VLOOKUP(BK239,$BO$235:$BP$244,2,FALSE())</f>
        <v xml:space="preserve"> rouge</v>
      </c>
      <c r="BO239">
        <v>5</v>
      </c>
      <c r="BP239" s="17" t="s">
        <v>728</v>
      </c>
      <c r="BS239" s="24"/>
    </row>
    <row r="240" spans="26:71">
      <c r="Z240" s="17"/>
      <c r="BH240" s="23">
        <v>170</v>
      </c>
      <c r="BI240" s="10" t="str">
        <f ca="1">CONCATENATE(BJ240,BL240)</f>
        <v>Épée +2, tueuse de dragons de cuivre</v>
      </c>
      <c r="BJ240" s="17" t="s">
        <v>705</v>
      </c>
      <c r="BK240">
        <f ca="1">RANDBETWEEN(1,10)</f>
        <v>5</v>
      </c>
      <c r="BL240" t="str">
        <f ca="1">VLOOKUP(BK240,$BO$235:$BP$244,2,FALSE())</f>
        <v xml:space="preserve"> de cuivre</v>
      </c>
      <c r="BO240">
        <v>6</v>
      </c>
      <c r="BP240" s="17" t="s">
        <v>729</v>
      </c>
      <c r="BS240" s="24"/>
    </row>
    <row r="241" spans="25:71">
      <c r="Z241" s="17"/>
      <c r="BH241" s="23">
        <v>171</v>
      </c>
      <c r="BI241" s="10" t="str">
        <f ca="1">CONCATENATE(BJ241,BL241)</f>
        <v>Épée +2, tueuse de dragons noir</v>
      </c>
      <c r="BJ241" s="17" t="s">
        <v>705</v>
      </c>
      <c r="BK241">
        <f ca="1">RANDBETWEEN(1,10)</f>
        <v>1</v>
      </c>
      <c r="BL241" t="str">
        <f ca="1">VLOOKUP(BK241,$BO$235:$BP$244,2,FALSE())</f>
        <v xml:space="preserve"> noir</v>
      </c>
      <c r="BO241">
        <v>7</v>
      </c>
      <c r="BP241" s="17" t="s">
        <v>730</v>
      </c>
      <c r="BS241" s="24"/>
    </row>
    <row r="242" spans="25:71">
      <c r="Z242" s="17"/>
      <c r="BH242" s="23">
        <v>172</v>
      </c>
      <c r="BI242" s="10" t="str">
        <f>BJ242</f>
        <v>Épée +2, tueuse de géants</v>
      </c>
      <c r="BJ242" s="17" t="s">
        <v>706</v>
      </c>
      <c r="BO242">
        <v>8</v>
      </c>
      <c r="BP242" s="17" t="s">
        <v>731</v>
      </c>
      <c r="BS242" s="24"/>
    </row>
    <row r="243" spans="25:71">
      <c r="Z243" s="17"/>
      <c r="BH243" s="23">
        <v>173</v>
      </c>
      <c r="BI243" s="10" t="str">
        <f>BJ243</f>
        <v>Épée +2, tueuse de géants</v>
      </c>
      <c r="BJ243" s="17" t="s">
        <v>706</v>
      </c>
      <c r="BO243">
        <v>9</v>
      </c>
      <c r="BP243" s="17" t="s">
        <v>732</v>
      </c>
      <c r="BS243" s="24"/>
    </row>
    <row r="244" spans="25:71">
      <c r="Z244" s="17"/>
      <c r="BH244" s="23">
        <v>174</v>
      </c>
      <c r="BI244" s="10" t="str">
        <f>BJ244</f>
        <v>Épée +2, tueuse de géants</v>
      </c>
      <c r="BJ244" s="17" t="s">
        <v>706</v>
      </c>
      <c r="BO244">
        <v>10</v>
      </c>
      <c r="BP244" s="17" t="s">
        <v>733</v>
      </c>
      <c r="BS244" s="24"/>
    </row>
    <row r="245" spans="25:71">
      <c r="Y245" s="17"/>
      <c r="Z245" s="17"/>
      <c r="BH245" s="23">
        <v>175</v>
      </c>
      <c r="BI245" s="17" t="s">
        <v>684</v>
      </c>
      <c r="BS245" s="24"/>
    </row>
    <row r="246" spans="25:71">
      <c r="Y246" s="17"/>
      <c r="Z246" s="17"/>
      <c r="BH246" s="23">
        <v>176</v>
      </c>
      <c r="BI246" s="17" t="s">
        <v>684</v>
      </c>
      <c r="BS246" s="24"/>
    </row>
    <row r="247" spans="25:71">
      <c r="Y247" s="17"/>
      <c r="Z247" s="17"/>
      <c r="BH247" s="23">
        <v>177</v>
      </c>
      <c r="BI247" s="17" t="s">
        <v>684</v>
      </c>
      <c r="BS247" s="24"/>
    </row>
    <row r="248" spans="25:71">
      <c r="Y248" s="17"/>
      <c r="Z248" s="17"/>
      <c r="BH248" s="23">
        <v>178</v>
      </c>
      <c r="BI248" s="17" t="s">
        <v>719</v>
      </c>
      <c r="BS248" s="24"/>
    </row>
    <row r="249" spans="25:71">
      <c r="Y249" s="17"/>
      <c r="Z249" s="17"/>
      <c r="BH249" s="23">
        <v>179</v>
      </c>
      <c r="BI249" s="17" t="s">
        <v>707</v>
      </c>
      <c r="BS249" s="24"/>
    </row>
    <row r="250" spans="25:71">
      <c r="Y250" s="17"/>
      <c r="Z250" s="17"/>
      <c r="BH250" s="23">
        <v>180</v>
      </c>
      <c r="BI250" s="17" t="s">
        <v>707</v>
      </c>
      <c r="BS250" s="24"/>
    </row>
    <row r="251" spans="25:71">
      <c r="BH251" s="23">
        <v>181</v>
      </c>
      <c r="BI251" s="17" t="s">
        <v>708</v>
      </c>
      <c r="BS251" s="24"/>
    </row>
    <row r="252" spans="25:71">
      <c r="BH252" s="23">
        <v>182</v>
      </c>
      <c r="BI252" s="17" t="s">
        <v>723</v>
      </c>
      <c r="BS252" s="24"/>
    </row>
    <row r="253" spans="25:71">
      <c r="BH253" s="23">
        <v>183</v>
      </c>
      <c r="BI253" s="17" t="s">
        <v>710</v>
      </c>
      <c r="BS253" s="24"/>
    </row>
    <row r="254" spans="25:71">
      <c r="BH254" s="23">
        <v>184</v>
      </c>
      <c r="BI254" s="17" t="s">
        <v>709</v>
      </c>
      <c r="BS254" s="24"/>
    </row>
    <row r="255" spans="25:71">
      <c r="BH255" s="23">
        <v>185</v>
      </c>
      <c r="BI255" s="17" t="s">
        <v>709</v>
      </c>
      <c r="BS255" s="24"/>
    </row>
    <row r="256" spans="25:71">
      <c r="BH256" s="23">
        <v>186</v>
      </c>
      <c r="BI256" s="17" t="s">
        <v>711</v>
      </c>
      <c r="BS256" s="24"/>
    </row>
    <row r="257" spans="60:71">
      <c r="BH257" s="23">
        <v>187</v>
      </c>
      <c r="BI257" s="17" t="s">
        <v>712</v>
      </c>
      <c r="BS257" s="24"/>
    </row>
    <row r="258" spans="60:71">
      <c r="BH258" s="23">
        <v>188</v>
      </c>
      <c r="BI258" s="17" t="s">
        <v>713</v>
      </c>
      <c r="BS258" s="24"/>
    </row>
    <row r="259" spans="60:71">
      <c r="BH259" s="23">
        <v>189</v>
      </c>
      <c r="BI259" s="17" t="s">
        <v>714</v>
      </c>
      <c r="BS259" s="24"/>
    </row>
    <row r="260" spans="60:71">
      <c r="BH260" s="23">
        <v>190</v>
      </c>
      <c r="BI260" s="17" t="s">
        <v>715</v>
      </c>
      <c r="BS260" s="24"/>
    </row>
    <row r="261" spans="60:71">
      <c r="BH261" s="23">
        <v>191</v>
      </c>
      <c r="BI261" s="17" t="s">
        <v>716</v>
      </c>
      <c r="BS261" s="24"/>
    </row>
    <row r="262" spans="60:71">
      <c r="BH262" s="23">
        <v>192</v>
      </c>
      <c r="BI262" s="17" t="s">
        <v>716</v>
      </c>
      <c r="BS262" s="24"/>
    </row>
    <row r="263" spans="60:71">
      <c r="BH263" s="23">
        <v>193</v>
      </c>
      <c r="BI263" s="17" t="s">
        <v>716</v>
      </c>
      <c r="BS263" s="24"/>
    </row>
    <row r="264" spans="60:71">
      <c r="BH264" s="23">
        <v>194</v>
      </c>
      <c r="BI264" s="17" t="s">
        <v>717</v>
      </c>
      <c r="BS264" s="24"/>
    </row>
    <row r="265" spans="60:71">
      <c r="BH265" s="23">
        <v>195</v>
      </c>
      <c r="BI265" s="17" t="s">
        <v>717</v>
      </c>
      <c r="BS265" s="24"/>
    </row>
    <row r="266" spans="60:71">
      <c r="BH266" s="23">
        <v>196</v>
      </c>
      <c r="BI266" s="17" t="s">
        <v>718</v>
      </c>
      <c r="BS266" s="24"/>
    </row>
    <row r="267" spans="60:71">
      <c r="BH267" s="59">
        <v>197</v>
      </c>
      <c r="BI267" s="39" t="s">
        <v>250</v>
      </c>
      <c r="BJ267" s="67"/>
      <c r="BK267" s="67"/>
      <c r="BL267" s="67"/>
      <c r="BM267" s="67"/>
      <c r="BN267" s="67"/>
      <c r="BO267" s="67"/>
      <c r="BP267" s="67"/>
      <c r="BQ267" s="67"/>
      <c r="BR267" s="67"/>
      <c r="BS267" s="60"/>
    </row>
    <row r="316" spans="25:26">
      <c r="Y316" s="17"/>
      <c r="Z316" s="17"/>
    </row>
    <row r="317" spans="25:26">
      <c r="Y317" s="17"/>
      <c r="Z317" s="17"/>
    </row>
    <row r="318" spans="25:26">
      <c r="Y318" s="17"/>
      <c r="Z318" s="17"/>
    </row>
    <row r="319" spans="25:26">
      <c r="Y319" s="17"/>
      <c r="Z319" s="17"/>
    </row>
    <row r="320" spans="25:26">
      <c r="Y320" s="17"/>
      <c r="Z320" s="17"/>
    </row>
    <row r="321" spans="25:26">
      <c r="Y321" s="17"/>
      <c r="Z321" s="17"/>
    </row>
    <row r="322" spans="25:26">
      <c r="Y322" s="17"/>
      <c r="Z322" s="17"/>
    </row>
    <row r="323" spans="25:26">
      <c r="Y323" s="17"/>
      <c r="Z323" s="17"/>
    </row>
    <row r="324" spans="25:26">
      <c r="Y324" s="17"/>
      <c r="Z324" s="17"/>
    </row>
    <row r="325" spans="25:26">
      <c r="Y325" s="17"/>
      <c r="Z325" s="17"/>
    </row>
    <row r="326" spans="25:26">
      <c r="Y326" s="17"/>
      <c r="Z326" s="17"/>
    </row>
    <row r="327" spans="25:26">
      <c r="Y327" s="17"/>
      <c r="Z327" s="17"/>
    </row>
    <row r="328" spans="25:26">
      <c r="Y328" s="17"/>
      <c r="Z328" s="17"/>
    </row>
    <row r="329" spans="25:26">
      <c r="Y329" s="17"/>
      <c r="Z329" s="17"/>
    </row>
    <row r="330" spans="25:26">
      <c r="Y330" s="17"/>
      <c r="Z330" s="17"/>
    </row>
    <row r="331" spans="25:26">
      <c r="Y331" s="17"/>
      <c r="Z331" s="17"/>
    </row>
    <row r="332" spans="25:26">
      <c r="Y332" s="17"/>
      <c r="Z332" s="17"/>
    </row>
    <row r="333" spans="25:26">
      <c r="Y333" s="17"/>
      <c r="Z333" s="17"/>
    </row>
    <row r="334" spans="25:26">
      <c r="Y334" s="17"/>
      <c r="Z334" s="17"/>
    </row>
    <row r="335" spans="25:26">
      <c r="Y335" s="17"/>
      <c r="Z335" s="17"/>
    </row>
    <row r="336" spans="25:26">
      <c r="Y336" s="17"/>
      <c r="Z336" s="17"/>
    </row>
    <row r="337" spans="25:26">
      <c r="Y337" s="17"/>
      <c r="Z337" s="17"/>
    </row>
    <row r="338" spans="25:26">
      <c r="Y338" s="17"/>
      <c r="Z338" s="17"/>
    </row>
    <row r="339" spans="25:26">
      <c r="Y339" s="17"/>
      <c r="Z339" s="17"/>
    </row>
    <row r="340" spans="25:26">
      <c r="Y340" s="17"/>
      <c r="Z340" s="17"/>
    </row>
    <row r="341" spans="25:26">
      <c r="Y341" s="17"/>
      <c r="Z341" s="17"/>
    </row>
    <row r="342" spans="25:26">
      <c r="Y342" s="17"/>
      <c r="Z342" s="17"/>
    </row>
    <row r="343" spans="25:26">
      <c r="Y343" s="17"/>
      <c r="Z343" s="17"/>
    </row>
    <row r="344" spans="25:26">
      <c r="Y344" s="17"/>
      <c r="Z344" s="17"/>
    </row>
    <row r="345" spans="25:26">
      <c r="Y345" s="17"/>
      <c r="Z345" s="17"/>
    </row>
    <row r="346" spans="25:26">
      <c r="Y346" s="17"/>
      <c r="Z346" s="17"/>
    </row>
    <row r="347" spans="25:26">
      <c r="Y347" s="17"/>
      <c r="Z347" s="17"/>
    </row>
    <row r="348" spans="25:26">
      <c r="Y348" s="17"/>
      <c r="Z348" s="17"/>
    </row>
    <row r="349" spans="25:26">
      <c r="Y349" s="17"/>
      <c r="Z349" s="17"/>
    </row>
    <row r="350" spans="25:26">
      <c r="Y350" s="17"/>
      <c r="Z350" s="17"/>
    </row>
    <row r="351" spans="25:26">
      <c r="Y351" s="17"/>
      <c r="Z351" s="17"/>
    </row>
    <row r="352" spans="25:26">
      <c r="Y352" s="17"/>
      <c r="Z352" s="17"/>
    </row>
    <row r="353" spans="25:26">
      <c r="Y353" s="17"/>
      <c r="Z353" s="17"/>
    </row>
    <row r="354" spans="25:26">
      <c r="Y354" s="17"/>
      <c r="Z354" s="17"/>
    </row>
    <row r="355" spans="25:26">
      <c r="Y355" s="17"/>
      <c r="Z355" s="17"/>
    </row>
    <row r="356" spans="25:26">
      <c r="Y356" s="17"/>
      <c r="Z356" s="17"/>
    </row>
    <row r="357" spans="25:26">
      <c r="Y357" s="17"/>
      <c r="Z357" s="17"/>
    </row>
    <row r="358" spans="25:26">
      <c r="Y358" s="17"/>
      <c r="Z358" s="17"/>
    </row>
    <row r="359" spans="25:26">
      <c r="Y359" s="17"/>
      <c r="Z359" s="17"/>
    </row>
    <row r="360" spans="25:26">
      <c r="Y360" s="17"/>
      <c r="Z360" s="17"/>
    </row>
    <row r="361" spans="25:26">
      <c r="Y361" s="17"/>
      <c r="Z361" s="17"/>
    </row>
    <row r="362" spans="25:26">
      <c r="Y362" s="17"/>
      <c r="Z362" s="17"/>
    </row>
    <row r="363" spans="25:26">
      <c r="Y363" s="17"/>
      <c r="Z363" s="17"/>
    </row>
    <row r="364" spans="25:26">
      <c r="Y364" s="17"/>
      <c r="Z364" s="17"/>
    </row>
    <row r="365" spans="25:26">
      <c r="Y365" s="17"/>
      <c r="Z365" s="17"/>
    </row>
    <row r="366" spans="25:26">
      <c r="Y366" s="17"/>
      <c r="Z366" s="17"/>
    </row>
    <row r="367" spans="25:26">
      <c r="Y367" s="17"/>
      <c r="Z367" s="17"/>
    </row>
    <row r="368" spans="25:26">
      <c r="Y368" s="17"/>
      <c r="Z368" s="17"/>
    </row>
    <row r="369" spans="25:26">
      <c r="Y369" s="17"/>
      <c r="Z369" s="17"/>
    </row>
    <row r="370" spans="25:26">
      <c r="Y370" s="17"/>
      <c r="Z370" s="17"/>
    </row>
  </sheetData>
  <mergeCells count="162">
    <mergeCell ref="F192:L192"/>
    <mergeCell ref="F193:L193"/>
    <mergeCell ref="F194:L194"/>
    <mergeCell ref="F195:L195"/>
    <mergeCell ref="F185:L185"/>
    <mergeCell ref="E187:K187"/>
    <mergeCell ref="F188:L188"/>
    <mergeCell ref="F189:L189"/>
    <mergeCell ref="F190:L190"/>
    <mergeCell ref="F191:L191"/>
    <mergeCell ref="E179:K179"/>
    <mergeCell ref="F180:L180"/>
    <mergeCell ref="F181:L181"/>
    <mergeCell ref="F182:L182"/>
    <mergeCell ref="F183:L183"/>
    <mergeCell ref="F184:L184"/>
    <mergeCell ref="F172:L172"/>
    <mergeCell ref="F173:L173"/>
    <mergeCell ref="F174:L174"/>
    <mergeCell ref="F175:L175"/>
    <mergeCell ref="F176:L176"/>
    <mergeCell ref="F177:L177"/>
    <mergeCell ref="F165:L165"/>
    <mergeCell ref="F166:L166"/>
    <mergeCell ref="F167:L167"/>
    <mergeCell ref="F168:L168"/>
    <mergeCell ref="F169:L169"/>
    <mergeCell ref="E171:K171"/>
    <mergeCell ref="E159:K159"/>
    <mergeCell ref="F160:L160"/>
    <mergeCell ref="F161:L161"/>
    <mergeCell ref="F162:L162"/>
    <mergeCell ref="F163:L163"/>
    <mergeCell ref="F164:L164"/>
    <mergeCell ref="F152:L152"/>
    <mergeCell ref="F153:L153"/>
    <mergeCell ref="F154:L154"/>
    <mergeCell ref="F155:L155"/>
    <mergeCell ref="F156:L156"/>
    <mergeCell ref="F157:L157"/>
    <mergeCell ref="F146:L146"/>
    <mergeCell ref="F147:L147"/>
    <mergeCell ref="F148:L148"/>
    <mergeCell ref="F149:L149"/>
    <mergeCell ref="F150:L150"/>
    <mergeCell ref="F151:L151"/>
    <mergeCell ref="F139:L139"/>
    <mergeCell ref="F140:L140"/>
    <mergeCell ref="F141:L141"/>
    <mergeCell ref="F142:L142"/>
    <mergeCell ref="E144:K144"/>
    <mergeCell ref="F145:L145"/>
    <mergeCell ref="F133:L133"/>
    <mergeCell ref="F134:L134"/>
    <mergeCell ref="F135:L135"/>
    <mergeCell ref="F136:L136"/>
    <mergeCell ref="F137:L137"/>
    <mergeCell ref="F138:L138"/>
    <mergeCell ref="F123:K123"/>
    <mergeCell ref="F124:L124"/>
    <mergeCell ref="F125:L125"/>
    <mergeCell ref="E130:K130"/>
    <mergeCell ref="F131:L131"/>
    <mergeCell ref="F132:L132"/>
    <mergeCell ref="AK79:AN79"/>
    <mergeCell ref="A119:B119"/>
    <mergeCell ref="E119:K119"/>
    <mergeCell ref="F120:L120"/>
    <mergeCell ref="F121:L121"/>
    <mergeCell ref="F122:K122"/>
    <mergeCell ref="Z64:AA64"/>
    <mergeCell ref="Z65:AA65"/>
    <mergeCell ref="Z66:AA66"/>
    <mergeCell ref="Z67:AA67"/>
    <mergeCell ref="Z68:AA68"/>
    <mergeCell ref="Z69:AA69"/>
    <mergeCell ref="Z59:AA59"/>
    <mergeCell ref="Z60:AA60"/>
    <mergeCell ref="A61:C62"/>
    <mergeCell ref="Z61:AA61"/>
    <mergeCell ref="Z62:AA62"/>
    <mergeCell ref="Z63:AA63"/>
    <mergeCell ref="AP54:AQ55"/>
    <mergeCell ref="AS54:AT55"/>
    <mergeCell ref="Z55:AA55"/>
    <mergeCell ref="Z56:AA56"/>
    <mergeCell ref="Z57:AA57"/>
    <mergeCell ref="Z58:AA58"/>
    <mergeCell ref="Z50:AA50"/>
    <mergeCell ref="Z51:AA51"/>
    <mergeCell ref="Z52:AA52"/>
    <mergeCell ref="Z53:AA53"/>
    <mergeCell ref="Z54:AA54"/>
    <mergeCell ref="AI54:AJ55"/>
    <mergeCell ref="Z44:AA44"/>
    <mergeCell ref="Z45:AA45"/>
    <mergeCell ref="Z46:AA46"/>
    <mergeCell ref="Z47:AA47"/>
    <mergeCell ref="Z48:AA48"/>
    <mergeCell ref="Z49:AA49"/>
    <mergeCell ref="Z38:AA38"/>
    <mergeCell ref="Z39:AA39"/>
    <mergeCell ref="Z40:AA40"/>
    <mergeCell ref="Z41:AA41"/>
    <mergeCell ref="Z42:AA42"/>
    <mergeCell ref="Z43:AA43"/>
    <mergeCell ref="Z33:AA33"/>
    <mergeCell ref="S34:V35"/>
    <mergeCell ref="Z34:AA34"/>
    <mergeCell ref="Z35:AA35"/>
    <mergeCell ref="Z36:AA36"/>
    <mergeCell ref="Z37:AA37"/>
    <mergeCell ref="AM31:AN32"/>
    <mergeCell ref="AP31:AQ32"/>
    <mergeCell ref="AS31:AT32"/>
    <mergeCell ref="AV31:AW32"/>
    <mergeCell ref="A32:E32"/>
    <mergeCell ref="G32:K32"/>
    <mergeCell ref="M32:Q32"/>
    <mergeCell ref="Z32:AA32"/>
    <mergeCell ref="Z27:AA27"/>
    <mergeCell ref="Z28:AA28"/>
    <mergeCell ref="Z29:AA29"/>
    <mergeCell ref="Z30:AA30"/>
    <mergeCell ref="Z31:AA31"/>
    <mergeCell ref="AI31:AJ32"/>
    <mergeCell ref="AM8:AN9"/>
    <mergeCell ref="AP8:AQ9"/>
    <mergeCell ref="Z21:AA21"/>
    <mergeCell ref="Z22:AA22"/>
    <mergeCell ref="Z23:AA23"/>
    <mergeCell ref="Z24:AA24"/>
    <mergeCell ref="Z25:AA25"/>
    <mergeCell ref="Z26:AA26"/>
    <mergeCell ref="Z16:AA16"/>
    <mergeCell ref="Z17:AA17"/>
    <mergeCell ref="Z18:AA18"/>
    <mergeCell ref="Z19:AA19"/>
    <mergeCell ref="A1:E2"/>
    <mergeCell ref="A3:E3"/>
    <mergeCell ref="G3:K3"/>
    <mergeCell ref="M3:Q3"/>
    <mergeCell ref="S4:W4"/>
    <mergeCell ref="CV5:CX6"/>
    <mergeCell ref="DE19:DG20"/>
    <mergeCell ref="Z20:AA20"/>
    <mergeCell ref="Z10:AA10"/>
    <mergeCell ref="Z11:AA11"/>
    <mergeCell ref="Z12:AA12"/>
    <mergeCell ref="Z13:AA13"/>
    <mergeCell ref="Z14:AA14"/>
    <mergeCell ref="Z15:AA15"/>
    <mergeCell ref="AS8:AT9"/>
    <mergeCell ref="AV8:AW9"/>
    <mergeCell ref="AY8:BA9"/>
    <mergeCell ref="BB8:BB9"/>
    <mergeCell ref="BE8:BE9"/>
    <mergeCell ref="BH9:BJ10"/>
    <mergeCell ref="Y8:AA9"/>
    <mergeCell ref="AC8:AD9"/>
    <mergeCell ref="AF8:AG9"/>
    <mergeCell ref="AI8:AJ9"/>
  </mergeCells>
  <phoneticPr fontId="11" type="noConversion"/>
  <conditionalFormatting sqref="BX27 BV24:BV104">
    <cfRule type="cellIs" dxfId="0" priority="1" stopIfTrue="1" operator="equal">
      <formula>$C$4</formula>
    </cfRule>
  </conditionalFormatting>
  <pageMargins left="0" right="0" top="0.39370078740157483" bottom="0.39370078740157483" header="0" footer="0"/>
  <pageSetup paperSize="9" orientation="portrait"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1597</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Trésor</vt: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MATHIEN</dc:creator>
  <cp:lastModifiedBy>Guillaume MATHIEN</cp:lastModifiedBy>
  <cp:revision>24</cp:revision>
  <dcterms:created xsi:type="dcterms:W3CDTF">2012-07-11T13:32:23Z</dcterms:created>
  <dcterms:modified xsi:type="dcterms:W3CDTF">2022-12-06T16:06:55Z</dcterms:modified>
</cp:coreProperties>
</file>